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vml" ContentType="application/vnd.openxmlformats-officedocument.vmlDrawin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lculator" sheetId="1" state="visible" r:id="rId3"/>
    <sheet name="Mixture kij" sheetId="2" state="visible" r:id="rId4"/>
    <sheet name="EOS steps" sheetId="3" state="visible" r:id="rId5"/>
    <sheet name="Psat" sheetId="4" state="visible" r:id="rId6"/>
    <sheet name="Mixture steps" sheetId="5" state="visible" r:id="rId7"/>
    <sheet name="Gas data" sheetId="6" state="visible" r:id="rId8"/>
    <sheet name="Notes" sheetId="7" state="visible" r:id="rId9"/>
  </sheets>
  <definedNames>
    <definedName function="false" hidden="false" localSheetId="4" name="_xlnm.Print_Area" vbProcedure="false">'Mixture steps'!$A$1:$Q$161</definedName>
  </definedName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<sst xmlns="http://schemas.openxmlformats.org/spreadsheetml/2006/main" count="2308" uniqueCount="1190">
  <si>
    <t xml:space="preserve">Gas Equation of State Calculator</t>
  </si>
  <si>
    <t xml:space="preserve">Z-factor, density, fugacity and phase state of a pure gas or a gas mixture (up to 12 components): ideal gas, van der Waals, SRK and Peng-Robinson.</t>
  </si>
  <si>
    <t xml:space="preserve">Yellow cells are inputs. Pure gas: enter one component. Mixture: enter up to 12 components. All other cells are calculated.</t>
  </si>
  <si>
    <t xml:space="preserve">Equation of state and operating conditions</t>
  </si>
  <si>
    <t xml:space="preserve">Equation of state</t>
  </si>
  <si>
    <t xml:space="preserve">Peng-Robinson</t>
  </si>
  <si>
    <t xml:space="preserve">Peng-Robinson, SRK or van der Waals. Used for the results below; for a pure gas all models are also compared further down.</t>
  </si>
  <si>
    <t xml:space="preserve">Temperature</t>
  </si>
  <si>
    <t xml:space="preserve">°C</t>
  </si>
  <si>
    <t xml:space="preserve">Unit: °C, K or °F</t>
  </si>
  <si>
    <t xml:space="preserve">Pressure (absolute)</t>
  </si>
  <si>
    <t xml:space="preserve">bar</t>
  </si>
  <si>
    <t xml:space="preserve">Unit: bar, kPa, MPa, psia, atm or kg/cm² (absolute pressure)</t>
  </si>
  <si>
    <t xml:space="preserve">Amount n</t>
  </si>
  <si>
    <t xml:space="preserve">mol</t>
  </si>
  <si>
    <t xml:space="preserve">Gas composition (1 to 12 components)</t>
  </si>
  <si>
    <t xml:space="preserve">Pure gas: select the gas in row 1 and enter any amount. Mixture: select the components and enter the amounts in mol % (amounts are normalised). Leave unused rows blank. For a component not in the list, type its name and enter Tc, Pc, ω and M in the custom columns.</t>
  </si>
  <si>
    <t xml:space="preserve">Custom properties (optional, override the database)</t>
  </si>
  <si>
    <t xml:space="preserve">Used in the calculation</t>
  </si>
  <si>
    <t xml:space="preserve">No.</t>
  </si>
  <si>
    <t xml:space="preserve">Component</t>
  </si>
  <si>
    <t xml:space="preserve">Amount (mol %)</t>
  </si>
  <si>
    <t xml:space="preserve">Tc (K)</t>
  </si>
  <si>
    <t xml:space="preserve">Pc (bar)</t>
  </si>
  <si>
    <t xml:space="preserve">ω</t>
  </si>
  <si>
    <t xml:space="preserve">M (g/mol)</t>
  </si>
  <si>
    <t xml:space="preserve">Mole fraction z</t>
  </si>
  <si>
    <t xml:space="preserve">Status</t>
  </si>
  <si>
    <t xml:space="preserve">Methane (CH4)</t>
  </si>
  <si>
    <t xml:space="preserve">Total</t>
  </si>
  <si>
    <t xml:space="preserve">Binary interaction parameters kij: sheet "Mixture kij" (optional, default 0).</t>
  </si>
  <si>
    <t xml:space="preserve">State point</t>
  </si>
  <si>
    <t xml:space="preserve">Temperature T</t>
  </si>
  <si>
    <t xml:space="preserve">K</t>
  </si>
  <si>
    <t xml:space="preserve">Pressure P</t>
  </si>
  <si>
    <t xml:space="preserve">Pa</t>
  </si>
  <si>
    <t xml:space="preserve">Number of components</t>
  </si>
  <si>
    <t xml:space="preserve">Molar mass  M = Σ z·M</t>
  </si>
  <si>
    <t xml:space="preserve">g/mol</t>
  </si>
  <si>
    <t xml:space="preserve">Reduced temperature  T / Tc</t>
  </si>
  <si>
    <t xml:space="preserve">-</t>
  </si>
  <si>
    <t xml:space="preserve">Mixture: T / Σ z·Tc and P / Σ z·Pc (Kay's rule), given for reference only.</t>
  </si>
  <si>
    <t xml:space="preserve">Reduced pressure  P / Pc</t>
  </si>
  <si>
    <t xml:space="preserve">Input status</t>
  </si>
  <si>
    <t xml:space="preserve">Results (selected equation of state)</t>
  </si>
  <si>
    <t xml:space="preserve">Phase state</t>
  </si>
  <si>
    <t xml:space="preserve">Property</t>
  </si>
  <si>
    <t xml:space="preserve">Unit</t>
  </si>
  <si>
    <t xml:space="preserve">Phase fraction, mole basis</t>
  </si>
  <si>
    <t xml:space="preserve">mol %</t>
  </si>
  <si>
    <t xml:space="preserve">Phase fraction, mass basis</t>
  </si>
  <si>
    <t xml:space="preserve">mass %</t>
  </si>
  <si>
    <t xml:space="preserve">Phase fraction, volume basis</t>
  </si>
  <si>
    <t xml:space="preserve">vol %</t>
  </si>
  <si>
    <t xml:space="preserve">Compressibility factor Z</t>
  </si>
  <si>
    <t xml:space="preserve">Molar mass</t>
  </si>
  <si>
    <t xml:space="preserve">Molar volume</t>
  </si>
  <si>
    <t xml:space="preserve">L/mol</t>
  </si>
  <si>
    <t xml:space="preserve">Density</t>
  </si>
  <si>
    <t xml:space="preserve">kg/m³</t>
  </si>
  <si>
    <t xml:space="preserve">Amount</t>
  </si>
  <si>
    <t xml:space="preserve">Volume</t>
  </si>
  <si>
    <t xml:space="preserve">L</t>
  </si>
  <si>
    <t xml:space="preserve">Mass</t>
  </si>
  <si>
    <t xml:space="preserve">g</t>
  </si>
  <si>
    <t xml:space="preserve">Ideal-gas density (for comparison)</t>
  </si>
  <si>
    <t xml:space="preserve">Feed  z</t>
  </si>
  <si>
    <t xml:space="preserve">K = phase 1 / phase 2</t>
  </si>
  <si>
    <t xml:space="preserve">Composition of each phase in mole fraction. At equilibrium the fugacity of each component is equal in both phases.</t>
  </si>
  <si>
    <t xml:space="preserve">Pure gas: comparison of the equations of state</t>
  </si>
  <si>
    <t xml:space="preserve">Filled when one component is entered. Each column reports the phase predicted as stable by that model (root with the lowest fugacity); models may differ near saturation.</t>
  </si>
  <si>
    <t xml:space="preserve">Result</t>
  </si>
  <si>
    <t xml:space="preserve">Ideal gas</t>
  </si>
  <si>
    <t xml:space="preserve">van der Waals</t>
  </si>
  <si>
    <t xml:space="preserve">SRK</t>
  </si>
  <si>
    <t xml:space="preserve">Stable phase</t>
  </si>
  <si>
    <t xml:space="preserve">Molar volume Vm</t>
  </si>
  <si>
    <t xml:space="preserve">Density ρ</t>
  </si>
  <si>
    <t xml:space="preserve">Fugacity coefficient φ</t>
  </si>
  <si>
    <t xml:space="preserve">Fugacity f = φ·P</t>
  </si>
  <si>
    <t xml:space="preserve">Volume of n mol</t>
  </si>
  <si>
    <t xml:space="preserve">Mass of n mol</t>
  </si>
  <si>
    <t xml:space="preserve">Saturation pressure Psat(T)</t>
  </si>
  <si>
    <t xml:space="preserve">Number of real roots</t>
  </si>
  <si>
    <t xml:space="preserve">Z of the other outer root (metastable)</t>
  </si>
  <si>
    <t xml:space="preserve">Deviation from ideal gas  |Z − 1|</t>
  </si>
  <si>
    <t xml:space="preserve">%</t>
  </si>
  <si>
    <t xml:space="preserve">Difference in Z from Peng-Robinson</t>
  </si>
  <si>
    <t xml:space="preserve">Notes</t>
  </si>
  <si>
    <t xml:space="preserve">1.  Pure gas: enter one component. The table "Pure gas: comparison of the equations of state" is filled only when one component is entered.</t>
  </si>
  <si>
    <t xml:space="preserve">2.  Mixture: the feed is first evaluated as a single phase. A phase-stability test then determines whether it splits; if so, the amounts and compositions of the two phases are calculated.</t>
  </si>
  <si>
    <t xml:space="preserve">3.  With two phases, "Total" values are the totals of both phases. Each phase has its own composition, Z and density.</t>
  </si>
  <si>
    <t xml:space="preserve">4.  All kij are zero unless entered on sheet "Mixture kij". Gas-phase Z is hardly affected; dew points, bubble points and phase compositions of CO2-, H2S-, N2- or H2-hydrocarbon mixtures can shift noticeably.</t>
  </si>
  <si>
    <t xml:space="preserve">5.  A cubic EOS with kij = 0 may predict two liquid phases where the real mixture is fully miscible (typical for polar components). Such a split shall be confirmed with data.</t>
  </si>
  <si>
    <t xml:space="preserve">6.  Maximum two phases. Vapour-liquid-liquid equilibrium, solids, hydrates and chemical reaction (e.g. ammonia with CO2 forming carbamate) are not covered.</t>
  </si>
  <si>
    <t xml:space="preserve">7.  Gas-phase Z from PR and SRK: typically within 1 % (several % near the critical point). van der Waals and ideal gas are given for reference only.</t>
  </si>
  <si>
    <t xml:space="preserve">8.  Liquid density from a cubic EOS is approximate: PR within 5 % for non-polar fluids (maximum 15 %), SRK about 9 % low; for water, ammonia and alcohols 15 to 30 %.</t>
  </si>
  <si>
    <t xml:space="preserve">9.  Polar and hydrogen-bonding components (water, ammonia, alcohols) in a mixture: condensation point and liquid-phase results are indicative only.</t>
  </si>
  <si>
    <t xml:space="preserve">10. Pure gas: three real roots do not imply two-phase conditions. Liquid and vapour coexist only at P = Psat.</t>
  </si>
  <si>
    <t xml:space="preserve">11. Close to a critical point or a phase boundary the phase split may not converge within the rows provided. This is reported in "Phase state"; use the online calculator for such points.</t>
  </si>
  <si>
    <t xml:space="preserve">12. Calculation steps: sheets "EOS steps" and "Psat" (pure gas), "Mixture steps" (selected equation of state, pure gas or mixture). Component data: sheet "Gas data".</t>
  </si>
  <si>
    <t xml:space="preserve">13. Preliminary estimate. Results shall be verified against measured data or a validated process simulator before use in design.</t>
  </si>
  <si>
    <t xml:space="preserve">Gas Mixture - Binary Interaction Parameters kij</t>
  </si>
  <si>
    <t xml:space="preserve">Optional input. Blank cells are taken as kij = 0. Enter values in the yellow cells above the diagonal only; the lower half is mirrored. Valid range: −1 &lt; kij &lt; 1.</t>
  </si>
  <si>
    <t xml:space="preserve">Mixing rule:  a = Σ Σ xi·xj·(1 − kij)·√(ai·aj).  kij has little effect on gas-phase Z; dew points, bubble points and phase compositions can shift noticeably.</t>
  </si>
  <si>
    <t xml:space="preserve">Typical Peng-Robinson values: CO2 - hydrocarbon 0.10 to 0.15;  N2 - CH4 about 0.03;  H2S - hydrocarbon 0.05 to 0.10.  Use values fitted to the selected equation of state.</t>
  </si>
  <si>
    <t xml:space="preserve">Pure Gas - Calculation Steps</t>
  </si>
  <si>
    <t xml:space="preserve">Pure gas (one component on the Calculator sheet): one calculation step per row for the three cubic models. Column H gives the formula in standard notation. With more than one component this sheet is not used in the results (see sheet "Mixture steps").</t>
  </si>
  <si>
    <t xml:space="preserve">Step</t>
  </si>
  <si>
    <t xml:space="preserve">Quantity</t>
  </si>
  <si>
    <t xml:space="preserve">Symbol</t>
  </si>
  <si>
    <t xml:space="preserve">Formula / source</t>
  </si>
  <si>
    <t xml:space="preserve">Input data (from sheet "Calculator"; component properties are Σ z·value, i.e. the value of the gas when one component is entered)</t>
  </si>
  <si>
    <t xml:space="preserve">T</t>
  </si>
  <si>
    <t xml:space="preserve">from Calculator</t>
  </si>
  <si>
    <t xml:space="preserve">P</t>
  </si>
  <si>
    <t xml:space="preserve">Critical temperature</t>
  </si>
  <si>
    <t xml:space="preserve">Tc</t>
  </si>
  <si>
    <t xml:space="preserve">Σ z·Tc</t>
  </si>
  <si>
    <t xml:space="preserve">Critical pressure</t>
  </si>
  <si>
    <t xml:space="preserve">Pc</t>
  </si>
  <si>
    <t xml:space="preserve">Σ z·Pc, bar × 100 000</t>
  </si>
  <si>
    <t xml:space="preserve">Acentric factor</t>
  </si>
  <si>
    <t xml:space="preserve">Σ z·ω (not used by van der Waals)</t>
  </si>
  <si>
    <t xml:space="preserve">M</t>
  </si>
  <si>
    <t xml:space="preserve">Σ z·M</t>
  </si>
  <si>
    <t xml:space="preserve">Gas constant</t>
  </si>
  <si>
    <t xml:space="preserve">R</t>
  </si>
  <si>
    <t xml:space="preserve">J/(mol·K)</t>
  </si>
  <si>
    <t xml:space="preserve">constant: molar gas constant (CODATA 8.314462618, rounded)</t>
  </si>
  <si>
    <t xml:space="preserve">Reduced temperature</t>
  </si>
  <si>
    <t xml:space="preserve">Tr</t>
  </si>
  <si>
    <t xml:space="preserve">Tr = T / Tc</t>
  </si>
  <si>
    <t xml:space="preserve">EOS parameters</t>
  </si>
  <si>
    <t xml:space="preserve">Attraction constant</t>
  </si>
  <si>
    <t xml:space="preserve">Ωa</t>
  </si>
  <si>
    <t xml:space="preserve">constants of each model: van der Waals 27/64, SRK 0.42748, PR 0.45724</t>
  </si>
  <si>
    <t xml:space="preserve">Co-volume constant</t>
  </si>
  <si>
    <t xml:space="preserve">Ωb</t>
  </si>
  <si>
    <t xml:space="preserve">constants of each model: van der Waals 1/8, SRK 0.08664, PR 0.07780</t>
  </si>
  <si>
    <t xml:space="preserve">Critical compressibility of the model</t>
  </si>
  <si>
    <t xml:space="preserve">Zc</t>
  </si>
  <si>
    <t xml:space="preserve">constants: 3/8, 1/3, 0.3074 (follow from Ωa, Ωb of each model)</t>
  </si>
  <si>
    <t xml:space="preserve">Slope of the α function</t>
  </si>
  <si>
    <t xml:space="preserve">m (SRK), κ (PR)</t>
  </si>
  <si>
    <t xml:space="preserve">SRK (Soave 1972): m = 0.480 + 1.574ω − 0.176ω².   PR (1976): κ = 0.37464 + 1.54226ω − 0.26992ω²;  for ω &gt; 0.491 (PR 1978): κ = 0.379642 + 1.48503ω − 0.164423ω² + 0.016666ω³</t>
  </si>
  <si>
    <t xml:space="preserve">Temperature function</t>
  </si>
  <si>
    <t xml:space="preserve">α(T)</t>
  </si>
  <si>
    <t xml:space="preserve">α = [1 + m·(1 − √Tr)]²   (van der Waals: α = 1)</t>
  </si>
  <si>
    <t xml:space="preserve">Attraction parameter</t>
  </si>
  <si>
    <t xml:space="preserve">a·α</t>
  </si>
  <si>
    <t xml:space="preserve">Pa·m⁶/mol²</t>
  </si>
  <si>
    <t xml:space="preserve">a·α = Ωa·R²·Tc² / Pc · α</t>
  </si>
  <si>
    <t xml:space="preserve">Co-volume</t>
  </si>
  <si>
    <t xml:space="preserve">b</t>
  </si>
  <si>
    <t xml:space="preserve">m³/mol</t>
  </si>
  <si>
    <t xml:space="preserve">b = Ωb·R·Tc / Pc</t>
  </si>
  <si>
    <t xml:space="preserve">Dimensionless attraction</t>
  </si>
  <si>
    <t xml:space="preserve">A</t>
  </si>
  <si>
    <t xml:space="preserve">A = a·α·P / (R·T)²</t>
  </si>
  <si>
    <t xml:space="preserve">Dimensionless co-volume</t>
  </si>
  <si>
    <t xml:space="preserve">B</t>
  </si>
  <si>
    <t xml:space="preserve">B = b·P / (R·T)</t>
  </si>
  <si>
    <t xml:space="preserve">Cubic equation   Z³ + c2·Z² + c1·Z + c0 = 0</t>
  </si>
  <si>
    <t xml:space="preserve">Coefficient of Z²</t>
  </si>
  <si>
    <t xml:space="preserve">c2</t>
  </si>
  <si>
    <t xml:space="preserve">vdW: −(1+B)      SRK: −1      PR: −(1−B)</t>
  </si>
  <si>
    <t xml:space="preserve">Coefficient of Z</t>
  </si>
  <si>
    <t xml:space="preserve">c1</t>
  </si>
  <si>
    <t xml:space="preserve">vdW: A      SRK: A − B − B²      PR: A − 3B² − 2B</t>
  </si>
  <si>
    <t xml:space="preserve">Constant term</t>
  </si>
  <si>
    <t xml:space="preserve">c0</t>
  </si>
  <si>
    <t xml:space="preserve">vdW: −A·B      SRK: −A·B      PR: −(A·B − B² − B³)</t>
  </si>
  <si>
    <t xml:space="preserve">First root: analytical solution of the cubic</t>
  </si>
  <si>
    <t xml:space="preserve">Depressed cubic t³ + p·t + q = 0</t>
  </si>
  <si>
    <t xml:space="preserve">p</t>
  </si>
  <si>
    <t xml:space="preserve">p = c1 − c2²/3        (Z = t − c2/3)</t>
  </si>
  <si>
    <t xml:space="preserve">q</t>
  </si>
  <si>
    <t xml:space="preserve">q = 2·c2³/27 − c2·c1/3 + c0</t>
  </si>
  <si>
    <t xml:space="preserve">Discriminant</t>
  </si>
  <si>
    <t xml:space="preserve">D</t>
  </si>
  <si>
    <t xml:space="preserve">D = q²/4 + p³/27      (D &lt; 0: three real roots)</t>
  </si>
  <si>
    <t xml:space="preserve">Cardano term (used when D ≥ 0)</t>
  </si>
  <si>
    <t xml:space="preserve">w</t>
  </si>
  <si>
    <t xml:space="preserve">w = −q/2 − sign(q)·√D</t>
  </si>
  <si>
    <t xml:space="preserve">u</t>
  </si>
  <si>
    <t xml:space="preserve">u = ∛w</t>
  </si>
  <si>
    <t xml:space="preserve">t</t>
  </si>
  <si>
    <t xml:space="preserve">t = u − p/(3u)</t>
  </si>
  <si>
    <t xml:space="preserve">Trigonometric term (used when D &lt; 0)</t>
  </si>
  <si>
    <t xml:space="preserve">r</t>
  </si>
  <si>
    <t xml:space="preserve">r = 2·√(−p/3)</t>
  </si>
  <si>
    <t xml:space="preserve">θ</t>
  </si>
  <si>
    <t xml:space="preserve">rad</t>
  </si>
  <si>
    <t xml:space="preserve">θ = arccos(3q / (p·r))</t>
  </si>
  <si>
    <t xml:space="preserve">t = r·cos(θ/3)   (largest of the three)</t>
  </si>
  <si>
    <t xml:space="preserve">First root, closed form</t>
  </si>
  <si>
    <t xml:space="preserve">Z₁</t>
  </si>
  <si>
    <t xml:space="preserve">Z₁ = t − c2/3</t>
  </si>
  <si>
    <t xml:space="preserve">Newton correction 1</t>
  </si>
  <si>
    <t xml:space="preserve">δ</t>
  </si>
  <si>
    <t xml:space="preserve">δ = f(Z)/f'(Z),   f = Z³+c2·Z²+c1·Z+c0,   f' = 3Z²+2·c2·Z+c1</t>
  </si>
  <si>
    <t xml:space="preserve">Z₁ = Z₁ − δ   (removes rounding error of the closed form)</t>
  </si>
  <si>
    <t xml:space="preserve">Newton correction 2</t>
  </si>
  <si>
    <t xml:space="preserve">δ = f(Z)/f'(Z)</t>
  </si>
  <si>
    <t xml:space="preserve">First root, final</t>
  </si>
  <si>
    <t xml:space="preserve">Z₁ = Z₁ − δ</t>
  </si>
  <si>
    <t xml:space="preserve">Remaining roots from   Z³ + c2·Z² + c1·Z + c0 = (Z − Z₁)·(Z² − Σ·Z + Π)</t>
  </si>
  <si>
    <t xml:space="preserve">Product of the other two roots</t>
  </si>
  <si>
    <t xml:space="preserve">Π</t>
  </si>
  <si>
    <t xml:space="preserve">Π = −c0 / Z₁</t>
  </si>
  <si>
    <t xml:space="preserve">Sum of the other two roots</t>
  </si>
  <si>
    <t xml:space="preserve">Σ</t>
  </si>
  <si>
    <t xml:space="preserve">Σ = (c1 − Π) / Z₁</t>
  </si>
  <si>
    <t xml:space="preserve">Discriminant of the quadratic</t>
  </si>
  <si>
    <t xml:space="preserve">Δ</t>
  </si>
  <si>
    <t xml:space="preserve">Δ = Σ² − 4Π      (Δ ≥ 0: the other two roots are real)</t>
  </si>
  <si>
    <t xml:space="preserve">Larger-magnitude root of the quadratic</t>
  </si>
  <si>
    <t xml:space="preserve">Z₂</t>
  </si>
  <si>
    <t xml:space="preserve">Z₂ = [Σ + sign(Σ)·√Δ] / 2      (only when Δ ≥ 0)</t>
  </si>
  <si>
    <t xml:space="preserve">Remaining root</t>
  </si>
  <si>
    <t xml:space="preserve">Z₃</t>
  </si>
  <si>
    <t xml:space="preserve">Z₃ = Π / Z₂      (the smaller of the two; shown as - when it does not exist)</t>
  </si>
  <si>
    <t xml:space="preserve">Three physical roots?  (all above B, i.e. Vm &gt; b)</t>
  </si>
  <si>
    <t xml:space="preserve">TRUE when Δ ≥ 0, Z₃ &gt; B and Z₃ is distinct from Z₁ (at the critical point the roots coincide and count as one)</t>
  </si>
  <si>
    <t xml:space="preserve">Z₃ = Z₃ − δ</t>
  </si>
  <si>
    <t xml:space="preserve">Remaining root, final</t>
  </si>
  <si>
    <t xml:space="preserve">Roots</t>
  </si>
  <si>
    <t xml:space="preserve">Number of physical roots</t>
  </si>
  <si>
    <t xml:space="preserve">N</t>
  </si>
  <si>
    <t xml:space="preserve">3 only below Tc and between the two spinodal pressures</t>
  </si>
  <si>
    <t xml:space="preserve">Vapour-side root (largest Z)</t>
  </si>
  <si>
    <t xml:space="preserve">Z_V</t>
  </si>
  <si>
    <t xml:space="preserve">largest root</t>
  </si>
  <si>
    <t xml:space="preserve">Middle root (never physical)</t>
  </si>
  <si>
    <t xml:space="preserve">Z_M</t>
  </si>
  <si>
    <t xml:space="preserve">Z_M = Π / Z₃   (the root between the two outer ones)</t>
  </si>
  <si>
    <t xml:space="preserve">Liquid-side root (smallest Z)</t>
  </si>
  <si>
    <t xml:space="preserve">Z_L</t>
  </si>
  <si>
    <t xml:space="preserve">smallest root above B</t>
  </si>
  <si>
    <t xml:space="preserve">Fugacity and stable phase</t>
  </si>
  <si>
    <t xml:space="preserve">Fugacity coefficient, vapour-side root</t>
  </si>
  <si>
    <t xml:space="preserve">ln φ_V</t>
  </si>
  <si>
    <t xml:space="preserve">vdW: Z−1−ln(Z−B)−A/Z      SRK: Z−1−ln(Z−B)−(A/B)·ln(1+B/Z)      PR: Z−1−ln(Z−B)−A/(2√2·B)·ln[(Z+(1+√2)B)/(Z+(1−√2)B)]</t>
  </si>
  <si>
    <t xml:space="preserve">Fugacity coefficient, liquid-side root</t>
  </si>
  <si>
    <t xml:space="preserve">ln φ_L</t>
  </si>
  <si>
    <t xml:space="preserve">same expression with Z_L</t>
  </si>
  <si>
    <t xml:space="preserve">Is the stable root liquid-like?</t>
  </si>
  <si>
    <t xml:space="preserve">three roots: the lower ln φ wins.   one root: liquid-like if Vm &lt; Vc = Zc·R·Tc/Pc</t>
  </si>
  <si>
    <t xml:space="preserve">Compressibility factor of the stable phase</t>
  </si>
  <si>
    <t xml:space="preserve">Z</t>
  </si>
  <si>
    <t xml:space="preserve">the root with the lower fugacity</t>
  </si>
  <si>
    <t xml:space="preserve">ln φ</t>
  </si>
  <si>
    <t xml:space="preserve">T ≥ Tc: Gas (P &lt; Pc) or Supercritical (P ≥ Pc).   T &lt; Tc: Liquid or Vapour</t>
  </si>
  <si>
    <t xml:space="preserve">Other outer root (metastable)</t>
  </si>
  <si>
    <t xml:space="preserve">exists only when there are three roots</t>
  </si>
  <si>
    <t xml:space="preserve">Properties of the stable phase</t>
  </si>
  <si>
    <t xml:space="preserve">Vm</t>
  </si>
  <si>
    <t xml:space="preserve">Vm = Z·R·T / P</t>
  </si>
  <si>
    <t xml:space="preserve">ρ</t>
  </si>
  <si>
    <t xml:space="preserve">ρ = M / Vm</t>
  </si>
  <si>
    <t xml:space="preserve">Fugacity coefficient</t>
  </si>
  <si>
    <t xml:space="preserve">φ</t>
  </si>
  <si>
    <t xml:space="preserve">φ = exp(ln φ)</t>
  </si>
  <si>
    <t xml:space="preserve">Fugacity</t>
  </si>
  <si>
    <t xml:space="preserve">f</t>
  </si>
  <si>
    <t xml:space="preserve">f = φ·P</t>
  </si>
  <si>
    <t xml:space="preserve">Saturation pressure at T</t>
  </si>
  <si>
    <t xml:space="preserve">Psat</t>
  </si>
  <si>
    <t xml:space="preserve">from the Psat sheet (pressure at which ln φ_L = ln φ_V)</t>
  </si>
  <si>
    <t xml:space="preserve">Pure Gas - Saturation Pressure Iteration</t>
  </si>
  <si>
    <t xml:space="preserve">Saturation pressure Psat(T): the pressure at which liquid and vapour have equal fugacity. Solved row by row (no macro, no circular reference); the last row of each table is the result. Applicable for T &lt; Tc.</t>
  </si>
  <si>
    <t xml:space="preserve">Update rule: ln P(new) = ln P + (ln φ_L − ln φ_V) / (Z_V − Z_L)   (Newton iteration on ln P). The lower and upper limits bracket the solution between a vapour-stable and a liquid-stable pressure.</t>
  </si>
  <si>
    <t xml:space="preserve">Attraction parameter a·α</t>
  </si>
  <si>
    <t xml:space="preserve">from the EOS steps sheet</t>
  </si>
  <si>
    <t xml:space="preserve">Co-volume b</t>
  </si>
  <si>
    <t xml:space="preserve">Model's critical volume</t>
  </si>
  <si>
    <t xml:space="preserve">Vc</t>
  </si>
  <si>
    <t xml:space="preserve">Vc = Zc·R·Tc / Pc   (a lone root with Vm &lt; Vc is liquid-like)</t>
  </si>
  <si>
    <t xml:space="preserve">Acentric factor for the first guess</t>
  </si>
  <si>
    <t xml:space="preserve">ω₀</t>
  </si>
  <si>
    <t xml:space="preserve">ω of the gas; van der Waals behaves like a fluid with ω = −0.302 (its own Psat at Tr = 0.7 is 0.2005·Pc)</t>
  </si>
  <si>
    <t xml:space="preserve">Lowest pressure searched</t>
  </si>
  <si>
    <t xml:space="preserve">P_lo</t>
  </si>
  <si>
    <t xml:space="preserve">Pc × 1E−100</t>
  </si>
  <si>
    <t xml:space="preserve">Highest pressure searched</t>
  </si>
  <si>
    <t xml:space="preserve">P_hi</t>
  </si>
  <si>
    <t xml:space="preserve">First guess (Wilson correlation)</t>
  </si>
  <si>
    <t xml:space="preserve">P₀</t>
  </si>
  <si>
    <t xml:space="preserve">P₀ = Pc·exp[5.373·(1+ω₀)·(1 − Tc/T)]   (Wilson correlation), kept inside the search limits</t>
  </si>
  <si>
    <t xml:space="preserve">Step used while outside the three-root window</t>
  </si>
  <si>
    <t xml:space="preserve">k</t>
  </si>
  <si>
    <t xml:space="preserve">k = exp[0.5·(Tc/T − 1)]</t>
  </si>
  <si>
    <t xml:space="preserve">RESULT: saturation pressure</t>
  </si>
  <si>
    <t xml:space="preserve">new P of the last iteration row</t>
  </si>
  <si>
    <t xml:space="preserve">Change in the last row</t>
  </si>
  <si>
    <t xml:space="preserve">|P(new) − P| / P(new)</t>
  </si>
  <si>
    <t xml:space="preserve">Converged?</t>
  </si>
  <si>
    <t xml:space="preserve">TRUE when T &lt; Tc and the last change is below 1E−8</t>
  </si>
  <si>
    <t xml:space="preserve">van der Waals: iteration for Psat</t>
  </si>
  <si>
    <t xml:space="preserve">Row</t>
  </si>
  <si>
    <t xml:space="preserve">lower limit</t>
  </si>
  <si>
    <t xml:space="preserve">upper limit</t>
  </si>
  <si>
    <t xml:space="preserve">P (Pa)</t>
  </si>
  <si>
    <t xml:space="preserve">t (Cardano)</t>
  </si>
  <si>
    <t xml:space="preserve">t (trig)</t>
  </si>
  <si>
    <t xml:space="preserve">Z₁ final</t>
  </si>
  <si>
    <t xml:space="preserve">3 roots?</t>
  </si>
  <si>
    <t xml:space="preserve">Z₃ final</t>
  </si>
  <si>
    <t xml:space="preserve">ln φ_L − ln φ_V</t>
  </si>
  <si>
    <t xml:space="preserve">P below Psat?</t>
  </si>
  <si>
    <t xml:space="preserve">candidate P</t>
  </si>
  <si>
    <t xml:space="preserve">new lower</t>
  </si>
  <si>
    <t xml:space="preserve">new upper</t>
  </si>
  <si>
    <t xml:space="preserve">new P (Pa)</t>
  </si>
  <si>
    <t xml:space="preserve">Soave-Redlich-Kwong (SRK): iteration for Psat</t>
  </si>
  <si>
    <t xml:space="preserve">Peng-Robinson: iteration for Psat</t>
  </si>
  <si>
    <t xml:space="preserve">Gas Mixture - Calculation Steps</t>
  </si>
  <si>
    <t xml:space="preserve">Scalars in column C; one value per component in columns E to P. The iteration tables (stability test, phase split) follow the step list. No user input on this sheet.</t>
  </si>
  <si>
    <t xml:space="preserve">Value</t>
  </si>
  <si>
    <t xml:space="preserve">Comp. 1</t>
  </si>
  <si>
    <t xml:space="preserve">Comp. 2</t>
  </si>
  <si>
    <t xml:space="preserve">Comp. 3</t>
  </si>
  <si>
    <t xml:space="preserve">Comp. 4</t>
  </si>
  <si>
    <t xml:space="preserve">Comp. 5</t>
  </si>
  <si>
    <t xml:space="preserve">Comp. 6</t>
  </si>
  <si>
    <t xml:space="preserve">Comp. 7</t>
  </si>
  <si>
    <t xml:space="preserve">Comp. 8</t>
  </si>
  <si>
    <t xml:space="preserve">Comp. 9</t>
  </si>
  <si>
    <t xml:space="preserve">Comp. 10</t>
  </si>
  <si>
    <t xml:space="preserve">Comp. 11</t>
  </si>
  <si>
    <t xml:space="preserve">Comp. 12</t>
  </si>
  <si>
    <t xml:space="preserve">Input data (from sheet "Calculator")</t>
  </si>
  <si>
    <t xml:space="preserve">Equation of state (1 = van der Waals, 2 = SRK, 3 = Peng-Robinson)</t>
  </si>
  <si>
    <t xml:space="preserve">code</t>
  </si>
  <si>
    <t xml:space="preserve">from the Calculator sheet</t>
  </si>
  <si>
    <t xml:space="preserve">Number of components present</t>
  </si>
  <si>
    <t xml:space="preserve">components with a mole fraction above zero</t>
  </si>
  <si>
    <t xml:space="preserve">Mole fraction in the feed</t>
  </si>
  <si>
    <t xml:space="preserve">z</t>
  </si>
  <si>
    <t xml:space="preserve">normalised; 0 for an unused column</t>
  </si>
  <si>
    <t xml:space="preserve">bar × 100 000</t>
  </si>
  <si>
    <t xml:space="preserve">Pure-component parameters (expressions as on sheet "EOS steps")</t>
  </si>
  <si>
    <t xml:space="preserve">van der Waals 27/64, SRK 0.42748, PR 0.45724</t>
  </si>
  <si>
    <t xml:space="preserve">van der Waals 1/8, SRK 0.08664, PR 0.07780</t>
  </si>
  <si>
    <t xml:space="preserve">3/8, 1/3, 0.3074</t>
  </si>
  <si>
    <t xml:space="preserve">b / Vc of the model</t>
  </si>
  <si>
    <t xml:space="preserve">Ωb/Zc</t>
  </si>
  <si>
    <t xml:space="preserve">a phase with B/Z above this value has Vm below the critical volume and is liquid-like</t>
  </si>
  <si>
    <t xml:space="preserve">m, κ</t>
  </si>
  <si>
    <t xml:space="preserve">SRK: m = 0.480 + 1.574ω − 0.176ω².   PR: κ = 0.37464 + 1.54226ω − 0.26992ω²  (ω &gt; 0.491: κ = 0.379642 + 1.48503ω − 0.164423ω² + 0.016666ω³)</t>
  </si>
  <si>
    <t xml:space="preserve">α</t>
  </si>
  <si>
    <t xml:space="preserve">aᵢ</t>
  </si>
  <si>
    <t xml:space="preserve">aᵢ = Ωa·R²·Tc² / Pc · α</t>
  </si>
  <si>
    <t xml:space="preserve">bᵢ</t>
  </si>
  <si>
    <t xml:space="preserve">bᵢ = Ωb·R·Tc / Pc</t>
  </si>
  <si>
    <t xml:space="preserve">Square root of aᵢ</t>
  </si>
  <si>
    <t xml:space="preserve">√aᵢ</t>
  </si>
  <si>
    <t xml:space="preserve">used in the mixing rule</t>
  </si>
  <si>
    <t xml:space="preserve">Starting estimate of the K-value (Wilson)</t>
  </si>
  <si>
    <t xml:space="preserve">Kᵢ = Pcᵢ/P · exp[5.373·(1 + ωᵢ)·(1 − Tcᵢ/T)]   (Wilson correlation; starting estimate only)</t>
  </si>
  <si>
    <t xml:space="preserve">Interaction matrix (1 − kij): row i, column j;  kij from sheet "Mixture kij"</t>
  </si>
  <si>
    <t xml:space="preserve">component 1</t>
  </si>
  <si>
    <t xml:space="preserve">1 − k1,j</t>
  </si>
  <si>
    <t xml:space="preserve">component 2</t>
  </si>
  <si>
    <t xml:space="preserve">1 − k2,j</t>
  </si>
  <si>
    <t xml:space="preserve">component 3</t>
  </si>
  <si>
    <t xml:space="preserve">1 − k3,j</t>
  </si>
  <si>
    <t xml:space="preserve">component 4</t>
  </si>
  <si>
    <t xml:space="preserve">1 − k4,j</t>
  </si>
  <si>
    <t xml:space="preserve">component 5</t>
  </si>
  <si>
    <t xml:space="preserve">1 − k5,j</t>
  </si>
  <si>
    <t xml:space="preserve">component 6</t>
  </si>
  <si>
    <t xml:space="preserve">1 − k6,j</t>
  </si>
  <si>
    <t xml:space="preserve">component 7</t>
  </si>
  <si>
    <t xml:space="preserve">1 − k7,j</t>
  </si>
  <si>
    <t xml:space="preserve">component 8</t>
  </si>
  <si>
    <t xml:space="preserve">1 − k8,j</t>
  </si>
  <si>
    <t xml:space="preserve">component 9</t>
  </si>
  <si>
    <t xml:space="preserve">1 − k9,j</t>
  </si>
  <si>
    <t xml:space="preserve">component 10</t>
  </si>
  <si>
    <t xml:space="preserve">1 − k10,j</t>
  </si>
  <si>
    <t xml:space="preserve">component 11</t>
  </si>
  <si>
    <t xml:space="preserve">1 − k11,j</t>
  </si>
  <si>
    <t xml:space="preserve">component 12</t>
  </si>
  <si>
    <t xml:space="preserve">1 − k12,j</t>
  </si>
  <si>
    <t xml:space="preserve">Feed as a single phase.   Mixing rule:  a = Σᵢ Σⱼ xᵢ·xⱼ·(1 − kij)·√(aᵢ·aⱼ),   b = Σᵢ xᵢ·bᵢ</t>
  </si>
  <si>
    <t xml:space="preserve">Attraction sum of component i</t>
  </si>
  <si>
    <t xml:space="preserve">Sᵢ</t>
  </si>
  <si>
    <t xml:space="preserve">Sᵢ = √aᵢ · Σⱼ xⱼ·(1 − kij)·√aⱼ</t>
  </si>
  <si>
    <t xml:space="preserve">Attraction parameter of the mixture</t>
  </si>
  <si>
    <t xml:space="preserve">a</t>
  </si>
  <si>
    <t xml:space="preserve">a = Σᵢ xᵢ·Sᵢ</t>
  </si>
  <si>
    <t xml:space="preserve">Co-volume of the mixture</t>
  </si>
  <si>
    <t xml:space="preserve">b = Σᵢ xᵢ·bᵢ</t>
  </si>
  <si>
    <t xml:space="preserve">A = a·P / (R·T)²</t>
  </si>
  <si>
    <t xml:space="preserve">Cubic  Z³ + c2·Z² + c1·Z + c0 = 0</t>
  </si>
  <si>
    <t xml:space="preserve">First root, analytical solution (as on sheet "EOS steps")</t>
  </si>
  <si>
    <t xml:space="preserve">p = c1 − c2²/3</t>
  </si>
  <si>
    <t xml:space="preserve">D = q²/4 + p³/27</t>
  </si>
  <si>
    <t xml:space="preserve">t = u − p/(3u)      (D ≥ 0)</t>
  </si>
  <si>
    <t xml:space="preserve">t = r·cos(θ/3)      (D &lt; 0)</t>
  </si>
  <si>
    <t xml:space="preserve">The other two roots:  Z² − Σ·Z + Π = 0</t>
  </si>
  <si>
    <t xml:space="preserve">Δ = Σ² − 4Π</t>
  </si>
  <si>
    <t xml:space="preserve">Z₂ = [Σ + sign(Σ)·√Δ] / 2</t>
  </si>
  <si>
    <t xml:space="preserve">Z₃ = Π / Z₂   (−1 when it does not exist)</t>
  </si>
  <si>
    <t xml:space="preserve">Three physical roots?</t>
  </si>
  <si>
    <t xml:space="preserve">Δ ≥ 0, Z₃ &gt; B and Z₃ distinct from Z₁</t>
  </si>
  <si>
    <t xml:space="preserve">Largest root</t>
  </si>
  <si>
    <t xml:space="preserve">Smallest root (−1 if there is only one)</t>
  </si>
  <si>
    <t xml:space="preserve">Attraction term for Z_V</t>
  </si>
  <si>
    <t xml:space="preserve">vdW: L = A/Z      SRK: L = (A/B)·ln(1 + B/Z)      PR: L = A/(2√2·B)·ln[(Z + (1+√2)B)/(Z + (1−√2)B)]</t>
  </si>
  <si>
    <t xml:space="preserve">Gibbs energy of the root Z_V</t>
  </si>
  <si>
    <t xml:space="preserve">g = Z − 1 − ln(Z − B) − L      (the root with the lower g is the stable one)</t>
  </si>
  <si>
    <t xml:space="preserve">Attraction term for Z_L</t>
  </si>
  <si>
    <t xml:space="preserve">Gibbs energy of the root Z_L</t>
  </si>
  <si>
    <t xml:space="preserve">Does the liquid root win?</t>
  </si>
  <si>
    <t xml:space="preserve">three roots and g(Z_L) &lt; g(Z_V)</t>
  </si>
  <si>
    <t xml:space="preserve">Compressibility factor of the feed as one phase</t>
  </si>
  <si>
    <t xml:space="preserve">Attraction term of that root</t>
  </si>
  <si>
    <t xml:space="preserve">ln(Z − B)</t>
  </si>
  <si>
    <t xml:space="preserve">Fugacity coefficient of each component</t>
  </si>
  <si>
    <t xml:space="preserve">ln φᵢ</t>
  </si>
  <si>
    <t xml:space="preserve">ln φᵢ = (bᵢ/b)·(Z − 1) − ln(Z − B) − L·(2·Sᵢ/a − bᵢ/b)</t>
  </si>
  <si>
    <t xml:space="preserve">Is this phase liquid-like?</t>
  </si>
  <si>
    <t xml:space="preserve">B/Z &gt; Ωb/Zc,  i.e. Vm below the critical volume of the model</t>
  </si>
  <si>
    <t xml:space="preserve">Phase-stability test (Michelsen, 1982): three trial phases, iterated in the tables below</t>
  </si>
  <si>
    <t xml:space="preserve">Wilson K of the components present</t>
  </si>
  <si>
    <t xml:space="preserve">unused columns are set to 1E+300 so that they are never the minimum</t>
  </si>
  <si>
    <t xml:space="preserve">Least volatile component (lowest Wilson K)</t>
  </si>
  <si>
    <t xml:space="preserve">used to start trial 3</t>
  </si>
  <si>
    <t xml:space="preserve">Trial 1 start: vapour-like</t>
  </si>
  <si>
    <t xml:space="preserve">W</t>
  </si>
  <si>
    <t xml:space="preserve">Wᵢ = zᵢ·Kᵢ (Wilson)</t>
  </si>
  <si>
    <t xml:space="preserve">Trial 2 start: liquid-like</t>
  </si>
  <si>
    <t xml:space="preserve">Wᵢ = zᵢ / Kᵢ (Wilson)</t>
  </si>
  <si>
    <t xml:space="preserve">Trial 3 start: nearly pure least-volatile component</t>
  </si>
  <si>
    <t xml:space="preserve">0.9 for that component, 0.1 shared by the others</t>
  </si>
  <si>
    <t xml:space="preserve">Tangent-plane distance, trial 1</t>
  </si>
  <si>
    <t xml:space="preserve">tm</t>
  </si>
  <si>
    <t xml:space="preserve">tm = 1 + Σ Wᵢ·[ln Wᵢ + ln φᵢ(W) − ln zᵢ − ln φᵢ(feed) − 1]      (tm &lt; 0: the feed is unstable)</t>
  </si>
  <si>
    <t xml:space="preserve">Tangent-plane distance, trial 2</t>
  </si>
  <si>
    <t xml:space="preserve">Tangent-plane distance, trial 3</t>
  </si>
  <si>
    <t xml:space="preserve">Trial 1 converged to the feed (trivial solution)?</t>
  </si>
  <si>
    <t xml:space="preserve">same composition and same Z as the feed: no information</t>
  </si>
  <si>
    <t xml:space="preserve">Trial 2 converged to the feed (trivial solution)?</t>
  </si>
  <si>
    <t xml:space="preserve">Trial 3 converged to the feed (trivial solution)?</t>
  </si>
  <si>
    <t xml:space="preserve">Trial 1: tm if instability is indicated</t>
  </si>
  <si>
    <t xml:space="preserve">tm when tm &lt; −1E−9 and the trial is not the feed itself; otherwise 1E+99</t>
  </si>
  <si>
    <t xml:space="preserve">Trial 2: tm if instability is indicated</t>
  </si>
  <si>
    <t xml:space="preserve">Trial 3: tm if instability is indicated</t>
  </si>
  <si>
    <t xml:space="preserve">Trial 1 phase is lighter than the feed?</t>
  </si>
  <si>
    <t xml:space="preserve">Z(trial) &gt; Z(feed)</t>
  </si>
  <si>
    <t xml:space="preserve">Trial 2 phase is lighter than the feed?</t>
  </si>
  <si>
    <t xml:space="preserve">Trial 3 phase is lighter than the feed?</t>
  </si>
  <si>
    <t xml:space="preserve">K estimate from trial 1</t>
  </si>
  <si>
    <t xml:space="preserve">K = W/z if the trial phase is lighter than the feed, otherwise z/W</t>
  </si>
  <si>
    <t xml:space="preserve">K estimate from trial 2</t>
  </si>
  <si>
    <t xml:space="preserve">K estimate from trial 3</t>
  </si>
  <si>
    <t xml:space="preserve">Most negative tangent-plane distance</t>
  </si>
  <si>
    <t xml:space="preserve">Is the feed unstable (does it split)?</t>
  </si>
  <si>
    <t xml:space="preserve">Trial used to start phase-split table A</t>
  </si>
  <si>
    <t xml:space="preserve">the trial with the most negative tm</t>
  </si>
  <si>
    <t xml:space="preserve">Starting K for phase-split table A</t>
  </si>
  <si>
    <t xml:space="preserve">table B starts from the Wilson K</t>
  </si>
  <si>
    <t xml:space="preserve">Phase split: two tables below, started from different K-values; row 60 of each table is its result. The converged split with the lower Gibbs energy is used</t>
  </si>
  <si>
    <t xml:space="preserve">Gibbs-energy term of the feed as one phase</t>
  </si>
  <si>
    <t xml:space="preserve">ln fᵢ/P</t>
  </si>
  <si>
    <t xml:space="preserve">ln zᵢ + ln φᵢ(feed)</t>
  </si>
  <si>
    <t xml:space="preserve">Gibbs energy of the feed as one phase</t>
  </si>
  <si>
    <t xml:space="preserve">G/RT</t>
  </si>
  <si>
    <t xml:space="preserve">G = Σ zᵢ·(ln zᵢ + ln φᵢ)</t>
  </si>
  <si>
    <t xml:space="preserve">Table A (start: stability test): change of ln K in the last row</t>
  </si>
  <si>
    <t xml:space="preserve">Σ(Δ ln K)²</t>
  </si>
  <si>
    <t xml:space="preserve">must be below 1E−14</t>
  </si>
  <si>
    <t xml:space="preserve">Table A (start: stability test): size of ln K</t>
  </si>
  <si>
    <t xml:space="preserve">Σ(ln K)²</t>
  </si>
  <si>
    <t xml:space="preserve">must be above 1E−8 (otherwise the two phases have merged)</t>
  </si>
  <si>
    <t xml:space="preserve">Table A (start: stability test): K values on both sides of 1?</t>
  </si>
  <si>
    <t xml:space="preserve">Table A (start: stability test): fraction of the y-phase</t>
  </si>
  <si>
    <t xml:space="preserve">β</t>
  </si>
  <si>
    <t xml:space="preserve">solution of the Rachford-Rice equation  Σ zᵢ·(Kᵢ − 1)/(1 + β·(Kᵢ − 1)) = 0</t>
  </si>
  <si>
    <t xml:space="preserve">Table A (start: stability test): converged to two phases?</t>
  </si>
  <si>
    <t xml:space="preserve">Table A (start: stability test): Gibbs-energy term of each component</t>
  </si>
  <si>
    <t xml:space="preserve">ln yᵢ + ln φᵢ(y)   (at equilibrium equal in both phases)</t>
  </si>
  <si>
    <t xml:space="preserve">Table A (start: stability test): Gibbs energy of the split</t>
  </si>
  <si>
    <t xml:space="preserve">G = Σ zᵢ·(ln yᵢ + ln φᵢ(y))</t>
  </si>
  <si>
    <t xml:space="preserve">Table A (start: stability test): usable (converged and lower G than one phase)?</t>
  </si>
  <si>
    <t xml:space="preserve">Table B (start: Wilson K): change of ln K in the last row</t>
  </si>
  <si>
    <t xml:space="preserve">Table B (start: Wilson K): size of ln K</t>
  </si>
  <si>
    <t xml:space="preserve">Table B (start: Wilson K): K values on both sides of 1?</t>
  </si>
  <si>
    <t xml:space="preserve">Table B (start: Wilson K): fraction of the y-phase</t>
  </si>
  <si>
    <t xml:space="preserve">Table B (start: Wilson K): converged to two phases?</t>
  </si>
  <si>
    <t xml:space="preserve">Table B (start: Wilson K): Gibbs-energy term of each component</t>
  </si>
  <si>
    <t xml:space="preserve">Table B (start: Wilson K): Gibbs energy of the split</t>
  </si>
  <si>
    <t xml:space="preserve">Table B (start: Wilson K): usable (converged and lower G than one phase)?</t>
  </si>
  <si>
    <t xml:space="preserve">Table used  (1 = A, 2 = B, 0 = neither is usable)</t>
  </si>
  <si>
    <t xml:space="preserve">the usable table with the lower Gibbs energy</t>
  </si>
  <si>
    <t xml:space="preserve">RESULT:  1 = one phase,  2 = two phases,  3 = split not converged</t>
  </si>
  <si>
    <t xml:space="preserve">Result (from the table used). Phase 1 is the lighter phase (larger Z)</t>
  </si>
  <si>
    <t xml:space="preserve">Fraction of the y-phase</t>
  </si>
  <si>
    <t xml:space="preserve">Composition x</t>
  </si>
  <si>
    <t xml:space="preserve">x</t>
  </si>
  <si>
    <t xml:space="preserve">Composition y</t>
  </si>
  <si>
    <t xml:space="preserve">y</t>
  </si>
  <si>
    <t xml:space="preserve">ln φᵢ in the x-phase</t>
  </si>
  <si>
    <t xml:space="preserve">ln φᵢ in the y-phase</t>
  </si>
  <si>
    <t xml:space="preserve">Z of the x-phase</t>
  </si>
  <si>
    <t xml:space="preserve">Z of the y-phase</t>
  </si>
  <si>
    <t xml:space="preserve">x-phase liquid-like?</t>
  </si>
  <si>
    <t xml:space="preserve">y-phase liquid-like?</t>
  </si>
  <si>
    <t xml:space="preserve">Is the x-phase the lighter one?</t>
  </si>
  <si>
    <t xml:space="preserve">Z(x) &gt; Z(y)</t>
  </si>
  <si>
    <t xml:space="preserve">Mole fraction of the mixture in phase 1</t>
  </si>
  <si>
    <t xml:space="preserve">Composition of phase 1</t>
  </si>
  <si>
    <t xml:space="preserve">Composition of phase 2</t>
  </si>
  <si>
    <t xml:space="preserve">ln φᵢ in phase 1</t>
  </si>
  <si>
    <t xml:space="preserve">ln φᵢ in phase 2</t>
  </si>
  <si>
    <t xml:space="preserve">Z of phase 1</t>
  </si>
  <si>
    <t xml:space="preserve">Z of phase 2</t>
  </si>
  <si>
    <t xml:space="preserve">Phase 1 liquid-like?</t>
  </si>
  <si>
    <t xml:space="preserve">Name of phase 1</t>
  </si>
  <si>
    <t xml:space="preserve">one component: phase name from sheet "EOS steps"</t>
  </si>
  <si>
    <t xml:space="preserve">Name of phase 2</t>
  </si>
  <si>
    <t xml:space="preserve">Molar mass of phase 1</t>
  </si>
  <si>
    <t xml:space="preserve">M = Σ xᵢ·Mᵢ</t>
  </si>
  <si>
    <t xml:space="preserve">Molar mass of phase 2</t>
  </si>
  <si>
    <t xml:space="preserve">Molar volume of phase 1</t>
  </si>
  <si>
    <t xml:space="preserve">Molar volume of phase 2</t>
  </si>
  <si>
    <t xml:space="preserve">Molar mass of the whole mixture</t>
  </si>
  <si>
    <t xml:space="preserve">Molar volume of the whole mixture</t>
  </si>
  <si>
    <t xml:space="preserve">Vm = β·Vm(1) + (1 − β)·Vm(2)</t>
  </si>
  <si>
    <t xml:space="preserve">Overall compressibility factor</t>
  </si>
  <si>
    <t xml:space="preserve">Z = P·Vm / (R·T)</t>
  </si>
  <si>
    <t xml:space="preserve">Stability test, trial 1:  W(new)ᵢ = zᵢ·exp[ln φᵢ(feed) − ln φᵢ(W)],  repeated 40 times;  w = W / ΣW is the trial composition</t>
  </si>
  <si>
    <t xml:space="preserve">W 1</t>
  </si>
  <si>
    <t xml:space="preserve">W 2</t>
  </si>
  <si>
    <t xml:space="preserve">W 3</t>
  </si>
  <si>
    <t xml:space="preserve">W 4</t>
  </si>
  <si>
    <t xml:space="preserve">W 5</t>
  </si>
  <si>
    <t xml:space="preserve">W 6</t>
  </si>
  <si>
    <t xml:space="preserve">W 7</t>
  </si>
  <si>
    <t xml:space="preserve">W 8</t>
  </si>
  <si>
    <t xml:space="preserve">W 9</t>
  </si>
  <si>
    <t xml:space="preserve">W 10</t>
  </si>
  <si>
    <t xml:space="preserve">W 11</t>
  </si>
  <si>
    <t xml:space="preserve">W 12</t>
  </si>
  <si>
    <t xml:space="preserve">Σ W</t>
  </si>
  <si>
    <t xml:space="preserve">w 1</t>
  </si>
  <si>
    <t xml:space="preserve">w 2</t>
  </si>
  <si>
    <t xml:space="preserve">w 3</t>
  </si>
  <si>
    <t xml:space="preserve">w 4</t>
  </si>
  <si>
    <t xml:space="preserve">w 5</t>
  </si>
  <si>
    <t xml:space="preserve">w 6</t>
  </si>
  <si>
    <t xml:space="preserve">w 7</t>
  </si>
  <si>
    <t xml:space="preserve">w 8</t>
  </si>
  <si>
    <t xml:space="preserve">w 9</t>
  </si>
  <si>
    <t xml:space="preserve">w 10</t>
  </si>
  <si>
    <t xml:space="preserve">w 11</t>
  </si>
  <si>
    <t xml:space="preserve">w 12</t>
  </si>
  <si>
    <t xml:space="preserve">S 1</t>
  </si>
  <si>
    <t xml:space="preserve">S 2</t>
  </si>
  <si>
    <t xml:space="preserve">S 3</t>
  </si>
  <si>
    <t xml:space="preserve">S 4</t>
  </si>
  <si>
    <t xml:space="preserve">S 5</t>
  </si>
  <si>
    <t xml:space="preserve">S 6</t>
  </si>
  <si>
    <t xml:space="preserve">S 7</t>
  </si>
  <si>
    <t xml:space="preserve">S 8</t>
  </si>
  <si>
    <t xml:space="preserve">S 9</t>
  </si>
  <si>
    <t xml:space="preserve">S 10</t>
  </si>
  <si>
    <t xml:space="preserve">S 11</t>
  </si>
  <si>
    <t xml:space="preserve">S 12</t>
  </si>
  <si>
    <t xml:space="preserve">a (mixture)</t>
  </si>
  <si>
    <t xml:space="preserve">b (mixture)</t>
  </si>
  <si>
    <t xml:space="preserve">L(Z_V)</t>
  </si>
  <si>
    <t xml:space="preserve">g(Z_V)</t>
  </si>
  <si>
    <t xml:space="preserve">L(Z_L)</t>
  </si>
  <si>
    <t xml:space="preserve">g(Z_L)</t>
  </si>
  <si>
    <t xml:space="preserve">liquid root wins?</t>
  </si>
  <si>
    <t xml:space="preserve">L(Z)</t>
  </si>
  <si>
    <t xml:space="preserve">ln φ 1</t>
  </si>
  <si>
    <t xml:space="preserve">ln φ 2</t>
  </si>
  <si>
    <t xml:space="preserve">ln φ 3</t>
  </si>
  <si>
    <t xml:space="preserve">ln φ 4</t>
  </si>
  <si>
    <t xml:space="preserve">ln φ 5</t>
  </si>
  <si>
    <t xml:space="preserve">ln φ 6</t>
  </si>
  <si>
    <t xml:space="preserve">ln φ 7</t>
  </si>
  <si>
    <t xml:space="preserve">ln φ 8</t>
  </si>
  <si>
    <t xml:space="preserve">ln φ 9</t>
  </si>
  <si>
    <t xml:space="preserve">ln φ 10</t>
  </si>
  <si>
    <t xml:space="preserve">ln φ 11</t>
  </si>
  <si>
    <t xml:space="preserve">ln φ 12</t>
  </si>
  <si>
    <t xml:space="preserve">liquid-like?</t>
  </si>
  <si>
    <t xml:space="preserve">Σ (w − z)²</t>
  </si>
  <si>
    <t xml:space="preserve">Stability test, trial 2:  W(new)ᵢ = zᵢ·exp[ln φᵢ(feed) − ln φᵢ(W)],  repeated 40 times;  w = W / ΣW is the trial composition</t>
  </si>
  <si>
    <t xml:space="preserve">Stability test, trial 3:  W(new)ᵢ = zᵢ·exp[ln φᵢ(feed) − ln φᵢ(W)],  repeated 40 times;  w = W / ΣW is the trial composition</t>
  </si>
  <si>
    <t xml:space="preserve">Phase split, table A (start: K from the stability test). Each row: solve the Rachford-Rice equation for β (10 Newton steps), get x and y, evaluate both phases, new ln Kᵢ = ln φᵢ(x) − ln φᵢ(y);  60 rows, the last row is the result</t>
  </si>
  <si>
    <t xml:space="preserve">ln K 1</t>
  </si>
  <si>
    <t xml:space="preserve">ln K 2</t>
  </si>
  <si>
    <t xml:space="preserve">ln K 3</t>
  </si>
  <si>
    <t xml:space="preserve">ln K 4</t>
  </si>
  <si>
    <t xml:space="preserve">ln K 5</t>
  </si>
  <si>
    <t xml:space="preserve">ln K 6</t>
  </si>
  <si>
    <t xml:space="preserve">ln K 7</t>
  </si>
  <si>
    <t xml:space="preserve">ln K 8</t>
  </si>
  <si>
    <t xml:space="preserve">ln K 9</t>
  </si>
  <si>
    <t xml:space="preserve">ln K 10</t>
  </si>
  <si>
    <t xml:space="preserve">ln K 11</t>
  </si>
  <si>
    <t xml:space="preserve">ln K 12</t>
  </si>
  <si>
    <t xml:space="preserve">K 1</t>
  </si>
  <si>
    <t xml:space="preserve">K 2</t>
  </si>
  <si>
    <t xml:space="preserve">K 3</t>
  </si>
  <si>
    <t xml:space="preserve">K 4</t>
  </si>
  <si>
    <t xml:space="preserve">K 5</t>
  </si>
  <si>
    <t xml:space="preserve">K 6</t>
  </si>
  <si>
    <t xml:space="preserve">K 7</t>
  </si>
  <si>
    <t xml:space="preserve">K 8</t>
  </si>
  <si>
    <t xml:space="preserve">K 9</t>
  </si>
  <si>
    <t xml:space="preserve">K 10</t>
  </si>
  <si>
    <t xml:space="preserve">K 11</t>
  </si>
  <si>
    <t xml:space="preserve">K 12</t>
  </si>
  <si>
    <t xml:space="preserve">K max</t>
  </si>
  <si>
    <t xml:space="preserve">K min</t>
  </si>
  <si>
    <t xml:space="preserve">K both sides of 1?</t>
  </si>
  <si>
    <t xml:space="preserve">β lower limit</t>
  </si>
  <si>
    <t xml:space="preserve">β upper limit</t>
  </si>
  <si>
    <t xml:space="preserve">β start</t>
  </si>
  <si>
    <t xml:space="preserve">RR g, step 1</t>
  </si>
  <si>
    <t xml:space="preserve">RR g', step 1</t>
  </si>
  <si>
    <t xml:space="preserve">β, step 1</t>
  </si>
  <si>
    <t xml:space="preserve">RR g, step 2</t>
  </si>
  <si>
    <t xml:space="preserve">RR g', step 2</t>
  </si>
  <si>
    <t xml:space="preserve">β, step 2</t>
  </si>
  <si>
    <t xml:space="preserve">RR g, step 3</t>
  </si>
  <si>
    <t xml:space="preserve">RR g', step 3</t>
  </si>
  <si>
    <t xml:space="preserve">β, step 3</t>
  </si>
  <si>
    <t xml:space="preserve">RR g, step 4</t>
  </si>
  <si>
    <t xml:space="preserve">RR g', step 4</t>
  </si>
  <si>
    <t xml:space="preserve">β, step 4</t>
  </si>
  <si>
    <t xml:space="preserve">RR g, step 5</t>
  </si>
  <si>
    <t xml:space="preserve">RR g', step 5</t>
  </si>
  <si>
    <t xml:space="preserve">β, step 5</t>
  </si>
  <si>
    <t xml:space="preserve">RR g, step 6</t>
  </si>
  <si>
    <t xml:space="preserve">RR g', step 6</t>
  </si>
  <si>
    <t xml:space="preserve">β, step 6</t>
  </si>
  <si>
    <t xml:space="preserve">RR g, step 7</t>
  </si>
  <si>
    <t xml:space="preserve">RR g', step 7</t>
  </si>
  <si>
    <t xml:space="preserve">β, step 7</t>
  </si>
  <si>
    <t xml:space="preserve">RR g, step 8</t>
  </si>
  <si>
    <t xml:space="preserve">RR g', step 8</t>
  </si>
  <si>
    <t xml:space="preserve">β, step 8</t>
  </si>
  <si>
    <t xml:space="preserve">RR g, step 9</t>
  </si>
  <si>
    <t xml:space="preserve">RR g', step 9</t>
  </si>
  <si>
    <t xml:space="preserve">β, step 9</t>
  </si>
  <si>
    <t xml:space="preserve">RR g, step 10</t>
  </si>
  <si>
    <t xml:space="preserve">RR g', step 10</t>
  </si>
  <si>
    <t xml:space="preserve">β, step 10</t>
  </si>
  <si>
    <t xml:space="preserve">z/(1+β(K−1)) 1</t>
  </si>
  <si>
    <t xml:space="preserve">z/(1+β(K−1)) 2</t>
  </si>
  <si>
    <t xml:space="preserve">z/(1+β(K−1)) 3</t>
  </si>
  <si>
    <t xml:space="preserve">z/(1+β(K−1)) 4</t>
  </si>
  <si>
    <t xml:space="preserve">z/(1+β(K−1)) 5</t>
  </si>
  <si>
    <t xml:space="preserve">z/(1+β(K−1)) 6</t>
  </si>
  <si>
    <t xml:space="preserve">z/(1+β(K−1)) 7</t>
  </si>
  <si>
    <t xml:space="preserve">z/(1+β(K−1)) 8</t>
  </si>
  <si>
    <t xml:space="preserve">z/(1+β(K−1)) 9</t>
  </si>
  <si>
    <t xml:space="preserve">z/(1+β(K−1)) 10</t>
  </si>
  <si>
    <t xml:space="preserve">z/(1+β(K−1)) 11</t>
  </si>
  <si>
    <t xml:space="preserve">z/(1+β(K−1)) 12</t>
  </si>
  <si>
    <t xml:space="preserve">Σ K·…</t>
  </si>
  <si>
    <t xml:space="preserve">x 1</t>
  </si>
  <si>
    <t xml:space="preserve">x 2</t>
  </si>
  <si>
    <t xml:space="preserve">x 3</t>
  </si>
  <si>
    <t xml:space="preserve">x 4</t>
  </si>
  <si>
    <t xml:space="preserve">x 5</t>
  </si>
  <si>
    <t xml:space="preserve">x 6</t>
  </si>
  <si>
    <t xml:space="preserve">x 7</t>
  </si>
  <si>
    <t xml:space="preserve">x 8</t>
  </si>
  <si>
    <t xml:space="preserve">x 9</t>
  </si>
  <si>
    <t xml:space="preserve">x 10</t>
  </si>
  <si>
    <t xml:space="preserve">x 11</t>
  </si>
  <si>
    <t xml:space="preserve">x 12</t>
  </si>
  <si>
    <t xml:space="preserve">y 1</t>
  </si>
  <si>
    <t xml:space="preserve">y 2</t>
  </si>
  <si>
    <t xml:space="preserve">y 3</t>
  </si>
  <si>
    <t xml:space="preserve">y 4</t>
  </si>
  <si>
    <t xml:space="preserve">y 5</t>
  </si>
  <si>
    <t xml:space="preserve">y 6</t>
  </si>
  <si>
    <t xml:space="preserve">y 7</t>
  </si>
  <si>
    <t xml:space="preserve">y 8</t>
  </si>
  <si>
    <t xml:space="preserve">y 9</t>
  </si>
  <si>
    <t xml:space="preserve">y 10</t>
  </si>
  <si>
    <t xml:space="preserve">y 11</t>
  </si>
  <si>
    <t xml:space="preserve">y 12</t>
  </si>
  <si>
    <t xml:space="preserve">S 1 (x)</t>
  </si>
  <si>
    <t xml:space="preserve">S 2 (x)</t>
  </si>
  <si>
    <t xml:space="preserve">S 3 (x)</t>
  </si>
  <si>
    <t xml:space="preserve">S 4 (x)</t>
  </si>
  <si>
    <t xml:space="preserve">S 5 (x)</t>
  </si>
  <si>
    <t xml:space="preserve">S 6 (x)</t>
  </si>
  <si>
    <t xml:space="preserve">S 7 (x)</t>
  </si>
  <si>
    <t xml:space="preserve">S 8 (x)</t>
  </si>
  <si>
    <t xml:space="preserve">S 9 (x)</t>
  </si>
  <si>
    <t xml:space="preserve">S 10 (x)</t>
  </si>
  <si>
    <t xml:space="preserve">S 11 (x)</t>
  </si>
  <si>
    <t xml:space="preserve">S 12 (x)</t>
  </si>
  <si>
    <t xml:space="preserve">a (mixture) (x)</t>
  </si>
  <si>
    <t xml:space="preserve">b (mixture) (x)</t>
  </si>
  <si>
    <t xml:space="preserve">A (x)</t>
  </si>
  <si>
    <t xml:space="preserve">B (x)</t>
  </si>
  <si>
    <t xml:space="preserve">c2 (x)</t>
  </si>
  <si>
    <t xml:space="preserve">c1 (x)</t>
  </si>
  <si>
    <t xml:space="preserve">c0 (x)</t>
  </si>
  <si>
    <t xml:space="preserve">p (x)</t>
  </si>
  <si>
    <t xml:space="preserve">q (x)</t>
  </si>
  <si>
    <t xml:space="preserve">D (x)</t>
  </si>
  <si>
    <t xml:space="preserve">w (x)</t>
  </si>
  <si>
    <t xml:space="preserve">u (x)</t>
  </si>
  <si>
    <t xml:space="preserve">t (Cardano) (x)</t>
  </si>
  <si>
    <t xml:space="preserve">r (x)</t>
  </si>
  <si>
    <t xml:space="preserve">θ (x)</t>
  </si>
  <si>
    <t xml:space="preserve">t (trig) (x)</t>
  </si>
  <si>
    <t xml:space="preserve">Z₁ (x)</t>
  </si>
  <si>
    <t xml:space="preserve">δ (x)</t>
  </si>
  <si>
    <t xml:space="preserve">Z₁ final (x)</t>
  </si>
  <si>
    <t xml:space="preserve">Π (x)</t>
  </si>
  <si>
    <t xml:space="preserve">Σ (x)</t>
  </si>
  <si>
    <t xml:space="preserve">Δ (x)</t>
  </si>
  <si>
    <t xml:space="preserve">Z₂ (x)</t>
  </si>
  <si>
    <t xml:space="preserve">Z₃ (x)</t>
  </si>
  <si>
    <t xml:space="preserve">3 roots? (x)</t>
  </si>
  <si>
    <t xml:space="preserve">Z₃ final (x)</t>
  </si>
  <si>
    <t xml:space="preserve">Z_V (x)</t>
  </si>
  <si>
    <t xml:space="preserve">Z_L (x)</t>
  </si>
  <si>
    <t xml:space="preserve">L(Z_V) (x)</t>
  </si>
  <si>
    <t xml:space="preserve">g(Z_V) (x)</t>
  </si>
  <si>
    <t xml:space="preserve">L(Z_L) (x)</t>
  </si>
  <si>
    <t xml:space="preserve">g(Z_L) (x)</t>
  </si>
  <si>
    <t xml:space="preserve">liquid root wins? (x)</t>
  </si>
  <si>
    <t xml:space="preserve">Z (x)</t>
  </si>
  <si>
    <t xml:space="preserve">L(Z) (x)</t>
  </si>
  <si>
    <t xml:space="preserve">ln(Z − B) (x)</t>
  </si>
  <si>
    <t xml:space="preserve">ln φ 1 (x)</t>
  </si>
  <si>
    <t xml:space="preserve">ln φ 2 (x)</t>
  </si>
  <si>
    <t xml:space="preserve">ln φ 3 (x)</t>
  </si>
  <si>
    <t xml:space="preserve">ln φ 4 (x)</t>
  </si>
  <si>
    <t xml:space="preserve">ln φ 5 (x)</t>
  </si>
  <si>
    <t xml:space="preserve">ln φ 6 (x)</t>
  </si>
  <si>
    <t xml:space="preserve">ln φ 7 (x)</t>
  </si>
  <si>
    <t xml:space="preserve">ln φ 8 (x)</t>
  </si>
  <si>
    <t xml:space="preserve">ln φ 9 (x)</t>
  </si>
  <si>
    <t xml:space="preserve">ln φ 10 (x)</t>
  </si>
  <si>
    <t xml:space="preserve">ln φ 11 (x)</t>
  </si>
  <si>
    <t xml:space="preserve">ln φ 12 (x)</t>
  </si>
  <si>
    <t xml:space="preserve">liquid-like? (x)</t>
  </si>
  <si>
    <t xml:space="preserve">S 1 (y)</t>
  </si>
  <si>
    <t xml:space="preserve">S 2 (y)</t>
  </si>
  <si>
    <t xml:space="preserve">S 3 (y)</t>
  </si>
  <si>
    <t xml:space="preserve">S 4 (y)</t>
  </si>
  <si>
    <t xml:space="preserve">S 5 (y)</t>
  </si>
  <si>
    <t xml:space="preserve">S 6 (y)</t>
  </si>
  <si>
    <t xml:space="preserve">S 7 (y)</t>
  </si>
  <si>
    <t xml:space="preserve">S 8 (y)</t>
  </si>
  <si>
    <t xml:space="preserve">S 9 (y)</t>
  </si>
  <si>
    <t xml:space="preserve">S 10 (y)</t>
  </si>
  <si>
    <t xml:space="preserve">S 11 (y)</t>
  </si>
  <si>
    <t xml:space="preserve">S 12 (y)</t>
  </si>
  <si>
    <t xml:space="preserve">a (mixture) (y)</t>
  </si>
  <si>
    <t xml:space="preserve">b (mixture) (y)</t>
  </si>
  <si>
    <t xml:space="preserve">A (y)</t>
  </si>
  <si>
    <t xml:space="preserve">B (y)</t>
  </si>
  <si>
    <t xml:space="preserve">c2 (y)</t>
  </si>
  <si>
    <t xml:space="preserve">c1 (y)</t>
  </si>
  <si>
    <t xml:space="preserve">c0 (y)</t>
  </si>
  <si>
    <t xml:space="preserve">p (y)</t>
  </si>
  <si>
    <t xml:space="preserve">q (y)</t>
  </si>
  <si>
    <t xml:space="preserve">D (y)</t>
  </si>
  <si>
    <t xml:space="preserve">w (y)</t>
  </si>
  <si>
    <t xml:space="preserve">u (y)</t>
  </si>
  <si>
    <t xml:space="preserve">t (Cardano) (y)</t>
  </si>
  <si>
    <t xml:space="preserve">r (y)</t>
  </si>
  <si>
    <t xml:space="preserve">θ (y)</t>
  </si>
  <si>
    <t xml:space="preserve">t (trig) (y)</t>
  </si>
  <si>
    <t xml:space="preserve">Z₁ (y)</t>
  </si>
  <si>
    <t xml:space="preserve">δ (y)</t>
  </si>
  <si>
    <t xml:space="preserve">Z₁ final (y)</t>
  </si>
  <si>
    <t xml:space="preserve">Π (y)</t>
  </si>
  <si>
    <t xml:space="preserve">Σ (y)</t>
  </si>
  <si>
    <t xml:space="preserve">Δ (y)</t>
  </si>
  <si>
    <t xml:space="preserve">Z₂ (y)</t>
  </si>
  <si>
    <t xml:space="preserve">Z₃ (y)</t>
  </si>
  <si>
    <t xml:space="preserve">3 roots? (y)</t>
  </si>
  <si>
    <t xml:space="preserve">Z₃ final (y)</t>
  </si>
  <si>
    <t xml:space="preserve">Z_V (y)</t>
  </si>
  <si>
    <t xml:space="preserve">Z_L (y)</t>
  </si>
  <si>
    <t xml:space="preserve">L(Z_V) (y)</t>
  </si>
  <si>
    <t xml:space="preserve">g(Z_V) (y)</t>
  </si>
  <si>
    <t xml:space="preserve">L(Z_L) (y)</t>
  </si>
  <si>
    <t xml:space="preserve">g(Z_L) (y)</t>
  </si>
  <si>
    <t xml:space="preserve">liquid root wins? (y)</t>
  </si>
  <si>
    <t xml:space="preserve">Z (y)</t>
  </si>
  <si>
    <t xml:space="preserve">L(Z) (y)</t>
  </si>
  <si>
    <t xml:space="preserve">ln(Z − B) (y)</t>
  </si>
  <si>
    <t xml:space="preserve">ln φ 1 (y)</t>
  </si>
  <si>
    <t xml:space="preserve">ln φ 2 (y)</t>
  </si>
  <si>
    <t xml:space="preserve">ln φ 3 (y)</t>
  </si>
  <si>
    <t xml:space="preserve">ln φ 4 (y)</t>
  </si>
  <si>
    <t xml:space="preserve">ln φ 5 (y)</t>
  </si>
  <si>
    <t xml:space="preserve">ln φ 6 (y)</t>
  </si>
  <si>
    <t xml:space="preserve">ln φ 7 (y)</t>
  </si>
  <si>
    <t xml:space="preserve">ln φ 8 (y)</t>
  </si>
  <si>
    <t xml:space="preserve">ln φ 9 (y)</t>
  </si>
  <si>
    <t xml:space="preserve">ln φ 10 (y)</t>
  </si>
  <si>
    <t xml:space="preserve">ln φ 11 (y)</t>
  </si>
  <si>
    <t xml:space="preserve">ln φ 12 (y)</t>
  </si>
  <si>
    <t xml:space="preserve">liquid-like? (y)</t>
  </si>
  <si>
    <t xml:space="preserve">new ln K 1</t>
  </si>
  <si>
    <t xml:space="preserve">new ln K 2</t>
  </si>
  <si>
    <t xml:space="preserve">new ln K 3</t>
  </si>
  <si>
    <t xml:space="preserve">new ln K 4</t>
  </si>
  <si>
    <t xml:space="preserve">new ln K 5</t>
  </si>
  <si>
    <t xml:space="preserve">new ln K 6</t>
  </si>
  <si>
    <t xml:space="preserve">new ln K 7</t>
  </si>
  <si>
    <t xml:space="preserve">new ln K 8</t>
  </si>
  <si>
    <t xml:space="preserve">new ln K 9</t>
  </si>
  <si>
    <t xml:space="preserve">new ln K 10</t>
  </si>
  <si>
    <t xml:space="preserve">new ln K 11</t>
  </si>
  <si>
    <t xml:space="preserve">new ln K 12</t>
  </si>
  <si>
    <t xml:space="preserve">Σ (Δ ln K)²</t>
  </si>
  <si>
    <t xml:space="preserve">Σ (ln K)²</t>
  </si>
  <si>
    <t xml:space="preserve">Phase split, table B (start: Wilson K). Each row: solve the Rachford-Rice equation for β (10 Newton steps), get x and y, evaluate both phases, new ln Kᵢ = ln φᵢ(x) − ln φᵢ(y);  60 rows, the last row is the result</t>
  </si>
  <si>
    <t xml:space="preserve">Gas Property Data</t>
  </si>
  <si>
    <t xml:space="preserve">127 components. Values are identical to the multicalci.com online calculator. Do not edit this sheet: enter custom properties on the Calculator sheet instead.</t>
  </si>
  <si>
    <t xml:space="preserve">Gas</t>
  </si>
  <si>
    <t xml:space="preserve">Group</t>
  </si>
  <si>
    <t xml:space="preserve">ω (acentric factor)</t>
  </si>
  <si>
    <t xml:space="preserve">Component ID</t>
  </si>
  <si>
    <t xml:space="preserve">Pressure unit (absolute)</t>
  </si>
  <si>
    <t xml:space="preserve">Pa per unit</t>
  </si>
  <si>
    <t xml:space="preserve">Nitrogen (N2)</t>
  </si>
  <si>
    <t xml:space="preserve">Permanent / inorganic</t>
  </si>
  <si>
    <t xml:space="preserve">N2</t>
  </si>
  <si>
    <t xml:space="preserve">Oxygen (O2)</t>
  </si>
  <si>
    <t xml:space="preserve">O2</t>
  </si>
  <si>
    <t xml:space="preserve">kPa</t>
  </si>
  <si>
    <t xml:space="preserve">Hydrogen (H2)</t>
  </si>
  <si>
    <t xml:space="preserve">H2</t>
  </si>
  <si>
    <t xml:space="preserve">MPa</t>
  </si>
  <si>
    <t xml:space="preserve">Carbon Dioxide (CO2)</t>
  </si>
  <si>
    <t xml:space="preserve">CO2</t>
  </si>
  <si>
    <t xml:space="preserve">psia</t>
  </si>
  <si>
    <t xml:space="preserve">Carbon Monoxide (CO)</t>
  </si>
  <si>
    <t xml:space="preserve">CO</t>
  </si>
  <si>
    <t xml:space="preserve">atm</t>
  </si>
  <si>
    <t xml:space="preserve">Water / Steam (H2O)</t>
  </si>
  <si>
    <t xml:space="preserve">H2O</t>
  </si>
  <si>
    <t xml:space="preserve">kg/cm²</t>
  </si>
  <si>
    <t xml:space="preserve">Ammonia (NH3)</t>
  </si>
  <si>
    <t xml:space="preserve">NH3</t>
  </si>
  <si>
    <t xml:space="preserve">Hydrogen Sulfide (H2S)</t>
  </si>
  <si>
    <t xml:space="preserve">H2S</t>
  </si>
  <si>
    <t xml:space="preserve">Temperature unit</t>
  </si>
  <si>
    <t xml:space="preserve">Sulfur Dioxide (SO2)</t>
  </si>
  <si>
    <t xml:space="preserve">SO2</t>
  </si>
  <si>
    <t xml:space="preserve">Sulfur Trioxide (SO3)</t>
  </si>
  <si>
    <t xml:space="preserve">SO3</t>
  </si>
  <si>
    <t xml:space="preserve">Nitric Oxide (NO)</t>
  </si>
  <si>
    <t xml:space="preserve">NO</t>
  </si>
  <si>
    <t xml:space="preserve">°F</t>
  </si>
  <si>
    <t xml:space="preserve">Nitrogen Dioxide (NO2)</t>
  </si>
  <si>
    <t xml:space="preserve">NO2</t>
  </si>
  <si>
    <t xml:space="preserve">Nitrous Oxide (N2O)</t>
  </si>
  <si>
    <t xml:space="preserve">N2O</t>
  </si>
  <si>
    <t xml:space="preserve">Conversion factors: 1 psi = 6894.757 Pa; 1 atm = 101325 Pa (exact); 1 kg/cm² = 98066.5 Pa (exact).</t>
  </si>
  <si>
    <t xml:space="preserve">Dinitrogen Tetroxide (N2O4)</t>
  </si>
  <si>
    <t xml:space="preserve">N2O4</t>
  </si>
  <si>
    <t xml:space="preserve">Sources of critical constants: reference equations of state as implemented in CoolProp, and</t>
  </si>
  <si>
    <t xml:space="preserve">Hydrogen Chloride (HCl)</t>
  </si>
  <si>
    <t xml:space="preserve">HCl</t>
  </si>
  <si>
    <t xml:space="preserve">evaluated handbook data (IUPAC critical-data reviews, DIPPR, Yaws) where no reference equation exists.</t>
  </si>
  <si>
    <t xml:space="preserve">Hydrogen Bromide (HBr)</t>
  </si>
  <si>
    <t xml:space="preserve">HBr</t>
  </si>
  <si>
    <t xml:space="preserve">Refrigerant blends use pseudo-pure critical constants: bubble and dew pressures are not distinguished.</t>
  </si>
  <si>
    <t xml:space="preserve">Hydrogen Fluoride (HF)</t>
  </si>
  <si>
    <t xml:space="preserve">HF</t>
  </si>
  <si>
    <t xml:space="preserve">Largest uncertainty: acentric factor of WF6 (literature range 0.16 to 0.31; 0.232 used).</t>
  </si>
  <si>
    <t xml:space="preserve">Hydrogen Cyanide (HCN)</t>
  </si>
  <si>
    <t xml:space="preserve">HCN</t>
  </si>
  <si>
    <t xml:space="preserve">Chlorine (Cl2)</t>
  </si>
  <si>
    <t xml:space="preserve">Cl2</t>
  </si>
  <si>
    <t xml:space="preserve">Fluorine (F2)</t>
  </si>
  <si>
    <t xml:space="preserve">F2</t>
  </si>
  <si>
    <t xml:space="preserve">Bromine (Br2)</t>
  </si>
  <si>
    <t xml:space="preserve">Br2</t>
  </si>
  <si>
    <t xml:space="preserve">Phosphine (PH3)</t>
  </si>
  <si>
    <t xml:space="preserve">PH3</t>
  </si>
  <si>
    <t xml:space="preserve">Silane (SiH4)</t>
  </si>
  <si>
    <t xml:space="preserve">SiH4</t>
  </si>
  <si>
    <t xml:space="preserve">Boron Trifluoride (BF3)</t>
  </si>
  <si>
    <t xml:space="preserve">BF3</t>
  </si>
  <si>
    <t xml:space="preserve">Phosgene (COCl2)</t>
  </si>
  <si>
    <t xml:space="preserve">COCl2</t>
  </si>
  <si>
    <t xml:space="preserve">Carbon Disulfide (CS2)</t>
  </si>
  <si>
    <t xml:space="preserve">CS2</t>
  </si>
  <si>
    <t xml:space="preserve">Carbonyl Sulfide (COS)</t>
  </si>
  <si>
    <t xml:space="preserve">COS</t>
  </si>
  <si>
    <t xml:space="preserve">Nitrogen Trifluoride (NF3)</t>
  </si>
  <si>
    <t xml:space="preserve">NF3</t>
  </si>
  <si>
    <t xml:space="preserve">Sulfur Hexafluoride (SF6)</t>
  </si>
  <si>
    <t xml:space="preserve">SF6</t>
  </si>
  <si>
    <t xml:space="preserve">Tungsten Hexafluoride (WF6)</t>
  </si>
  <si>
    <t xml:space="preserve">WF6</t>
  </si>
  <si>
    <t xml:space="preserve">Uranium Hexafluoride (UF6)</t>
  </si>
  <si>
    <t xml:space="preserve">UF6</t>
  </si>
  <si>
    <t xml:space="preserve">Helium (He)</t>
  </si>
  <si>
    <t xml:space="preserve">Noble gases</t>
  </si>
  <si>
    <t xml:space="preserve">He</t>
  </si>
  <si>
    <t xml:space="preserve">Neon (Ne)</t>
  </si>
  <si>
    <t xml:space="preserve">Ne</t>
  </si>
  <si>
    <t xml:space="preserve">Argon (Ar)</t>
  </si>
  <si>
    <t xml:space="preserve">Ar</t>
  </si>
  <si>
    <t xml:space="preserve">Krypton (Kr)</t>
  </si>
  <si>
    <t xml:space="preserve">Kr</t>
  </si>
  <si>
    <t xml:space="preserve">Xenon (Xe)</t>
  </si>
  <si>
    <t xml:space="preserve">Xe</t>
  </si>
  <si>
    <t xml:space="preserve">Alkanes / cycloalkanes</t>
  </si>
  <si>
    <t xml:space="preserve">CH4</t>
  </si>
  <si>
    <t xml:space="preserve">Ethane (C2H6)</t>
  </si>
  <si>
    <t xml:space="preserve">C2H6</t>
  </si>
  <si>
    <t xml:space="preserve">Propane (C3H8)</t>
  </si>
  <si>
    <t xml:space="preserve">C3H8</t>
  </si>
  <si>
    <t xml:space="preserve">n-Butane</t>
  </si>
  <si>
    <t xml:space="preserve">nC4</t>
  </si>
  <si>
    <t xml:space="preserve">i-Butane</t>
  </si>
  <si>
    <t xml:space="preserve">iC4</t>
  </si>
  <si>
    <t xml:space="preserve">n-Pentane</t>
  </si>
  <si>
    <t xml:space="preserve">nC5</t>
  </si>
  <si>
    <t xml:space="preserve">i-Pentane (i-C5H12)</t>
  </si>
  <si>
    <t xml:space="preserve">iC5</t>
  </si>
  <si>
    <t xml:space="preserve">Neopentane (C5H12)</t>
  </si>
  <si>
    <t xml:space="preserve">neoC5</t>
  </si>
  <si>
    <t xml:space="preserve">n-Hexane</t>
  </si>
  <si>
    <t xml:space="preserve">nC6</t>
  </si>
  <si>
    <t xml:space="preserve">n-Heptane</t>
  </si>
  <si>
    <t xml:space="preserve">nC7</t>
  </si>
  <si>
    <t xml:space="preserve">n-Octane</t>
  </si>
  <si>
    <t xml:space="preserve">nC8</t>
  </si>
  <si>
    <t xml:space="preserve">n-Nonane (n-C9H20)</t>
  </si>
  <si>
    <t xml:space="preserve">nC9</t>
  </si>
  <si>
    <t xml:space="preserve">n-Decane (n-C10H22)</t>
  </si>
  <si>
    <t xml:space="preserve">nC10</t>
  </si>
  <si>
    <t xml:space="preserve">n-Dodecane (n-C12H26)</t>
  </si>
  <si>
    <t xml:space="preserve">nC12</t>
  </si>
  <si>
    <t xml:space="preserve">n-Hexadecane (C16H34)</t>
  </si>
  <si>
    <t xml:space="preserve">nC16</t>
  </si>
  <si>
    <t xml:space="preserve">Cyclopentane (c-C5H10)</t>
  </si>
  <si>
    <t xml:space="preserve">cC5</t>
  </si>
  <si>
    <t xml:space="preserve">Cyclohexane (c-C6H12)</t>
  </si>
  <si>
    <t xml:space="preserve">cC6</t>
  </si>
  <si>
    <t xml:space="preserve">Methylcyclohexane (C7H14)</t>
  </si>
  <si>
    <t xml:space="preserve">MC6</t>
  </si>
  <si>
    <t xml:space="preserve">Ethylene (C2H4)</t>
  </si>
  <si>
    <t xml:space="preserve">Alkenes / alkynes / dienes</t>
  </si>
  <si>
    <t xml:space="preserve">C2H4</t>
  </si>
  <si>
    <t xml:space="preserve">Propylene (C3H6)</t>
  </si>
  <si>
    <t xml:space="preserve">C3H6</t>
  </si>
  <si>
    <t xml:space="preserve">1-Butene (1-C4H8)</t>
  </si>
  <si>
    <t xml:space="preserve">1C4</t>
  </si>
  <si>
    <t xml:space="preserve">i-Butylene (i-C4H8)</t>
  </si>
  <si>
    <t xml:space="preserve">iC4e</t>
  </si>
  <si>
    <t xml:space="preserve">1-Pentene (1-C5H10)</t>
  </si>
  <si>
    <t xml:space="preserve">1C5</t>
  </si>
  <si>
    <t xml:space="preserve">Acetylene (C2H2)</t>
  </si>
  <si>
    <t xml:space="preserve">C2H2</t>
  </si>
  <si>
    <t xml:space="preserve">Propadiene (C3H4)</t>
  </si>
  <si>
    <t xml:space="preserve">propadiene</t>
  </si>
  <si>
    <t xml:space="preserve">1,3-Butadiene (C4H6)</t>
  </si>
  <si>
    <t xml:space="preserve">butadiene</t>
  </si>
  <si>
    <t xml:space="preserve">Isoprene (C5H8)</t>
  </si>
  <si>
    <t xml:space="preserve">isoprene</t>
  </si>
  <si>
    <t xml:space="preserve">Benzene (C6H6)</t>
  </si>
  <si>
    <t xml:space="preserve">Aromatics</t>
  </si>
  <si>
    <t xml:space="preserve">Benz</t>
  </si>
  <si>
    <t xml:space="preserve">Toluene (C7H8)</t>
  </si>
  <si>
    <t xml:space="preserve">Tol</t>
  </si>
  <si>
    <t xml:space="preserve">o-Xylene (C8H10)</t>
  </si>
  <si>
    <t xml:space="preserve">oXyl</t>
  </si>
  <si>
    <t xml:space="preserve">m-Xylene (C8H10)</t>
  </si>
  <si>
    <t xml:space="preserve">mXyl</t>
  </si>
  <si>
    <t xml:space="preserve">p-Xylene (C8H10)</t>
  </si>
  <si>
    <t xml:space="preserve">pXyl</t>
  </si>
  <si>
    <t xml:space="preserve">Ethylbenzene (C8H10)</t>
  </si>
  <si>
    <t xml:space="preserve">EB</t>
  </si>
  <si>
    <t xml:space="preserve">Styrene (C8H8)</t>
  </si>
  <si>
    <t xml:space="preserve">Styr</t>
  </si>
  <si>
    <t xml:space="preserve">Cumene (C9H12)</t>
  </si>
  <si>
    <t xml:space="preserve">Cumen</t>
  </si>
  <si>
    <t xml:space="preserve">Naphthalene (C10H8)</t>
  </si>
  <si>
    <t xml:space="preserve">Naph</t>
  </si>
  <si>
    <t xml:space="preserve">Methanol (CH3OH)</t>
  </si>
  <si>
    <t xml:space="preserve">Oxygenates</t>
  </si>
  <si>
    <t xml:space="preserve">MeOH</t>
  </si>
  <si>
    <t xml:space="preserve">Ethanol (C2H5OH)</t>
  </si>
  <si>
    <t xml:space="preserve">EtOH</t>
  </si>
  <si>
    <t xml:space="preserve">i-Propanol (C3H7OH)</t>
  </si>
  <si>
    <t xml:space="preserve">iPrOH</t>
  </si>
  <si>
    <t xml:space="preserve">n-Butanol (C4H9OH)</t>
  </si>
  <si>
    <t xml:space="preserve">nBuOH</t>
  </si>
  <si>
    <t xml:space="preserve">Acetone (C3H6O)</t>
  </si>
  <si>
    <t xml:space="preserve">Acet</t>
  </si>
  <si>
    <t xml:space="preserve">Methyl Ethyl Ketone (C4H8O)</t>
  </si>
  <si>
    <t xml:space="preserve">MEK</t>
  </si>
  <si>
    <t xml:space="preserve">Methyl Isobutyl Ketone (C6H12O)</t>
  </si>
  <si>
    <t xml:space="preserve">MIBK</t>
  </si>
  <si>
    <t xml:space="preserve">Tetrahydrofuran (C4H8O)</t>
  </si>
  <si>
    <t xml:space="preserve">THF</t>
  </si>
  <si>
    <t xml:space="preserve">Dimethyl Ether (C2H6O)</t>
  </si>
  <si>
    <t xml:space="preserve">DME</t>
  </si>
  <si>
    <t xml:space="preserve">Diethyl Ether (C4H10O)</t>
  </si>
  <si>
    <t xml:space="preserve">DEE</t>
  </si>
  <si>
    <t xml:space="preserve">MTBE (C5H12O)</t>
  </si>
  <si>
    <t xml:space="preserve">MTBE</t>
  </si>
  <si>
    <t xml:space="preserve">Ethylene Oxide (C2H4O)</t>
  </si>
  <si>
    <t xml:space="preserve">EO</t>
  </si>
  <si>
    <t xml:space="preserve">Propylene Oxide (C3H6O)</t>
  </si>
  <si>
    <t xml:space="preserve">PO</t>
  </si>
  <si>
    <t xml:space="preserve">Furan (C4H4O)</t>
  </si>
  <si>
    <t xml:space="preserve">Furan</t>
  </si>
  <si>
    <t xml:space="preserve">1,4-Dioxane (C4H8O2)</t>
  </si>
  <si>
    <t xml:space="preserve">DXN</t>
  </si>
  <si>
    <t xml:space="preserve">Formaldehyde (HCHO)</t>
  </si>
  <si>
    <t xml:space="preserve">HCHO</t>
  </si>
  <si>
    <t xml:space="preserve">Acetaldehyde (C2H4O)</t>
  </si>
  <si>
    <t xml:space="preserve">AcAld</t>
  </si>
  <si>
    <t xml:space="preserve">Acetic Acid (C2H4O2)</t>
  </si>
  <si>
    <t xml:space="preserve">AcAcid</t>
  </si>
  <si>
    <t xml:space="preserve">Formic Acid (CH2O2)</t>
  </si>
  <si>
    <t xml:space="preserve">FormAcid</t>
  </si>
  <si>
    <t xml:space="preserve">Ethyl Acetate (C4H8O2)</t>
  </si>
  <si>
    <t xml:space="preserve">EtAc</t>
  </si>
  <si>
    <t xml:space="preserve">Methyl Acetate (C3H6O2)</t>
  </si>
  <si>
    <t xml:space="preserve">MeAc</t>
  </si>
  <si>
    <t xml:space="preserve">Acrylonitrile (C3H3N)</t>
  </si>
  <si>
    <t xml:space="preserve">Nitriles</t>
  </si>
  <si>
    <t xml:space="preserve">AcAN</t>
  </si>
  <si>
    <t xml:space="preserve">Acetonitrile (C2H3N)</t>
  </si>
  <si>
    <t xml:space="preserve">AN</t>
  </si>
  <si>
    <t xml:space="preserve">Methyl Chloride (CH3Cl)</t>
  </si>
  <si>
    <t xml:space="preserve">Chlorinated / halogenated</t>
  </si>
  <si>
    <t xml:space="preserve">CH3Cl</t>
  </si>
  <si>
    <t xml:space="preserve">Methylene Chloride (CH2Cl2)</t>
  </si>
  <si>
    <t xml:space="preserve">CH2Cl2</t>
  </si>
  <si>
    <t xml:space="preserve">Chloroform (CHCl3)</t>
  </si>
  <si>
    <t xml:space="preserve">CHCl3</t>
  </si>
  <si>
    <t xml:space="preserve">Carbon Tetrachloride (CCl4)</t>
  </si>
  <si>
    <t xml:space="preserve">CCl4</t>
  </si>
  <si>
    <t xml:space="preserve">1,2-Dichloroethane (C2H4Cl2)</t>
  </si>
  <si>
    <t xml:space="preserve">C2H4Cl2</t>
  </si>
  <si>
    <t xml:space="preserve">Vinyl Chloride (C2H3Cl)</t>
  </si>
  <si>
    <t xml:space="preserve">VCM</t>
  </si>
  <si>
    <t xml:space="preserve">Trichloroethylene (C2HCl3)</t>
  </si>
  <si>
    <t xml:space="preserve">TCE</t>
  </si>
  <si>
    <t xml:space="preserve">Perchloroethylene (C2Cl4)</t>
  </si>
  <si>
    <t xml:space="preserve">PCE</t>
  </si>
  <si>
    <t xml:space="preserve">Methyl Fluoride (CH3F)</t>
  </si>
  <si>
    <t xml:space="preserve">CH3F</t>
  </si>
  <si>
    <t xml:space="preserve">R-11 (CCl3F)</t>
  </si>
  <si>
    <t xml:space="preserve">Refrigerants</t>
  </si>
  <si>
    <t xml:space="preserve">R11</t>
  </si>
  <si>
    <t xml:space="preserve">R-12 (CCl2F2)</t>
  </si>
  <si>
    <t xml:space="preserve">R12</t>
  </si>
  <si>
    <t xml:space="preserve">R-22 (CHClF2)</t>
  </si>
  <si>
    <t xml:space="preserve">R22</t>
  </si>
  <si>
    <t xml:space="preserve">R-32 (CH2F2)</t>
  </si>
  <si>
    <t xml:space="preserve">R32</t>
  </si>
  <si>
    <t xml:space="preserve">R-41 (CH3F)</t>
  </si>
  <si>
    <t xml:space="preserve">R41</t>
  </si>
  <si>
    <t xml:space="preserve">R-123 (C2HCl2F3)</t>
  </si>
  <si>
    <t xml:space="preserve">R123</t>
  </si>
  <si>
    <t xml:space="preserve">R-124 (C2HClF4)</t>
  </si>
  <si>
    <t xml:space="preserve">R124</t>
  </si>
  <si>
    <t xml:space="preserve">R-125 (C2HF5)</t>
  </si>
  <si>
    <t xml:space="preserve">R125</t>
  </si>
  <si>
    <t xml:space="preserve">R-134a (C2H2F4)</t>
  </si>
  <si>
    <t xml:space="preserve">R134a</t>
  </si>
  <si>
    <t xml:space="preserve">R-141b (C2H3Cl2F)</t>
  </si>
  <si>
    <t xml:space="preserve">R141b</t>
  </si>
  <si>
    <t xml:space="preserve">R-143a (C2H3F3)</t>
  </si>
  <si>
    <t xml:space="preserve">R143a</t>
  </si>
  <si>
    <t xml:space="preserve">R-152a (C2H4F2)</t>
  </si>
  <si>
    <t xml:space="preserve">R152a</t>
  </si>
  <si>
    <t xml:space="preserve">R-161 (C2H5F)</t>
  </si>
  <si>
    <t xml:space="preserve">R161</t>
  </si>
  <si>
    <t xml:space="preserve">R-1234yf (HFO, C3H2F4)</t>
  </si>
  <si>
    <t xml:space="preserve">R1234yf</t>
  </si>
  <si>
    <t xml:space="preserve">R-1234ze (HFO, C3H2F4)</t>
  </si>
  <si>
    <t xml:space="preserve">R1234ze</t>
  </si>
  <si>
    <t xml:space="preserve">R-245fa (C3H3F5)</t>
  </si>
  <si>
    <t xml:space="preserve">R245fa</t>
  </si>
  <si>
    <t xml:space="preserve">R-600a / i-Butane</t>
  </si>
  <si>
    <t xml:space="preserve">R600a</t>
  </si>
  <si>
    <t xml:space="preserve">R-717 / Ammonia</t>
  </si>
  <si>
    <t xml:space="preserve">R717</t>
  </si>
  <si>
    <t xml:space="preserve">R-744 / CO2</t>
  </si>
  <si>
    <t xml:space="preserve">R744</t>
  </si>
  <si>
    <t xml:space="preserve">R-404A (pseudo-pure blend)</t>
  </si>
  <si>
    <t xml:space="preserve">Refrigerant blends (pseudo-pure)</t>
  </si>
  <si>
    <t xml:space="preserve">R404A_sim</t>
  </si>
  <si>
    <t xml:space="preserve">R-407C (pseudo-pure blend)</t>
  </si>
  <si>
    <t xml:space="preserve">R407C_sim</t>
  </si>
  <si>
    <t xml:space="preserve">R-410A (pseudo-pure blend)</t>
  </si>
  <si>
    <t xml:space="preserve">R410A_sim</t>
  </si>
  <si>
    <t xml:space="preserve">R-507A (pseudo-pure blend)</t>
  </si>
  <si>
    <t xml:space="preserve">R507A_sim</t>
  </si>
  <si>
    <t xml:space="preserve">Scope</t>
  </si>
  <si>
    <t xml:space="preserve">Calculation of compressibility factor Z, molar volume, density, fugacity and saturation pressure of pure gases, and of the phase state (single phase or two phases), phase amounts, phase compositions and phase properties of mixtures of up to 12 components.</t>
  </si>
  <si>
    <t xml:space="preserve">Models</t>
  </si>
  <si>
    <t xml:space="preserve">Ideal gas law; van der Waals (1873); Soave-Redlich-Kwong, SRK (1972); Peng-Robinson, PR (1976, with the 1978 correlation of κ for ω &gt; 0.491).</t>
  </si>
  <si>
    <t xml:space="preserve">Implementation</t>
  </si>
  <si>
    <t xml:space="preserve">Cell formulas only. No macros, no circular references, no add-ins. Database of 127 components (sheet "Gas data").</t>
  </si>
  <si>
    <t xml:space="preserve">How to use</t>
  </si>
  <si>
    <t xml:space="preserve">Pure gas</t>
  </si>
  <si>
    <t xml:space="preserve">Sheet "Calculator": enter temperature, absolute pressure and amount with their units, and select the gas as the only component. The main results use the selected equation of state; the table "Pure gas: comparison of the equations of state" gives ideal gas, van der Waals, SRK and Peng-Robinson side by side, with the saturation pressure.</t>
  </si>
  <si>
    <t xml:space="preserve">Custom component</t>
  </si>
  <si>
    <t xml:space="preserve">Type the name in the Component column and enter Tc (K), Pc (bar), ω and M in the custom columns. A value in a custom column also overrides the database value of a listed gas.</t>
  </si>
  <si>
    <t xml:space="preserve">Mixture</t>
  </si>
  <si>
    <t xml:space="preserve">Same sheet: enter up to 12 components with their amounts in mol %. The sheet reports whether the mixture is one phase or two, and the amount, composition, Z and density of each phase. Binary interaction parameters are optional (sheet "Mixture kij").</t>
  </si>
  <si>
    <t xml:space="preserve">Calculation steps</t>
  </si>
  <si>
    <t xml:space="preserve">Sheets "EOS steps", "Psat" and "Mixture steps" show every calculation step with its formula. No input is required on these sheets.</t>
  </si>
  <si>
    <t xml:space="preserve">Method: pure gas</t>
  </si>
  <si>
    <t xml:space="preserve">Equations of state</t>
  </si>
  <si>
    <t xml:space="preserve">van der Waals:  P = RT/(Vm−b) − a/Vm².     SRK:  P = RT/(Vm−b) − aα/[Vm(Vm+b)].     Peng-Robinson:  P = RT/(Vm−b) − aα/[Vm(Vm+b)+b(Vm−b)].</t>
  </si>
  <si>
    <t xml:space="preserve">Cubic form</t>
  </si>
  <si>
    <t xml:space="preserve">Each equation is written as Z³ + c2·Z² + c1·Z + c0 = 0 with A = aαP/(RT)² and B = bP/(RT).</t>
  </si>
  <si>
    <t xml:space="preserve">First root from the analytical (Cardano / trigonometric) solution. Remaining roots from Z² − Σ·Z + Π = 0, which retains full accuracy for a very small liquid root. Two Newton corrections remove rounding error. Only roots with Z &gt; B (Vm &gt; b) are physical.</t>
  </si>
  <si>
    <t xml:space="preserve">Three roots: the outer root with the lower fugacity coefficient is the stable phase; the other outer root is metastable and the middle root is not physical. One root: for T ≥ Tc the fluid is reported as Gas (P &lt; Pc) or Supercritical (P ≥ Pc); for T &lt; Tc it is liquid-like if Vm &lt; Vc of the model.</t>
  </si>
  <si>
    <t xml:space="preserve">Saturation pressure</t>
  </si>
  <si>
    <t xml:space="preserve">Pressure at which ln φ of the liquid root equals ln φ of the vapour root. Solved on sheet "Psat" by 25 Newton steps on ln P, started from the Wilson correlation.</t>
  </si>
  <si>
    <t xml:space="preserve">Method: mixtures</t>
  </si>
  <si>
    <t xml:space="preserve">Mixing rules</t>
  </si>
  <si>
    <t xml:space="preserve">van der Waals one-fluid mixing rules:  a = Σi Σj xi·xj·(1 − kij)·√(ai·aj),   b = Σi xi·bi.  Pure-component ai and bi as for a pure gas. kij = 0 unless entered.</t>
  </si>
  <si>
    <t xml:space="preserve">ln φi = (bi/b)·(Z − 1) − ln(Z − B) − L·(2·Si/a − bi/b),  with Si = √ai·Σj xj·(1 − kij)·√aj  and  L = A/Z (van der Waals),  (A/B)·ln(1 + B/Z) (SRK),  A/(2√2·B)·ln[(Z + (1+√2)B)/(Z + (1−√2)B)] (Peng-Robinson).</t>
  </si>
  <si>
    <t xml:space="preserve">Phase stability</t>
  </si>
  <si>
    <t xml:space="preserve">Tangent-plane stability test (Michelsen, 1982). A trial phase W is updated by Wi = zi·exp[ln φi(feed) − ln φi(W)] and the tangent-plane distance tm is evaluated; tm &lt; 0 for a trial phase different from the feed indicates that the feed splits. Three trial phases: vapour-like and liquid-like (Wilson K-values) and nearly pure least-volatile component.</t>
  </si>
  <si>
    <t xml:space="preserve">Phase split</t>
  </si>
  <si>
    <t xml:space="preserve">Isothermal two-phase flash by successive substitution. For the current K-values the Rachford-Rice equation Σ zi·(Ki − 1)/(1 + β·(Ki − 1)) = 0 gives the phase fraction β; then xi = zi/(1 + β·(Ki − 1)), yi = Ki·xi and Ki(new) = φi(x)/φi(y). Two tables of 60 iterations, started from the stability-test result and from the Wilson correlation. A table is accepted when ln K has converged (Σ Δ² ≤ 1E−14) and its Gibbs energy is below that of the single phase; of two accepted tables the one with the lower Gibbs energy is used. Otherwise the result is reported as not converged.</t>
  </si>
  <si>
    <t xml:space="preserve">Limitations</t>
  </si>
  <si>
    <t xml:space="preserve">Maximum two phases. The online calculator uses additional starting estimates and checks for a third phase; for mixtures forming two liquid phases or three phases this workbook may report a different phase split or none. Slow convergence close to a critical point is reported as not converged.</t>
  </si>
  <si>
    <t xml:space="preserve">Range and accuracy</t>
  </si>
  <si>
    <t xml:space="preserve">Range</t>
  </si>
  <si>
    <t xml:space="preserve">T ≥ 10 K. Checked for Tr from 0.1 to 10 and Pr from 1E−10 to 30 with all 127 components.</t>
  </si>
  <si>
    <t xml:space="preserve">Accuracy, pure components</t>
  </si>
  <si>
    <t xml:space="preserve">Against reference equations of state for 32 fluids: gas-phase Z from PR typically within 1 % (several % near the critical point); saturation pressure within about 0.5 % (PR) and 1 % (SRK) for non-polar fluids; liquid density within about 4 % for PR (maximum 15 %) and about 9 % low for SRK. Polar and hydrogen-bonding fluids (water, ammonia, alcohols) show larger deviations, in particular for liquid density. Hydrogen, helium and neon at high pressure read a few % low.</t>
  </si>
  <si>
    <t xml:space="preserve">Accuracy, mixtures</t>
  </si>
  <si>
    <t xml:space="preserve">Gas-phase Z of non-polar mixtures (natural gas, synthesis gas, air) from PR or SRK is typically within 1 to 2 % with kij = 0. Dew points, bubble points and phase compositions depend on kij and are considerably less certain, in particular with CO2, H2S, H2, water, ammonia or alcohols.</t>
  </si>
  <si>
    <t xml:space="preserve">Not covered</t>
  </si>
  <si>
    <t xml:space="preserve">Three or more phases; solids and hydrates; chemical reaction and electrolytes (e.g. ammonia - CO2 - water); associating vapours (acetic acid, HF); volume-translated liquid density. Refrigerant blends in the database are treated as one pseudo-pure component.</t>
  </si>
  <si>
    <t xml:space="preserve">Check against the online calculator</t>
  </si>
  <si>
    <t xml:space="preserve">80 input cases entered as a single component (42 database gases and 4 custom components; all pressure and temperature units; vapour, liquid, gas and supercritical states) compared with the multicalci.com online calculator on 05-Oct-2026. All 3,520 values of the pure-gas table agree: Z, molar volume, density and fugacity to 11 significant digits, Psat to 7 (the online calculator reports Psat to 8 digits). The main results for the selected equation of state agree in the same way. The calculation sequence was additionally checked at 34,000 state points (Tr 0.1 to 10, Pr 1E-10 to 30) with the same agreement.</t>
  </si>
  <si>
    <t xml:space="preserve">Mixtures</t>
  </si>
  <si>
    <t xml:space="preserve">113 input cases (Peng-Robinson, SRK and van der Waals; 1 to 12 components, database and custom; with and without kij; gas, liquid, vapour-liquid and liquid-liquid states) compared with the multicalci.com online calculator on 05-Oct-2026. 109 cases returned a result: all 6,914 values (phase fractions, compositions, Z, density, fugacity coefficients) agree to 10 significant digits. 4 cases close to a critical point were reported as not converged. The calculation sequence was additionally checked at 4,077 mixture state points: 4,061 identical to the online calculator, 9 reported as not converged, 7 (mixtures forming two liquid phases or three phases) with a different or undetected phase split.</t>
  </si>
  <si>
    <t xml:space="preserve">Constants and data</t>
  </si>
  <si>
    <t xml:space="preserve">R = 8.314462 J/(mol·K).</t>
  </si>
  <si>
    <t xml:space="preserve">Model constants</t>
  </si>
  <si>
    <t xml:space="preserve">van der Waals: Ωa = 27/64, Ωb = 1/8.   SRK: Ωa = 0.42748, Ωb = 0.08664, m = 0.480 + 1.574ω − 0.176ω².   Peng-Robinson: Ωa = 0.45724, Ωb = 0.07780, κ = 0.37464 + 1.54226ω − 0.26992ω²; for ω &gt; 0.491: κ = 0.379642 + 1.48503ω − 0.164423ω² + 0.016666ω³.</t>
  </si>
  <si>
    <t xml:space="preserve">Wilson correlation</t>
  </si>
  <si>
    <t xml:space="preserve">K = (Pc/P)·exp[5.373·(1 + ω)·(1 − Tc/T)]. Used only as a starting estimate; it has no influence on the converged result.</t>
  </si>
  <si>
    <t xml:space="preserve">Component data</t>
  </si>
  <si>
    <t xml:space="preserve">Critical temperature, critical pressure, acentric factor and molar mass: see sheet "Gas data" and the source note on that sheet.</t>
  </si>
  <si>
    <t xml:space="preserve">References</t>
  </si>
  <si>
    <t xml:space="preserve">[1]</t>
  </si>
  <si>
    <t xml:space="preserve">van der Waals, J.D., Over de Continuiteit van den Gas- en Vloeistoftoestand, doctoral thesis, Leiden, 1873.</t>
  </si>
  <si>
    <t xml:space="preserve">[2]</t>
  </si>
  <si>
    <t xml:space="preserve">Soave, G., Equilibrium constants from a modified Redlich-Kwong equation of state, Chem. Eng. Sci. 27 (1972) 1197-1203.</t>
  </si>
  <si>
    <t xml:space="preserve">[3]</t>
  </si>
  <si>
    <t xml:space="preserve">Peng, D.-Y., Robinson, D.B., A new two-constant equation of state, Ind. Eng. Chem. Fundam. 15 (1976) 59-64.</t>
  </si>
  <si>
    <t xml:space="preserve">[4]</t>
  </si>
  <si>
    <t xml:space="preserve">Robinson, D.B., Peng, D.-Y., The characterization of the heptanes and heavier fractions for the GPA Peng-Robinson programs, GPA Research Report RR-28, 1978.</t>
  </si>
  <si>
    <t xml:space="preserve">[5]</t>
  </si>
  <si>
    <t xml:space="preserve">Michelsen, M.L., The isothermal flash problem. Part I: Stability. Part II: Phase-split calculation, Fluid Phase Equilibria 9 (1982) 1-19 and 21-40.</t>
  </si>
  <si>
    <t xml:space="preserve">[6]</t>
  </si>
  <si>
    <t xml:space="preserve">Rachford, H.H., Rice, J.D., Procedure for use of electronic digital computers in calculating flash vaporization hydrocarbon equilibrium, J. Pet. Technol. 4 (10) (1952) 19.</t>
  </si>
  <si>
    <t xml:space="preserve">[7]</t>
  </si>
  <si>
    <t xml:space="preserve">Wilson, G.M., A modified Redlich-Kwong equation of state, application to general physical data calculations, Paper 15C, 65th AIChE National Meeting, Cleveland, 1969.</t>
  </si>
  <si>
    <t xml:space="preserve">[8]</t>
  </si>
  <si>
    <t xml:space="preserve">Poling, B.E., Prausnitz, J.M., O'Connell, J.P., The Properties of Gases and Liquids, 5th ed., McGraw-Hill, 2001.</t>
  </si>
  <si>
    <t xml:space="preserve">[9]</t>
  </si>
  <si>
    <t xml:space="preserve">Michelsen, M.L., Mollerup, J.M., Thermodynamic Models: Fundamentals and Computational Aspects, 2nd ed., Tie-Line Publications, 2007.</t>
  </si>
  <si>
    <t xml:space="preserve">Disclaimer</t>
  </si>
  <si>
    <t xml:space="preserve">For educational use and preliminary estimates only. Check the results against measured data or a validated process simulator before using them in design.</t>
  </si>
</sst>
</file>

<file path=xl/styles.xml><?xml version="1.0" encoding="utf-8"?>
<styleSheet xmlns="http://schemas.openxmlformats.org/spreadsheetml/2006/main">
  <numFmts count="24">
    <numFmt numFmtId="164" formatCode="0.0000E+00"/>
    <numFmt numFmtId="165" formatCode="0.00000E+00"/>
    <numFmt numFmtId="166" formatCode="General"/>
    <numFmt numFmtId="167" formatCode="0"/>
    <numFmt numFmtId="168" formatCode="0.00"/>
    <numFmt numFmtId="169" formatCode="0.0000"/>
    <numFmt numFmtId="170" formatCode="0.000"/>
    <numFmt numFmtId="171" formatCode="0.000000;\-0.000000;&quot;&quot;"/>
    <numFmt numFmtId="172" formatCode="General"/>
    <numFmt numFmtId="173" formatCode="0.000000"/>
    <numFmt numFmtId="174" formatCode="#,##0.0###"/>
    <numFmt numFmtId="175" formatCode="0.00000"/>
    <numFmt numFmtId="176" formatCode="#,##0.0"/>
    <numFmt numFmtId="177" formatCode="#,##0"/>
    <numFmt numFmtId="178" formatCode="0.000000;0.000000;\-"/>
    <numFmt numFmtId="179" formatCode="0.000000;\-;0.000000"/>
    <numFmt numFmtId="180" formatCode="0.00000E+00;0.00000E+00;\-"/>
    <numFmt numFmtId="181" formatCode="0.00000E+00;\-;0.00000E+00"/>
    <numFmt numFmtId="182" formatCode="0.000000;\-0.000000;;"/>
    <numFmt numFmtId="183" formatCode="0.00;\-0.00;;"/>
    <numFmt numFmtId="184" formatCode="#,##0;\-#,##0;;"/>
    <numFmt numFmtId="185" formatCode="0.0000;\-0.0000;;"/>
    <numFmt numFmtId="186" formatCode="0.000;\-0.000;;"/>
    <numFmt numFmtId="187" formatCode="#,##0.0##"/>
  </numFmts>
  <fonts count="9">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u val="single"/>
      <sz val="11"/>
      <color rgb="FF0563C1"/>
      <name val="Calibri"/>
      <family val="0"/>
      <charset val="1"/>
    </font>
    <font>
      <sz val="10"/>
      <name val="Calibri"/>
      <family val="0"/>
      <charset val="1"/>
    </font>
    <font>
      <b val="true"/>
      <sz val="11"/>
      <name val="Calibri"/>
      <family val="0"/>
      <charset val="1"/>
    </font>
    <font>
      <sz val="11"/>
      <name val="Calibri"/>
      <family val="0"/>
      <charset val="1"/>
    </font>
  </fonts>
  <fills count="4">
    <fill>
      <patternFill patternType="none"/>
    </fill>
    <fill>
      <patternFill patternType="gray125"/>
    </fill>
    <fill>
      <patternFill patternType="solid">
        <fgColor rgb="FFFFFF99"/>
        <bgColor rgb="FFFFFFCC"/>
      </patternFill>
    </fill>
    <fill>
      <patternFill patternType="solid">
        <fgColor rgb="FFD9D9D9"/>
        <bgColor rgb="FFC0C0C0"/>
      </patternFill>
    </fill>
  </fills>
  <borders count="2">
    <border diagonalUp="false" diagonalDown="false">
      <left/>
      <right/>
      <top/>
      <bottom/>
      <diagonal/>
    </border>
    <border diagonalUp="false" diagonalDown="false">
      <left style="thin"/>
      <right style="thin"/>
      <top style="thin"/>
      <bottom style="thin"/>
      <diagonal/>
    </border>
  </borders>
  <cellStyleXfs count="20">
    <xf numFmtId="166"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6">
    <xf numFmtId="166" fontId="0" fillId="0" borderId="0" xfId="0" applyFont="false" applyBorder="false" applyAlignment="false" applyProtection="false">
      <alignment horizontal="general" vertical="bottom" textRotation="0" wrapText="false" indent="0" shrinkToFit="false"/>
      <protection locked="true" hidden="false"/>
    </xf>
    <xf numFmtId="166" fontId="4"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6" fontId="8" fillId="2" borderId="1" xfId="0" applyFont="true" applyBorder="true" applyAlignment="true" applyProtection="false">
      <alignment horizontal="center" vertical="center" textRotation="0" wrapText="false" indent="0" shrinkToFit="false"/>
      <protection locked="true" hidden="false"/>
    </xf>
    <xf numFmtId="166" fontId="8" fillId="2" borderId="1" xfId="0" applyFont="true" applyBorder="true" applyAlignment="true" applyProtection="false">
      <alignment horizontal="right" vertical="center" textRotation="0" wrapText="false" indent="0" shrinkToFit="false"/>
      <protection locked="true" hidden="false"/>
    </xf>
    <xf numFmtId="166" fontId="8" fillId="0" borderId="0" xfId="0" applyFont="true" applyBorder="false" applyAlignment="true" applyProtection="false">
      <alignment horizontal="center" vertical="center" textRotation="0" wrapText="false" indent="0" shrinkToFit="false"/>
      <protection locked="true" hidden="false"/>
    </xf>
    <xf numFmtId="166" fontId="7" fillId="3" borderId="1" xfId="0" applyFont="true" applyBorder="true" applyAlignment="true" applyProtection="false">
      <alignment horizontal="center" vertical="center" textRotation="0" wrapText="false" indent="0" shrinkToFit="false"/>
      <protection locked="true" hidden="false"/>
    </xf>
    <xf numFmtId="167" fontId="6" fillId="0" borderId="1" xfId="0" applyFont="true" applyBorder="true" applyAlignment="true" applyProtection="false">
      <alignment horizontal="center" vertical="center" textRotation="0" wrapText="false" indent="0" shrinkToFit="false"/>
      <protection locked="true" hidden="false"/>
    </xf>
    <xf numFmtId="166" fontId="8" fillId="2" borderId="1" xfId="0" applyFont="true" applyBorder="true" applyAlignment="true" applyProtection="false">
      <alignment horizontal="left" vertical="center" textRotation="0" wrapText="false" indent="0" shrinkToFit="false"/>
      <protection locked="true" hidden="false"/>
    </xf>
    <xf numFmtId="168" fontId="8" fillId="2" borderId="1" xfId="0" applyFont="true" applyBorder="true" applyAlignment="true" applyProtection="false">
      <alignment horizontal="right" vertical="center" textRotation="0" wrapText="false" indent="0" shrinkToFit="false"/>
      <protection locked="true" hidden="false"/>
    </xf>
    <xf numFmtId="169" fontId="8" fillId="2" borderId="1" xfId="0" applyFont="true" applyBorder="true" applyAlignment="true" applyProtection="false">
      <alignment horizontal="right" vertical="center" textRotation="0" wrapText="false" indent="0" shrinkToFit="false"/>
      <protection locked="true" hidden="false"/>
    </xf>
    <xf numFmtId="170" fontId="8" fillId="2" borderId="1" xfId="0" applyFont="true" applyBorder="true" applyAlignment="true" applyProtection="false">
      <alignment horizontal="right" vertical="center" textRotation="0" wrapText="false" indent="0" shrinkToFit="false"/>
      <protection locked="true" hidden="false"/>
    </xf>
    <xf numFmtId="168" fontId="8" fillId="0" borderId="1" xfId="0" applyFont="true" applyBorder="true" applyAlignment="true" applyProtection="false">
      <alignment horizontal="right" vertical="center" textRotation="0" wrapText="false" indent="0" shrinkToFit="false"/>
      <protection locked="true" hidden="false"/>
    </xf>
    <xf numFmtId="169" fontId="8" fillId="0" borderId="1" xfId="0" applyFont="true" applyBorder="true" applyAlignment="true" applyProtection="false">
      <alignment horizontal="right" vertical="center" textRotation="0" wrapText="false" indent="0" shrinkToFit="false"/>
      <protection locked="true" hidden="false"/>
    </xf>
    <xf numFmtId="170" fontId="8" fillId="0" borderId="1" xfId="0" applyFont="true" applyBorder="true" applyAlignment="true" applyProtection="false">
      <alignment horizontal="right" vertical="center" textRotation="0" wrapText="false" indent="0" shrinkToFit="false"/>
      <protection locked="true" hidden="false"/>
    </xf>
    <xf numFmtId="171" fontId="7" fillId="0" borderId="1" xfId="0" applyFont="true" applyBorder="true" applyAlignment="true" applyProtection="false">
      <alignment horizontal="right" vertical="center" textRotation="0" wrapText="false" indent="0" shrinkToFit="false"/>
      <protection locked="true" hidden="false"/>
    </xf>
    <xf numFmtId="166" fontId="8" fillId="0" borderId="1" xfId="0" applyFont="true" applyBorder="true" applyAlignment="true" applyProtection="false">
      <alignment horizontal="left" vertical="center" textRotation="0" wrapText="false" indent="0" shrinkToFit="false"/>
      <protection locked="true" hidden="false"/>
    </xf>
    <xf numFmtId="166" fontId="7" fillId="0" borderId="1" xfId="0" applyFont="true" applyBorder="true" applyAlignment="true" applyProtection="false">
      <alignment horizontal="left" vertical="center" textRotation="0" wrapText="false" indent="0" shrinkToFit="false"/>
      <protection locked="true" hidden="false"/>
    </xf>
    <xf numFmtId="172" fontId="7" fillId="0" borderId="1" xfId="0" applyFont="true" applyBorder="true" applyAlignment="true" applyProtection="false">
      <alignment horizontal="right" vertical="center" textRotation="0" wrapText="false" indent="0" shrinkToFit="false"/>
      <protection locked="true" hidden="false"/>
    </xf>
    <xf numFmtId="173" fontId="7" fillId="0" borderId="1" xfId="0" applyFont="true" applyBorder="true" applyAlignment="true" applyProtection="false">
      <alignment horizontal="right" vertical="center"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right" vertical="center" textRotation="0" wrapText="false" indent="0" shrinkToFit="false"/>
      <protection locked="true" hidden="false"/>
    </xf>
    <xf numFmtId="174" fontId="8" fillId="0" borderId="0" xfId="0" applyFont="true" applyBorder="false" applyAlignment="true" applyProtection="false">
      <alignment horizontal="right" vertical="center" textRotation="0" wrapText="false" indent="0" shrinkToFit="false"/>
      <protection locked="true" hidden="false"/>
    </xf>
    <xf numFmtId="167" fontId="8" fillId="0" borderId="0" xfId="0" applyFont="true" applyBorder="false" applyAlignment="true" applyProtection="false">
      <alignment horizontal="right" vertical="center" textRotation="0" wrapText="false" indent="0" shrinkToFit="false"/>
      <protection locked="true" hidden="false"/>
    </xf>
    <xf numFmtId="170" fontId="8" fillId="0" borderId="0" xfId="0" applyFont="true" applyBorder="false" applyAlignment="true" applyProtection="false">
      <alignment horizontal="right" vertical="center" textRotation="0" wrapText="false" indent="0" shrinkToFit="false"/>
      <protection locked="true" hidden="false"/>
    </xf>
    <xf numFmtId="169" fontId="8" fillId="0" borderId="0" xfId="0" applyFont="true" applyBorder="false" applyAlignment="true" applyProtection="false">
      <alignment horizontal="right" vertical="center" textRotation="0" wrapText="false" indent="0" shrinkToFit="false"/>
      <protection locked="true" hidden="false"/>
    </xf>
    <xf numFmtId="169" fontId="7" fillId="0" borderId="1" xfId="0" applyFont="true" applyBorder="true" applyAlignment="true" applyProtection="false">
      <alignment horizontal="right" vertical="center" textRotation="0" wrapText="false" indent="0" shrinkToFit="false"/>
      <protection locked="true" hidden="false"/>
    </xf>
    <xf numFmtId="166" fontId="8" fillId="0" borderId="1" xfId="0" applyFont="true" applyBorder="true" applyAlignment="true" applyProtection="false">
      <alignment horizontal="center" vertical="center" textRotation="0" wrapText="false" indent="0" shrinkToFit="false"/>
      <protection locked="true" hidden="false"/>
    </xf>
    <xf numFmtId="175" fontId="8" fillId="0" borderId="1" xfId="0" applyFont="true" applyBorder="true" applyAlignment="true" applyProtection="false">
      <alignment horizontal="right" vertical="center" textRotation="0" wrapText="false" indent="0" shrinkToFit="false"/>
      <protection locked="true" hidden="false"/>
    </xf>
    <xf numFmtId="173" fontId="8" fillId="0" borderId="1" xfId="0" applyFont="true" applyBorder="true" applyAlignment="true" applyProtection="false">
      <alignment horizontal="right" vertical="center" textRotation="0" wrapText="false" indent="0" shrinkToFit="false"/>
      <protection locked="true" hidden="false"/>
    </xf>
    <xf numFmtId="167" fontId="8" fillId="0" borderId="1" xfId="0" applyFont="true" applyBorder="true" applyAlignment="true" applyProtection="false">
      <alignment horizontal="right" vertical="center" textRotation="0" wrapText="false" indent="0" shrinkToFit="false"/>
      <protection locked="true" hidden="false"/>
    </xf>
    <xf numFmtId="167" fontId="7" fillId="3" borderId="1" xfId="0" applyFont="true" applyBorder="true" applyAlignment="true" applyProtection="false">
      <alignment horizontal="center" vertical="center" textRotation="0" wrapText="false" indent="0" shrinkToFit="false"/>
      <protection locked="true" hidden="false"/>
    </xf>
    <xf numFmtId="167" fontId="7" fillId="0" borderId="1" xfId="0" applyFont="true" applyBorder="true" applyAlignment="true" applyProtection="false">
      <alignment horizontal="center" vertical="center" textRotation="0" wrapText="false" indent="0" shrinkToFit="false"/>
      <protection locked="true" hidden="false"/>
    </xf>
    <xf numFmtId="167" fontId="6" fillId="0" borderId="1" xfId="0" applyFont="true" applyBorder="true" applyAlignment="true" applyProtection="false">
      <alignment horizontal="right" vertical="center" textRotation="0" wrapText="false" indent="0" shrinkToFit="false"/>
      <protection locked="true" hidden="false"/>
    </xf>
    <xf numFmtId="169" fontId="6" fillId="0" borderId="1" xfId="0" applyFont="true" applyBorder="true" applyAlignment="true" applyProtection="false">
      <alignment horizontal="right" vertical="center" textRotation="0" wrapText="false" indent="0" shrinkToFit="false"/>
      <protection locked="true" hidden="false"/>
    </xf>
    <xf numFmtId="166" fontId="7" fillId="0" borderId="1" xfId="0" applyFont="true" applyBorder="true" applyAlignment="true" applyProtection="false">
      <alignment horizontal="center" vertical="center" textRotation="0" wrapText="false" indent="0" shrinkToFit="false"/>
      <protection locked="true" hidden="false"/>
    </xf>
    <xf numFmtId="166" fontId="6" fillId="0" borderId="1" xfId="0" applyFont="true" applyBorder="true" applyAlignment="true" applyProtection="false">
      <alignment horizontal="left" vertical="center" textRotation="0" wrapText="false" indent="0" shrinkToFit="false"/>
      <protection locked="true" hidden="false"/>
    </xf>
    <xf numFmtId="176" fontId="8" fillId="0" borderId="1" xfId="0" applyFont="true" applyBorder="true" applyAlignment="true" applyProtection="false">
      <alignment horizontal="right" vertical="center" textRotation="0" wrapText="false" indent="0" shrinkToFit="false"/>
      <protection locked="true" hidden="false"/>
    </xf>
    <xf numFmtId="177" fontId="8" fillId="0" borderId="1" xfId="0" applyFont="true" applyBorder="true" applyAlignment="true" applyProtection="false">
      <alignment horizontal="right" vertical="center" textRotation="0" wrapText="false" indent="0" shrinkToFit="false"/>
      <protection locked="true" hidden="false"/>
    </xf>
    <xf numFmtId="178" fontId="8" fillId="0" borderId="1" xfId="0" applyFont="true" applyBorder="true" applyAlignment="true" applyProtection="false">
      <alignment horizontal="right" vertical="center" textRotation="0" wrapText="false" indent="0" shrinkToFit="false"/>
      <protection locked="true" hidden="false"/>
    </xf>
    <xf numFmtId="179" fontId="8" fillId="0" borderId="1" xfId="0" applyFont="true" applyBorder="true" applyAlignment="true" applyProtection="false">
      <alignment horizontal="right" vertical="center" textRotation="0" wrapText="false" indent="0" shrinkToFit="false"/>
      <protection locked="true" hidden="false"/>
    </xf>
    <xf numFmtId="176" fontId="7" fillId="0" borderId="1" xfId="0" applyFont="true" applyBorder="true" applyAlignment="true" applyProtection="false">
      <alignment horizontal="right" vertical="center" textRotation="0" wrapText="false" indent="0" shrinkToFit="false"/>
      <protection locked="true" hidden="false"/>
    </xf>
    <xf numFmtId="167" fontId="6" fillId="0" borderId="0" xfId="0" applyFont="true" applyBorder="false" applyAlignment="true" applyProtection="false">
      <alignment horizontal="right" vertical="center" textRotation="0" wrapText="false" indent="0" shrinkToFit="false"/>
      <protection locked="true" hidden="false"/>
    </xf>
    <xf numFmtId="165" fontId="6" fillId="0" borderId="0" xfId="0" applyFont="true" applyBorder="false" applyAlignment="true" applyProtection="false">
      <alignment horizontal="right" vertical="center" textRotation="0" wrapText="false" indent="0" shrinkToFit="false"/>
      <protection locked="true" hidden="false"/>
    </xf>
    <xf numFmtId="165" fontId="7" fillId="0" borderId="0" xfId="0" applyFont="true" applyBorder="false" applyAlignment="true" applyProtection="false">
      <alignment horizontal="right" vertical="center" textRotation="0" wrapText="false" indent="0" shrinkToFit="false"/>
      <protection locked="true" hidden="false"/>
    </xf>
    <xf numFmtId="180" fontId="6" fillId="0" borderId="0" xfId="0" applyFont="true" applyBorder="false" applyAlignment="true" applyProtection="false">
      <alignment horizontal="right" vertical="center" textRotation="0" wrapText="false" indent="0" shrinkToFit="false"/>
      <protection locked="true" hidden="false"/>
    </xf>
    <xf numFmtId="181" fontId="6" fillId="0" borderId="0" xfId="0" applyFont="true" applyBorder="false" applyAlignment="true" applyProtection="false">
      <alignment horizontal="right" vertical="center"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82" fontId="8" fillId="0" borderId="1" xfId="0" applyFont="true" applyBorder="true" applyAlignment="true" applyProtection="false">
      <alignment horizontal="left" vertical="center" textRotation="0" wrapText="false" indent="0" shrinkToFit="false"/>
      <protection locked="true" hidden="false"/>
    </xf>
    <xf numFmtId="182" fontId="8" fillId="0" borderId="1" xfId="0" applyFont="true" applyBorder="true" applyAlignment="true" applyProtection="false">
      <alignment horizontal="right" vertical="center" textRotation="0" wrapText="false" indent="0" shrinkToFit="false"/>
      <protection locked="true" hidden="false"/>
    </xf>
    <xf numFmtId="183" fontId="8" fillId="0" borderId="1" xfId="0" applyFont="true" applyBorder="true" applyAlignment="true" applyProtection="false">
      <alignment horizontal="right" vertical="center" textRotation="0" wrapText="false" indent="0" shrinkToFit="false"/>
      <protection locked="true" hidden="false"/>
    </xf>
    <xf numFmtId="184" fontId="8" fillId="0" borderId="1" xfId="0" applyFont="true" applyBorder="true" applyAlignment="true" applyProtection="false">
      <alignment horizontal="right" vertical="center" textRotation="0" wrapText="false" indent="0" shrinkToFit="false"/>
      <protection locked="true" hidden="false"/>
    </xf>
    <xf numFmtId="185" fontId="8" fillId="0" borderId="1" xfId="0" applyFont="true" applyBorder="true" applyAlignment="true" applyProtection="false">
      <alignment horizontal="right" vertical="center" textRotation="0" wrapText="false" indent="0" shrinkToFit="false"/>
      <protection locked="true" hidden="false"/>
    </xf>
    <xf numFmtId="186" fontId="8" fillId="0" borderId="1" xfId="0" applyFont="true" applyBorder="true" applyAlignment="true" applyProtection="false">
      <alignment horizontal="right" vertical="center" textRotation="0" wrapText="false" indent="0" shrinkToFit="false"/>
      <protection locked="true" hidden="false"/>
    </xf>
    <xf numFmtId="167" fontId="7" fillId="0" borderId="1" xfId="0" applyFont="true" applyBorder="true" applyAlignment="true" applyProtection="false">
      <alignment horizontal="right" vertical="center" textRotation="0" wrapText="false" indent="0" shrinkToFit="false"/>
      <protection locked="true" hidden="false"/>
    </xf>
    <xf numFmtId="182" fontId="7" fillId="0" borderId="1" xfId="0" applyFont="true" applyBorder="true" applyAlignment="true" applyProtection="false">
      <alignment horizontal="right" vertical="center"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7" fontId="8" fillId="0" borderId="1" xfId="0" applyFont="true" applyBorder="true" applyAlignment="true" applyProtection="false">
      <alignment horizontal="center" vertical="center" textRotation="0" wrapText="false" indent="0" shrinkToFit="false"/>
      <protection locked="true" hidden="false"/>
    </xf>
    <xf numFmtId="187" fontId="8" fillId="0" borderId="1" xfId="0" applyFont="true" applyBorder="true" applyAlignment="true" applyProtection="false">
      <alignment horizontal="right" vertical="center" textRotation="0" wrapText="false" indent="0" shrinkToFit="false"/>
      <protection locked="true" hidden="false"/>
    </xf>
    <xf numFmtId="166" fontId="7" fillId="0" borderId="0" xfId="0" applyFont="true" applyBorder="false" applyAlignment="true" applyProtection="false">
      <alignment horizontal="left" vertical="top" textRotation="0" wrapText="false" indent="0" shrinkToFit="false"/>
      <protection locked="true" hidden="false"/>
    </xf>
    <xf numFmtId="166" fontId="8" fillId="0" borderId="0" xfId="0" applyFont="true" applyBorder="fals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numFmt numFmtId="164" formatCode="0.0000E+00"/>
    </dxf>
    <dxf>
      <font>
        <name val="Calibri"/>
        <charset val="1"/>
        <family val="0"/>
        <b val="1"/>
        <color rgb="FFC00000"/>
      </font>
    </dxf>
    <dxf>
      <numFmt numFmtId="165" formatCode="0.00000E+00"/>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image" Target="../media/image1.png"/></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image" Target="../media/image1.png"/></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image" Target="../media/image1.png"/></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4.vml"/><Relationship Id="rId2" Type="http://schemas.openxmlformats.org/officeDocument/2006/relationships/image" Target="../media/image1.png"/></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5.vml"/><Relationship Id="rId2" Type="http://schemas.openxmlformats.org/officeDocument/2006/relationships/image" Target="../media/image1.png"/></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6.vml"/><Relationship Id="rId2" Type="http://schemas.openxmlformats.org/officeDocument/2006/relationships/image" Target="../media/image1.png"/></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7.vml"/><Relationship Id="rId2"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0"/>
    <col collapsed="false" customWidth="true" hidden="false" outlineLevel="0" max="5" min="3" style="0" width="17"/>
    <col collapsed="false" customWidth="true" hidden="false" outlineLevel="0" max="6" min="6" style="0" width="20"/>
    <col collapsed="false" customWidth="true" hidden="false" outlineLevel="0" max="8" min="7" style="0" width="15"/>
    <col collapsed="false" customWidth="true" hidden="false" outlineLevel="0" max="9" min="9" style="0" width="17"/>
    <col collapsed="false" customWidth="true" hidden="false" outlineLevel="0" max="11" min="10" style="0" width="13"/>
    <col collapsed="false" customWidth="true" hidden="false" outlineLevel="0" max="12" min="12" style="0" width="16"/>
    <col collapsed="false" customWidth="true" hidden="false" outlineLevel="0" max="13" min="13" style="0" width="44"/>
  </cols>
  <sheetData>
    <row r="1" customFormat="false" ht="17.35" hidden="false" customHeight="false" outlineLevel="0" collapsed="false">
      <c r="B1" s="1" t="s">
        <v>0</v>
      </c>
    </row>
    <row r="2" customFormat="false" ht="15" hidden="false" customHeight="false" outlineLevel="0" collapsed="false">
      <c r="B2" s="2" t="str">
        <f aca="false">HYPERLINK("https://www.multicalci.com/","www.multicalci.com")</f>
        <v>www.multicalci.com</v>
      </c>
    </row>
    <row r="3" customFormat="false" ht="15" hidden="false" customHeight="false" outlineLevel="0" collapsed="false">
      <c r="B3" s="3" t="s">
        <v>1</v>
      </c>
    </row>
    <row r="5" customFormat="false" ht="15" hidden="false" customHeight="false" outlineLevel="0" collapsed="false">
      <c r="B5" s="3" t="s">
        <v>2</v>
      </c>
    </row>
    <row r="7" customFormat="false" ht="15" hidden="false" customHeight="false" outlineLevel="0" collapsed="false">
      <c r="B7" s="4" t="s">
        <v>3</v>
      </c>
    </row>
    <row r="8" customFormat="false" ht="15" hidden="false" customHeight="false" outlineLevel="0" collapsed="false">
      <c r="B8" s="4" t="s">
        <v>4</v>
      </c>
      <c r="C8" s="5" t="s">
        <v>5</v>
      </c>
      <c r="D8" s="5"/>
      <c r="E8" s="3" t="s">
        <v>6</v>
      </c>
    </row>
    <row r="9" customFormat="false" ht="15" hidden="false" customHeight="false" outlineLevel="0" collapsed="false">
      <c r="B9" s="4" t="s">
        <v>7</v>
      </c>
      <c r="C9" s="6" t="n">
        <v>76.85</v>
      </c>
      <c r="D9" s="5" t="s">
        <v>8</v>
      </c>
      <c r="E9" s="3" t="s">
        <v>9</v>
      </c>
    </row>
    <row r="10" customFormat="false" ht="15" hidden="false" customHeight="false" outlineLevel="0" collapsed="false">
      <c r="B10" s="4" t="s">
        <v>10</v>
      </c>
      <c r="C10" s="6" t="n">
        <v>100</v>
      </c>
      <c r="D10" s="5" t="s">
        <v>11</v>
      </c>
      <c r="E10" s="3" t="s">
        <v>12</v>
      </c>
    </row>
    <row r="11" customFormat="false" ht="15" hidden="false" customHeight="false" outlineLevel="0" collapsed="false">
      <c r="B11" s="4" t="s">
        <v>13</v>
      </c>
      <c r="C11" s="6" t="n">
        <v>1</v>
      </c>
      <c r="D11" s="7" t="s">
        <v>14</v>
      </c>
    </row>
    <row r="13" customFormat="false" ht="15" hidden="false" customHeight="false" outlineLevel="0" collapsed="false">
      <c r="B13" s="4" t="s">
        <v>15</v>
      </c>
    </row>
    <row r="14" customFormat="false" ht="15" hidden="false" customHeight="false" outlineLevel="0" collapsed="false">
      <c r="B14" s="3" t="s">
        <v>16</v>
      </c>
    </row>
    <row r="15" customFormat="false" ht="15" hidden="false" customHeight="false" outlineLevel="0" collapsed="false">
      <c r="D15" s="8" t="s">
        <v>17</v>
      </c>
      <c r="E15" s="8"/>
      <c r="F15" s="8"/>
      <c r="G15" s="8"/>
      <c r="H15" s="8" t="s">
        <v>18</v>
      </c>
      <c r="I15" s="8"/>
      <c r="J15" s="8"/>
      <c r="K15" s="8"/>
    </row>
    <row r="16" customFormat="false" ht="15" hidden="false" customHeight="false" outlineLevel="0" collapsed="false">
      <c r="A16" s="8" t="s">
        <v>19</v>
      </c>
      <c r="B16" s="8" t="s">
        <v>20</v>
      </c>
      <c r="C16" s="8" t="s">
        <v>21</v>
      </c>
      <c r="D16" s="8" t="s">
        <v>22</v>
      </c>
      <c r="E16" s="8" t="s">
        <v>23</v>
      </c>
      <c r="F16" s="8" t="s">
        <v>24</v>
      </c>
      <c r="G16" s="8" t="s">
        <v>25</v>
      </c>
      <c r="H16" s="8" t="s">
        <v>22</v>
      </c>
      <c r="I16" s="8" t="s">
        <v>23</v>
      </c>
      <c r="J16" s="8" t="s">
        <v>24</v>
      </c>
      <c r="K16" s="8" t="s">
        <v>25</v>
      </c>
      <c r="L16" s="8" t="s">
        <v>26</v>
      </c>
      <c r="M16" s="8" t="s">
        <v>27</v>
      </c>
    </row>
    <row r="17" customFormat="false" ht="15" hidden="false" customHeight="false" outlineLevel="0" collapsed="false">
      <c r="A17" s="9" t="n">
        <v>1</v>
      </c>
      <c r="B17" s="10" t="s">
        <v>28</v>
      </c>
      <c r="C17" s="6" t="n">
        <v>100</v>
      </c>
      <c r="D17" s="11"/>
      <c r="E17" s="11"/>
      <c r="F17" s="12"/>
      <c r="G17" s="13"/>
      <c r="H17" s="14" t="n">
        <f aca="false">IF(ISNUMBER(D17),D17,IFERROR(INDEX('Gas data'!$D$5:$D$131,MATCH($B17,'Gas data'!$B$5:$B$131,0)),""))</f>
        <v>190.56</v>
      </c>
      <c r="I17" s="14" t="n">
        <f aca="false">IF(ISNUMBER(E17),E17,IFERROR(INDEX('Gas data'!$E$5:$E$131,MATCH($B17,'Gas data'!$B$5:$B$131,0)),""))</f>
        <v>46.1</v>
      </c>
      <c r="J17" s="15" t="n">
        <f aca="false">IF(ISNUMBER(F17),F17,IFERROR(INDEX('Gas data'!$F$5:$F$131,MATCH($B17,'Gas data'!$B$5:$B$131,0)),""))</f>
        <v>0.0115</v>
      </c>
      <c r="K17" s="16" t="n">
        <f aca="false">IF(ISNUMBER(G17),G17,IFERROR(INDEX('Gas data'!$G$5:$G$131,MATCH($B17,'Gas data'!$B$5:$B$131,0)),""))</f>
        <v>16.043</v>
      </c>
      <c r="L17" s="17" t="n">
        <f aca="false">IF(M17="OK",C17/SUMIF($M$17:$M$28,"OK",$C$17:$C$28),0)</f>
        <v>1</v>
      </c>
      <c r="M17" s="18" t="str">
        <f aca="false">IF(AND(B17="",C17=""),"",IF(NOT(ISNUMBER(C17)),"enter the amount as a number",IF(C17&lt;0,"amount cannot be negative",IF(C17=0,"",IF(NOT(AND(ISNUMBER(H17),ISNUMBER(I17),ISNUMBER(J17),ISNUMBER(K17))),"not in the list - enter the four custom values",IF(OR(H17&lt;=0,I17&lt;=0,K17&lt;1),"Tc and Pc must be positive, M at least 1",IF(OR(J17&lt;-1,J17&gt;2),"acentric factor must lie between -1 and 2","OK")))))))</f>
        <v>OK</v>
      </c>
    </row>
    <row r="18" customFormat="false" ht="15" hidden="false" customHeight="false" outlineLevel="0" collapsed="false">
      <c r="A18" s="9" t="n">
        <v>2</v>
      </c>
      <c r="B18" s="10"/>
      <c r="C18" s="6"/>
      <c r="D18" s="11"/>
      <c r="E18" s="11"/>
      <c r="F18" s="12"/>
      <c r="G18" s="13"/>
      <c r="H18" s="14" t="str">
        <f aca="false">IF(ISNUMBER(D18),D18,IFERROR(INDEX('Gas data'!$D$5:$D$131,MATCH($B18,'Gas data'!$B$5:$B$131,0)),""))</f>
        <v/>
      </c>
      <c r="I18" s="14" t="str">
        <f aca="false">IF(ISNUMBER(E18),E18,IFERROR(INDEX('Gas data'!$E$5:$E$131,MATCH($B18,'Gas data'!$B$5:$B$131,0)),""))</f>
        <v/>
      </c>
      <c r="J18" s="15" t="str">
        <f aca="false">IF(ISNUMBER(F18),F18,IFERROR(INDEX('Gas data'!$F$5:$F$131,MATCH($B18,'Gas data'!$B$5:$B$131,0)),""))</f>
        <v/>
      </c>
      <c r="K18" s="16" t="str">
        <f aca="false">IF(ISNUMBER(G18),G18,IFERROR(INDEX('Gas data'!$G$5:$G$131,MATCH($B18,'Gas data'!$B$5:$B$131,0)),""))</f>
        <v/>
      </c>
      <c r="L18" s="17" t="n">
        <f aca="false">IF(M18="OK",C18/SUMIF($M$17:$M$28,"OK",$C$17:$C$28),0)</f>
        <v>0</v>
      </c>
      <c r="M18" s="18" t="str">
        <f aca="false">IF(AND(B18="",C18=""),"",IF(NOT(ISNUMBER(C18)),"enter the amount as a number",IF(C18&lt;0,"amount cannot be negative",IF(C18=0,"",IF(NOT(AND(ISNUMBER(H18),ISNUMBER(I18),ISNUMBER(J18),ISNUMBER(K18))),"not in the list - enter the four custom values",IF(OR(H18&lt;=0,I18&lt;=0,K18&lt;1),"Tc and Pc must be positive, M at least 1",IF(OR(J18&lt;-1,J18&gt;2),"acentric factor must lie between -1 and 2","OK")))))))</f>
        <v/>
      </c>
    </row>
    <row r="19" customFormat="false" ht="15" hidden="false" customHeight="false" outlineLevel="0" collapsed="false">
      <c r="A19" s="9" t="n">
        <v>3</v>
      </c>
      <c r="B19" s="10"/>
      <c r="C19" s="6"/>
      <c r="D19" s="11"/>
      <c r="E19" s="11"/>
      <c r="F19" s="12"/>
      <c r="G19" s="13"/>
      <c r="H19" s="14" t="str">
        <f aca="false">IF(ISNUMBER(D19),D19,IFERROR(INDEX('Gas data'!$D$5:$D$131,MATCH($B19,'Gas data'!$B$5:$B$131,0)),""))</f>
        <v/>
      </c>
      <c r="I19" s="14" t="str">
        <f aca="false">IF(ISNUMBER(E19),E19,IFERROR(INDEX('Gas data'!$E$5:$E$131,MATCH($B19,'Gas data'!$B$5:$B$131,0)),""))</f>
        <v/>
      </c>
      <c r="J19" s="15" t="str">
        <f aca="false">IF(ISNUMBER(F19),F19,IFERROR(INDEX('Gas data'!$F$5:$F$131,MATCH($B19,'Gas data'!$B$5:$B$131,0)),""))</f>
        <v/>
      </c>
      <c r="K19" s="16" t="str">
        <f aca="false">IF(ISNUMBER(G19),G19,IFERROR(INDEX('Gas data'!$G$5:$G$131,MATCH($B19,'Gas data'!$B$5:$B$131,0)),""))</f>
        <v/>
      </c>
      <c r="L19" s="17" t="n">
        <f aca="false">IF(M19="OK",C19/SUMIF($M$17:$M$28,"OK",$C$17:$C$28),0)</f>
        <v>0</v>
      </c>
      <c r="M19" s="18" t="str">
        <f aca="false">IF(AND(B19="",C19=""),"",IF(NOT(ISNUMBER(C19)),"enter the amount as a number",IF(C19&lt;0,"amount cannot be negative",IF(C19=0,"",IF(NOT(AND(ISNUMBER(H19),ISNUMBER(I19),ISNUMBER(J19),ISNUMBER(K19))),"not in the list - enter the four custom values",IF(OR(H19&lt;=0,I19&lt;=0,K19&lt;1),"Tc and Pc must be positive, M at least 1",IF(OR(J19&lt;-1,J19&gt;2),"acentric factor must lie between -1 and 2","OK")))))))</f>
        <v/>
      </c>
    </row>
    <row r="20" customFormat="false" ht="15" hidden="false" customHeight="false" outlineLevel="0" collapsed="false">
      <c r="A20" s="9" t="n">
        <v>4</v>
      </c>
      <c r="B20" s="10"/>
      <c r="C20" s="6"/>
      <c r="D20" s="11"/>
      <c r="E20" s="11"/>
      <c r="F20" s="12"/>
      <c r="G20" s="13"/>
      <c r="H20" s="14" t="str">
        <f aca="false">IF(ISNUMBER(D20),D20,IFERROR(INDEX('Gas data'!$D$5:$D$131,MATCH($B20,'Gas data'!$B$5:$B$131,0)),""))</f>
        <v/>
      </c>
      <c r="I20" s="14" t="str">
        <f aca="false">IF(ISNUMBER(E20),E20,IFERROR(INDEX('Gas data'!$E$5:$E$131,MATCH($B20,'Gas data'!$B$5:$B$131,0)),""))</f>
        <v/>
      </c>
      <c r="J20" s="15" t="str">
        <f aca="false">IF(ISNUMBER(F20),F20,IFERROR(INDEX('Gas data'!$F$5:$F$131,MATCH($B20,'Gas data'!$B$5:$B$131,0)),""))</f>
        <v/>
      </c>
      <c r="K20" s="16" t="str">
        <f aca="false">IF(ISNUMBER(G20),G20,IFERROR(INDEX('Gas data'!$G$5:$G$131,MATCH($B20,'Gas data'!$B$5:$B$131,0)),""))</f>
        <v/>
      </c>
      <c r="L20" s="17" t="n">
        <f aca="false">IF(M20="OK",C20/SUMIF($M$17:$M$28,"OK",$C$17:$C$28),0)</f>
        <v>0</v>
      </c>
      <c r="M20" s="18" t="str">
        <f aca="false">IF(AND(B20="",C20=""),"",IF(NOT(ISNUMBER(C20)),"enter the amount as a number",IF(C20&lt;0,"amount cannot be negative",IF(C20=0,"",IF(NOT(AND(ISNUMBER(H20),ISNUMBER(I20),ISNUMBER(J20),ISNUMBER(K20))),"not in the list - enter the four custom values",IF(OR(H20&lt;=0,I20&lt;=0,K20&lt;1),"Tc and Pc must be positive, M at least 1",IF(OR(J20&lt;-1,J20&gt;2),"acentric factor must lie between -1 and 2","OK")))))))</f>
        <v/>
      </c>
    </row>
    <row r="21" customFormat="false" ht="15" hidden="false" customHeight="false" outlineLevel="0" collapsed="false">
      <c r="A21" s="9" t="n">
        <v>5</v>
      </c>
      <c r="B21" s="10"/>
      <c r="C21" s="6"/>
      <c r="D21" s="11"/>
      <c r="E21" s="11"/>
      <c r="F21" s="12"/>
      <c r="G21" s="13"/>
      <c r="H21" s="14" t="str">
        <f aca="false">IF(ISNUMBER(D21),D21,IFERROR(INDEX('Gas data'!$D$5:$D$131,MATCH($B21,'Gas data'!$B$5:$B$131,0)),""))</f>
        <v/>
      </c>
      <c r="I21" s="14" t="str">
        <f aca="false">IF(ISNUMBER(E21),E21,IFERROR(INDEX('Gas data'!$E$5:$E$131,MATCH($B21,'Gas data'!$B$5:$B$131,0)),""))</f>
        <v/>
      </c>
      <c r="J21" s="15" t="str">
        <f aca="false">IF(ISNUMBER(F21),F21,IFERROR(INDEX('Gas data'!$F$5:$F$131,MATCH($B21,'Gas data'!$B$5:$B$131,0)),""))</f>
        <v/>
      </c>
      <c r="K21" s="16" t="str">
        <f aca="false">IF(ISNUMBER(G21),G21,IFERROR(INDEX('Gas data'!$G$5:$G$131,MATCH($B21,'Gas data'!$B$5:$B$131,0)),""))</f>
        <v/>
      </c>
      <c r="L21" s="17" t="n">
        <f aca="false">IF(M21="OK",C21/SUMIF($M$17:$M$28,"OK",$C$17:$C$28),0)</f>
        <v>0</v>
      </c>
      <c r="M21" s="18" t="str">
        <f aca="false">IF(AND(B21="",C21=""),"",IF(NOT(ISNUMBER(C21)),"enter the amount as a number",IF(C21&lt;0,"amount cannot be negative",IF(C21=0,"",IF(NOT(AND(ISNUMBER(H21),ISNUMBER(I21),ISNUMBER(J21),ISNUMBER(K21))),"not in the list - enter the four custom values",IF(OR(H21&lt;=0,I21&lt;=0,K21&lt;1),"Tc and Pc must be positive, M at least 1",IF(OR(J21&lt;-1,J21&gt;2),"acentric factor must lie between -1 and 2","OK")))))))</f>
        <v/>
      </c>
    </row>
    <row r="22" customFormat="false" ht="15" hidden="false" customHeight="false" outlineLevel="0" collapsed="false">
      <c r="A22" s="9" t="n">
        <v>6</v>
      </c>
      <c r="B22" s="10"/>
      <c r="C22" s="6"/>
      <c r="D22" s="11"/>
      <c r="E22" s="11"/>
      <c r="F22" s="12"/>
      <c r="G22" s="13"/>
      <c r="H22" s="14" t="str">
        <f aca="false">IF(ISNUMBER(D22),D22,IFERROR(INDEX('Gas data'!$D$5:$D$131,MATCH($B22,'Gas data'!$B$5:$B$131,0)),""))</f>
        <v/>
      </c>
      <c r="I22" s="14" t="str">
        <f aca="false">IF(ISNUMBER(E22),E22,IFERROR(INDEX('Gas data'!$E$5:$E$131,MATCH($B22,'Gas data'!$B$5:$B$131,0)),""))</f>
        <v/>
      </c>
      <c r="J22" s="15" t="str">
        <f aca="false">IF(ISNUMBER(F22),F22,IFERROR(INDEX('Gas data'!$F$5:$F$131,MATCH($B22,'Gas data'!$B$5:$B$131,0)),""))</f>
        <v/>
      </c>
      <c r="K22" s="16" t="str">
        <f aca="false">IF(ISNUMBER(G22),G22,IFERROR(INDEX('Gas data'!$G$5:$G$131,MATCH($B22,'Gas data'!$B$5:$B$131,0)),""))</f>
        <v/>
      </c>
      <c r="L22" s="17" t="n">
        <f aca="false">IF(M22="OK",C22/SUMIF($M$17:$M$28,"OK",$C$17:$C$28),0)</f>
        <v>0</v>
      </c>
      <c r="M22" s="18" t="str">
        <f aca="false">IF(AND(B22="",C22=""),"",IF(NOT(ISNUMBER(C22)),"enter the amount as a number",IF(C22&lt;0,"amount cannot be negative",IF(C22=0,"",IF(NOT(AND(ISNUMBER(H22),ISNUMBER(I22),ISNUMBER(J22),ISNUMBER(K22))),"not in the list - enter the four custom values",IF(OR(H22&lt;=0,I22&lt;=0,K22&lt;1),"Tc and Pc must be positive, M at least 1",IF(OR(J22&lt;-1,J22&gt;2),"acentric factor must lie between -1 and 2","OK")))))))</f>
        <v/>
      </c>
    </row>
    <row r="23" customFormat="false" ht="15" hidden="false" customHeight="false" outlineLevel="0" collapsed="false">
      <c r="A23" s="9" t="n">
        <v>7</v>
      </c>
      <c r="B23" s="10"/>
      <c r="C23" s="6"/>
      <c r="D23" s="11"/>
      <c r="E23" s="11"/>
      <c r="F23" s="12"/>
      <c r="G23" s="13"/>
      <c r="H23" s="14" t="str">
        <f aca="false">IF(ISNUMBER(D23),D23,IFERROR(INDEX('Gas data'!$D$5:$D$131,MATCH($B23,'Gas data'!$B$5:$B$131,0)),""))</f>
        <v/>
      </c>
      <c r="I23" s="14" t="str">
        <f aca="false">IF(ISNUMBER(E23),E23,IFERROR(INDEX('Gas data'!$E$5:$E$131,MATCH($B23,'Gas data'!$B$5:$B$131,0)),""))</f>
        <v/>
      </c>
      <c r="J23" s="15" t="str">
        <f aca="false">IF(ISNUMBER(F23),F23,IFERROR(INDEX('Gas data'!$F$5:$F$131,MATCH($B23,'Gas data'!$B$5:$B$131,0)),""))</f>
        <v/>
      </c>
      <c r="K23" s="16" t="str">
        <f aca="false">IF(ISNUMBER(G23),G23,IFERROR(INDEX('Gas data'!$G$5:$G$131,MATCH($B23,'Gas data'!$B$5:$B$131,0)),""))</f>
        <v/>
      </c>
      <c r="L23" s="17" t="n">
        <f aca="false">IF(M23="OK",C23/SUMIF($M$17:$M$28,"OK",$C$17:$C$28),0)</f>
        <v>0</v>
      </c>
      <c r="M23" s="18" t="str">
        <f aca="false">IF(AND(B23="",C23=""),"",IF(NOT(ISNUMBER(C23)),"enter the amount as a number",IF(C23&lt;0,"amount cannot be negative",IF(C23=0,"",IF(NOT(AND(ISNUMBER(H23),ISNUMBER(I23),ISNUMBER(J23),ISNUMBER(K23))),"not in the list - enter the four custom values",IF(OR(H23&lt;=0,I23&lt;=0,K23&lt;1),"Tc and Pc must be positive, M at least 1",IF(OR(J23&lt;-1,J23&gt;2),"acentric factor must lie between -1 and 2","OK")))))))</f>
        <v/>
      </c>
    </row>
    <row r="24" customFormat="false" ht="15" hidden="false" customHeight="false" outlineLevel="0" collapsed="false">
      <c r="A24" s="9" t="n">
        <v>8</v>
      </c>
      <c r="B24" s="10"/>
      <c r="C24" s="6"/>
      <c r="D24" s="11"/>
      <c r="E24" s="11"/>
      <c r="F24" s="12"/>
      <c r="G24" s="13"/>
      <c r="H24" s="14" t="str">
        <f aca="false">IF(ISNUMBER(D24),D24,IFERROR(INDEX('Gas data'!$D$5:$D$131,MATCH($B24,'Gas data'!$B$5:$B$131,0)),""))</f>
        <v/>
      </c>
      <c r="I24" s="14" t="str">
        <f aca="false">IF(ISNUMBER(E24),E24,IFERROR(INDEX('Gas data'!$E$5:$E$131,MATCH($B24,'Gas data'!$B$5:$B$131,0)),""))</f>
        <v/>
      </c>
      <c r="J24" s="15" t="str">
        <f aca="false">IF(ISNUMBER(F24),F24,IFERROR(INDEX('Gas data'!$F$5:$F$131,MATCH($B24,'Gas data'!$B$5:$B$131,0)),""))</f>
        <v/>
      </c>
      <c r="K24" s="16" t="str">
        <f aca="false">IF(ISNUMBER(G24),G24,IFERROR(INDEX('Gas data'!$G$5:$G$131,MATCH($B24,'Gas data'!$B$5:$B$131,0)),""))</f>
        <v/>
      </c>
      <c r="L24" s="17" t="n">
        <f aca="false">IF(M24="OK",C24/SUMIF($M$17:$M$28,"OK",$C$17:$C$28),0)</f>
        <v>0</v>
      </c>
      <c r="M24" s="18" t="str">
        <f aca="false">IF(AND(B24="",C24=""),"",IF(NOT(ISNUMBER(C24)),"enter the amount as a number",IF(C24&lt;0,"amount cannot be negative",IF(C24=0,"",IF(NOT(AND(ISNUMBER(H24),ISNUMBER(I24),ISNUMBER(J24),ISNUMBER(K24))),"not in the list - enter the four custom values",IF(OR(H24&lt;=0,I24&lt;=0,K24&lt;1),"Tc and Pc must be positive, M at least 1",IF(OR(J24&lt;-1,J24&gt;2),"acentric factor must lie between -1 and 2","OK")))))))</f>
        <v/>
      </c>
    </row>
    <row r="25" customFormat="false" ht="15" hidden="false" customHeight="false" outlineLevel="0" collapsed="false">
      <c r="A25" s="9" t="n">
        <v>9</v>
      </c>
      <c r="B25" s="10"/>
      <c r="C25" s="6"/>
      <c r="D25" s="11"/>
      <c r="E25" s="11"/>
      <c r="F25" s="12"/>
      <c r="G25" s="13"/>
      <c r="H25" s="14" t="str">
        <f aca="false">IF(ISNUMBER(D25),D25,IFERROR(INDEX('Gas data'!$D$5:$D$131,MATCH($B25,'Gas data'!$B$5:$B$131,0)),""))</f>
        <v/>
      </c>
      <c r="I25" s="14" t="str">
        <f aca="false">IF(ISNUMBER(E25),E25,IFERROR(INDEX('Gas data'!$E$5:$E$131,MATCH($B25,'Gas data'!$B$5:$B$131,0)),""))</f>
        <v/>
      </c>
      <c r="J25" s="15" t="str">
        <f aca="false">IF(ISNUMBER(F25),F25,IFERROR(INDEX('Gas data'!$F$5:$F$131,MATCH($B25,'Gas data'!$B$5:$B$131,0)),""))</f>
        <v/>
      </c>
      <c r="K25" s="16" t="str">
        <f aca="false">IF(ISNUMBER(G25),G25,IFERROR(INDEX('Gas data'!$G$5:$G$131,MATCH($B25,'Gas data'!$B$5:$B$131,0)),""))</f>
        <v/>
      </c>
      <c r="L25" s="17" t="n">
        <f aca="false">IF(M25="OK",C25/SUMIF($M$17:$M$28,"OK",$C$17:$C$28),0)</f>
        <v>0</v>
      </c>
      <c r="M25" s="18" t="str">
        <f aca="false">IF(AND(B25="",C25=""),"",IF(NOT(ISNUMBER(C25)),"enter the amount as a number",IF(C25&lt;0,"amount cannot be negative",IF(C25=0,"",IF(NOT(AND(ISNUMBER(H25),ISNUMBER(I25),ISNUMBER(J25),ISNUMBER(K25))),"not in the list - enter the four custom values",IF(OR(H25&lt;=0,I25&lt;=0,K25&lt;1),"Tc and Pc must be positive, M at least 1",IF(OR(J25&lt;-1,J25&gt;2),"acentric factor must lie between -1 and 2","OK")))))))</f>
        <v/>
      </c>
    </row>
    <row r="26" customFormat="false" ht="15" hidden="false" customHeight="false" outlineLevel="0" collapsed="false">
      <c r="A26" s="9" t="n">
        <v>10</v>
      </c>
      <c r="B26" s="10"/>
      <c r="C26" s="6"/>
      <c r="D26" s="11"/>
      <c r="E26" s="11"/>
      <c r="F26" s="12"/>
      <c r="G26" s="13"/>
      <c r="H26" s="14" t="str">
        <f aca="false">IF(ISNUMBER(D26),D26,IFERROR(INDEX('Gas data'!$D$5:$D$131,MATCH($B26,'Gas data'!$B$5:$B$131,0)),""))</f>
        <v/>
      </c>
      <c r="I26" s="14" t="str">
        <f aca="false">IF(ISNUMBER(E26),E26,IFERROR(INDEX('Gas data'!$E$5:$E$131,MATCH($B26,'Gas data'!$B$5:$B$131,0)),""))</f>
        <v/>
      </c>
      <c r="J26" s="15" t="str">
        <f aca="false">IF(ISNUMBER(F26),F26,IFERROR(INDEX('Gas data'!$F$5:$F$131,MATCH($B26,'Gas data'!$B$5:$B$131,0)),""))</f>
        <v/>
      </c>
      <c r="K26" s="16" t="str">
        <f aca="false">IF(ISNUMBER(G26),G26,IFERROR(INDEX('Gas data'!$G$5:$G$131,MATCH($B26,'Gas data'!$B$5:$B$131,0)),""))</f>
        <v/>
      </c>
      <c r="L26" s="17" t="n">
        <f aca="false">IF(M26="OK",C26/SUMIF($M$17:$M$28,"OK",$C$17:$C$28),0)</f>
        <v>0</v>
      </c>
      <c r="M26" s="18" t="str">
        <f aca="false">IF(AND(B26="",C26=""),"",IF(NOT(ISNUMBER(C26)),"enter the amount as a number",IF(C26&lt;0,"amount cannot be negative",IF(C26=0,"",IF(NOT(AND(ISNUMBER(H26),ISNUMBER(I26),ISNUMBER(J26),ISNUMBER(K26))),"not in the list - enter the four custom values",IF(OR(H26&lt;=0,I26&lt;=0,K26&lt;1),"Tc and Pc must be positive, M at least 1",IF(OR(J26&lt;-1,J26&gt;2),"acentric factor must lie between -1 and 2","OK")))))))</f>
        <v/>
      </c>
    </row>
    <row r="27" customFormat="false" ht="15" hidden="false" customHeight="false" outlineLevel="0" collapsed="false">
      <c r="A27" s="9" t="n">
        <v>11</v>
      </c>
      <c r="B27" s="10"/>
      <c r="C27" s="6"/>
      <c r="D27" s="11"/>
      <c r="E27" s="11"/>
      <c r="F27" s="12"/>
      <c r="G27" s="13"/>
      <c r="H27" s="14" t="str">
        <f aca="false">IF(ISNUMBER(D27),D27,IFERROR(INDEX('Gas data'!$D$5:$D$131,MATCH($B27,'Gas data'!$B$5:$B$131,0)),""))</f>
        <v/>
      </c>
      <c r="I27" s="14" t="str">
        <f aca="false">IF(ISNUMBER(E27),E27,IFERROR(INDEX('Gas data'!$E$5:$E$131,MATCH($B27,'Gas data'!$B$5:$B$131,0)),""))</f>
        <v/>
      </c>
      <c r="J27" s="15" t="str">
        <f aca="false">IF(ISNUMBER(F27),F27,IFERROR(INDEX('Gas data'!$F$5:$F$131,MATCH($B27,'Gas data'!$B$5:$B$131,0)),""))</f>
        <v/>
      </c>
      <c r="K27" s="16" t="str">
        <f aca="false">IF(ISNUMBER(G27),G27,IFERROR(INDEX('Gas data'!$G$5:$G$131,MATCH($B27,'Gas data'!$B$5:$B$131,0)),""))</f>
        <v/>
      </c>
      <c r="L27" s="17" t="n">
        <f aca="false">IF(M27="OK",C27/SUMIF($M$17:$M$28,"OK",$C$17:$C$28),0)</f>
        <v>0</v>
      </c>
      <c r="M27" s="18" t="str">
        <f aca="false">IF(AND(B27="",C27=""),"",IF(NOT(ISNUMBER(C27)),"enter the amount as a number",IF(C27&lt;0,"amount cannot be negative",IF(C27=0,"",IF(NOT(AND(ISNUMBER(H27),ISNUMBER(I27),ISNUMBER(J27),ISNUMBER(K27))),"not in the list - enter the four custom values",IF(OR(H27&lt;=0,I27&lt;=0,K27&lt;1),"Tc and Pc must be positive, M at least 1",IF(OR(J27&lt;-1,J27&gt;2),"acentric factor must lie between -1 and 2","OK")))))))</f>
        <v/>
      </c>
    </row>
    <row r="28" customFormat="false" ht="15" hidden="false" customHeight="false" outlineLevel="0" collapsed="false">
      <c r="A28" s="9" t="n">
        <v>12</v>
      </c>
      <c r="B28" s="10"/>
      <c r="C28" s="6"/>
      <c r="D28" s="11"/>
      <c r="E28" s="11"/>
      <c r="F28" s="12"/>
      <c r="G28" s="13"/>
      <c r="H28" s="14" t="str">
        <f aca="false">IF(ISNUMBER(D28),D28,IFERROR(INDEX('Gas data'!$D$5:$D$131,MATCH($B28,'Gas data'!$B$5:$B$131,0)),""))</f>
        <v/>
      </c>
      <c r="I28" s="14" t="str">
        <f aca="false">IF(ISNUMBER(E28),E28,IFERROR(INDEX('Gas data'!$E$5:$E$131,MATCH($B28,'Gas data'!$B$5:$B$131,0)),""))</f>
        <v/>
      </c>
      <c r="J28" s="15" t="str">
        <f aca="false">IF(ISNUMBER(F28),F28,IFERROR(INDEX('Gas data'!$F$5:$F$131,MATCH($B28,'Gas data'!$B$5:$B$131,0)),""))</f>
        <v/>
      </c>
      <c r="K28" s="16" t="str">
        <f aca="false">IF(ISNUMBER(G28),G28,IFERROR(INDEX('Gas data'!$G$5:$G$131,MATCH($B28,'Gas data'!$B$5:$B$131,0)),""))</f>
        <v/>
      </c>
      <c r="L28" s="17" t="n">
        <f aca="false">IF(M28="OK",C28/SUMIF($M$17:$M$28,"OK",$C$17:$C$28),0)</f>
        <v>0</v>
      </c>
      <c r="M28" s="18" t="str">
        <f aca="false">IF(AND(B28="",C28=""),"",IF(NOT(ISNUMBER(C28)),"enter the amount as a number",IF(C28&lt;0,"amount cannot be negative",IF(C28=0,"",IF(NOT(AND(ISNUMBER(H28),ISNUMBER(I28),ISNUMBER(J28),ISNUMBER(K28))),"not in the list - enter the four custom values",IF(OR(H28&lt;=0,I28&lt;=0,K28&lt;1),"Tc and Pc must be positive, M at least 1",IF(OR(J28&lt;-1,J28&gt;2),"acentric factor must lie between -1 and 2","OK")))))))</f>
        <v/>
      </c>
    </row>
    <row r="29" customFormat="false" ht="15" hidden="false" customHeight="false" outlineLevel="0" collapsed="false">
      <c r="B29" s="19" t="s">
        <v>29</v>
      </c>
      <c r="C29" s="20" t="n">
        <f aca="false">SUM($C$17:$C$28)</f>
        <v>100</v>
      </c>
      <c r="D29" s="3" t="s">
        <v>30</v>
      </c>
      <c r="L29" s="21" t="n">
        <f aca="false">SUM(L17:L28)</f>
        <v>1</v>
      </c>
    </row>
    <row r="31" customFormat="false" ht="15" hidden="false" customHeight="false" outlineLevel="0" collapsed="false">
      <c r="B31" s="4" t="s">
        <v>31</v>
      </c>
    </row>
    <row r="32" customFormat="false" ht="15" hidden="false" customHeight="false" outlineLevel="0" collapsed="false">
      <c r="B32" s="22" t="s">
        <v>32</v>
      </c>
      <c r="C32" s="23" t="n">
        <f aca="false">IF(ISNUMBER(C9),IF(D9="K",C9,IF(D9="°F",(C9-32)*5/9+273.15,C9+273.15)),0)</f>
        <v>350</v>
      </c>
      <c r="D32" s="7" t="s">
        <v>33</v>
      </c>
    </row>
    <row r="33" customFormat="false" ht="15" hidden="false" customHeight="false" outlineLevel="0" collapsed="false">
      <c r="B33" s="22" t="s">
        <v>34</v>
      </c>
      <c r="C33" s="24" t="n">
        <f aca="false">IF(ISNUMBER(C10),IFERROR(C10*INDEX('Gas data'!$K$5:$K$10,MATCH(D10,'Gas data'!$J$5:$J$10,0)),0),0)</f>
        <v>10000000</v>
      </c>
      <c r="D33" s="7" t="s">
        <v>35</v>
      </c>
    </row>
    <row r="34" customFormat="false" ht="15" hidden="false" customHeight="false" outlineLevel="0" collapsed="false">
      <c r="B34" s="22" t="s">
        <v>36</v>
      </c>
      <c r="C34" s="25" t="n">
        <f aca="false">SUMPRODUCT(--($M$17:$M$28="OK"))</f>
        <v>1</v>
      </c>
    </row>
    <row r="35" customFormat="false" ht="15" hidden="false" customHeight="false" outlineLevel="0" collapsed="false">
      <c r="B35" s="22" t="s">
        <v>37</v>
      </c>
      <c r="C35" s="26" t="n">
        <f aca="false">IF(M17="OK",L17*K17,0)+IF(M18="OK",L18*K18,0)+IF(M19="OK",L19*K19,0)+IF(M20="OK",L20*K20,0)+IF(M21="OK",L21*K21,0)+IF(M22="OK",L22*K22,0)+IF(M23="OK",L23*K23,0)+IF(M24="OK",L24*K24,0)+IF(M25="OK",L25*K25,0)+IF(M26="OK",L26*K26,0)+IF(M27="OK",L27*K27,0)+IF(M28="OK",L28*K28,0)</f>
        <v>16.043</v>
      </c>
      <c r="D35" s="7" t="s">
        <v>38</v>
      </c>
    </row>
    <row r="36" customFormat="false" ht="15" hidden="false" customHeight="false" outlineLevel="0" collapsed="false">
      <c r="B36" s="22" t="s">
        <v>39</v>
      </c>
      <c r="C36" s="27" t="n">
        <f aca="false">IFERROR(C32/(IF(M17="OK",L17*H17,0)+IF(M18="OK",L18*H18,0)+IF(M19="OK",L19*H19,0)+IF(M20="OK",L20*H20,0)+IF(M21="OK",L21*H21,0)+IF(M22="OK",L22*H22,0)+IF(M23="OK",L23*H23,0)+IF(M24="OK",L24*H24,0)+IF(M25="OK",L25*H25,0)+IF(M26="OK",L26*H26,0)+IF(M27="OK",L27*H27,0)+IF(M28="OK",L28*H28,0)),0)</f>
        <v>1.83669185558354</v>
      </c>
      <c r="D36" s="7" t="s">
        <v>40</v>
      </c>
      <c r="E36" s="3" t="s">
        <v>41</v>
      </c>
    </row>
    <row r="37" customFormat="false" ht="15" hidden="false" customHeight="false" outlineLevel="0" collapsed="false">
      <c r="B37" s="22" t="s">
        <v>42</v>
      </c>
      <c r="C37" s="27" t="n">
        <f aca="false">IFERROR(C33/(100000*(IF(M17="OK",L17*I17,0)+IF(M18="OK",L18*I18,0)+IF(M19="OK",L19*I19,0)+IF(M20="OK",L20*I20,0)+IF(M21="OK",L21*I21,0)+IF(M22="OK",L22*I22,0)+IF(M23="OK",L23*I23,0)+IF(M24="OK",L24*I24,0)+IF(M25="OK",L25*I25,0)+IF(M26="OK",L26*I26,0)+IF(M27="OK",L27*I27,0)+IF(M28="OK",L28*I28,0))),0)</f>
        <v>2.16919739696312</v>
      </c>
      <c r="D37" s="7" t="s">
        <v>40</v>
      </c>
    </row>
    <row r="38" customFormat="false" ht="15" hidden="false" customHeight="false" outlineLevel="0" collapsed="false">
      <c r="B38" s="4" t="s">
        <v>43</v>
      </c>
      <c r="C38" s="19" t="str">
        <f aca="false">IF(SUMPRODUCT(--(LEN($M$17:$M$28)&gt;2))&gt;0,"Correct the component rows marked in the Status column",IF(C34&lt;1,"Enter the amount of at least one component",IF(AND(C8&lt;&gt;"Peng-Robinson",C8&lt;&gt;"SRK",C8&lt;&gt;"van der Waals"),"Select the equation of state from the list",IF(NOT(ISNUMBER(C9)),"Enter a temperature",IF(C32&lt;10,"Temperature must be at least 10 K",IF(NOT(ISNUMBER(C10)),"Enter a pressure",IF(C33&lt;=0,"Pressure must be positive - enter absolute pressure, not gauge",IF(NOT(ISNUMBER(C11)),"Enter the amount n",IF(C11&lt;=0,"Amount n must be positive",IF('Mixture kij'!$C$21&lt;&gt;"OK","kij values must lie between -1 and 1 (sheet Mixture kij)","OK"))))))))))</f>
        <v>OK</v>
      </c>
      <c r="D38" s="19"/>
      <c r="E38" s="19"/>
      <c r="F38" s="19"/>
      <c r="G38" s="19"/>
      <c r="H38" s="19"/>
      <c r="I38" s="19"/>
      <c r="J38" s="19"/>
      <c r="K38" s="19"/>
      <c r="L38" s="19"/>
      <c r="M38" s="19"/>
    </row>
    <row r="40" customFormat="false" ht="15" hidden="false" customHeight="false" outlineLevel="0" collapsed="false">
      <c r="B40" s="4" t="s">
        <v>44</v>
      </c>
    </row>
    <row r="41" customFormat="false" ht="15" hidden="false" customHeight="false" outlineLevel="0" collapsed="false">
      <c r="B41" s="4" t="s">
        <v>45</v>
      </c>
      <c r="C41" s="19" t="str">
        <f aca="false">IF(NOT($C$38="OK"),"-",IF('Mixture steps'!$C$133=3,"PHASE SPLIT NOT CONVERGED - use the online calculator at www.multicalci.com for this point",IF('Mixture steps'!$C$133=2,IF('Mixture steps'!$C$152,"TWO LIQUID PHASES (model prediction, see note 5)","TWO PHASES - vapour + liquid"),IF($C$34=1,"ONE PHASE - "&amp;LOWER('Mixture steps'!$C$153),IF('Mixture steps'!$C$152,"ONE PHASE - liquid (dense, liquid-like fluid)","ONE PHASE - gas / vapour")))))</f>
        <v>ONE PHASE - supercritical</v>
      </c>
      <c r="D41" s="19"/>
      <c r="E41" s="19"/>
      <c r="F41" s="19"/>
      <c r="G41" s="19"/>
    </row>
    <row r="43" customFormat="false" ht="15" hidden="false" customHeight="false" outlineLevel="0" collapsed="false">
      <c r="B43" s="8" t="s">
        <v>46</v>
      </c>
      <c r="C43" s="8" t="s">
        <v>29</v>
      </c>
      <c r="D43" s="8" t="str">
        <f aca="false">IF(AND($C$38="OK",'Mixture steps'!$C$133&lt;&gt;3),'Mixture steps'!$C$153,"Phase 1")</f>
        <v>Supercritical</v>
      </c>
      <c r="E43" s="8" t="str">
        <f aca="false">IF(AND($C$38="OK",'Mixture steps'!$C$133=2),'Mixture steps'!$C$154,"Second phase")</f>
        <v>Second phase</v>
      </c>
      <c r="F43" s="8" t="s">
        <v>47</v>
      </c>
    </row>
    <row r="44" customFormat="false" ht="15" hidden="false" customHeight="false" outlineLevel="0" collapsed="false">
      <c r="B44" s="19" t="s">
        <v>48</v>
      </c>
      <c r="C44" s="28" t="n">
        <f aca="false">IF(AND($C$38="OK",'Mixture steps'!$C$133&lt;&gt;3),100,"-")</f>
        <v>100</v>
      </c>
      <c r="D44" s="28" t="n">
        <f aca="false">IF(AND($C$38="OK",'Mixture steps'!$C$133&lt;&gt;3),'Mixture steps'!$C$145*100,"-")</f>
        <v>100</v>
      </c>
      <c r="E44" s="28" t="str">
        <f aca="false">IF(AND($C$38="OK",'Mixture steps'!$C$133=2),(1-'Mixture steps'!$C$145)*100,"-")</f>
        <v>-</v>
      </c>
      <c r="F44" s="29" t="s">
        <v>49</v>
      </c>
    </row>
    <row r="45" customFormat="false" ht="15" hidden="false" customHeight="false" outlineLevel="0" collapsed="false">
      <c r="B45" s="18" t="s">
        <v>50</v>
      </c>
      <c r="C45" s="15" t="n">
        <f aca="false">IF(AND($C$38="OK",'Mixture steps'!$C$133&lt;&gt;3),100,"-")</f>
        <v>100</v>
      </c>
      <c r="D45" s="15" t="n">
        <f aca="false">IF(AND($C$38="OK",'Mixture steps'!$C$133&lt;&gt;3),'Mixture steps'!$C$145*'Mixture steps'!$C$155/'Mixture steps'!$C$159*100,"-")</f>
        <v>100</v>
      </c>
      <c r="E45" s="15" t="str">
        <f aca="false">IF(AND($C$38="OK",'Mixture steps'!$C$133=2),(1-'Mixture steps'!$C$145)*'Mixture steps'!$C$156/'Mixture steps'!$C$159*100,"-")</f>
        <v>-</v>
      </c>
      <c r="F45" s="29" t="s">
        <v>51</v>
      </c>
    </row>
    <row r="46" customFormat="false" ht="15" hidden="false" customHeight="false" outlineLevel="0" collapsed="false">
      <c r="B46" s="18" t="s">
        <v>52</v>
      </c>
      <c r="C46" s="15" t="n">
        <f aca="false">IF(AND($C$38="OK",'Mixture steps'!$C$133&lt;&gt;3),100,"-")</f>
        <v>100</v>
      </c>
      <c r="D46" s="15" t="n">
        <f aca="false">IF(AND($C$38="OK",'Mixture steps'!$C$133&lt;&gt;3),'Mixture steps'!$C$145*'Mixture steps'!$C$157/'Mixture steps'!$C$160*100,"-")</f>
        <v>100</v>
      </c>
      <c r="E46" s="15" t="str">
        <f aca="false">IF(AND($C$38="OK",'Mixture steps'!$C$133=2),(1-'Mixture steps'!$C$145)*'Mixture steps'!$C$158/'Mixture steps'!$C$160*100,"-")</f>
        <v>-</v>
      </c>
      <c r="F46" s="29" t="s">
        <v>53</v>
      </c>
    </row>
    <row r="47" customFormat="false" ht="15" hidden="false" customHeight="false" outlineLevel="0" collapsed="false">
      <c r="B47" s="19" t="s">
        <v>54</v>
      </c>
      <c r="C47" s="21" t="n">
        <f aca="false">IF(AND($C$38="OK",'Mixture steps'!$C$133&lt;&gt;3),'Mixture steps'!$C$161,"-")</f>
        <v>0.91158844983184</v>
      </c>
      <c r="D47" s="21" t="n">
        <f aca="false">IF(AND($C$38="OK",'Mixture steps'!$C$133&lt;&gt;3),'Mixture steps'!$C$150,"-")</f>
        <v>0.91158844983184</v>
      </c>
      <c r="E47" s="21" t="str">
        <f aca="false">IF(AND($C$38="OK",'Mixture steps'!$C$133=2),'Mixture steps'!$C$151,"-")</f>
        <v>-</v>
      </c>
      <c r="F47" s="29" t="s">
        <v>40</v>
      </c>
    </row>
    <row r="48" customFormat="false" ht="15" hidden="false" customHeight="false" outlineLevel="0" collapsed="false">
      <c r="B48" s="18" t="s">
        <v>55</v>
      </c>
      <c r="C48" s="15" t="n">
        <f aca="false">IF(AND($C$38="OK",'Mixture steps'!$C$133&lt;&gt;3),'Mixture steps'!$C$159,"-")</f>
        <v>16.043</v>
      </c>
      <c r="D48" s="15" t="n">
        <f aca="false">IF(AND($C$38="OK",'Mixture steps'!$C$133&lt;&gt;3),'Mixture steps'!$C$155,"-")</f>
        <v>16.043</v>
      </c>
      <c r="E48" s="15" t="str">
        <f aca="false">IF(AND($C$38="OK",'Mixture steps'!$C$133=2),'Mixture steps'!$C$156,"-")</f>
        <v>-</v>
      </c>
      <c r="F48" s="29" t="s">
        <v>38</v>
      </c>
    </row>
    <row r="49" customFormat="false" ht="15" hidden="false" customHeight="false" outlineLevel="0" collapsed="false">
      <c r="B49" s="18" t="s">
        <v>56</v>
      </c>
      <c r="C49" s="30" t="n">
        <f aca="false">IF(AND($C$38="OK",'Mixture steps'!$C$133&lt;&gt;3),'Mixture steps'!$C$160*1000,"-")</f>
        <v>0.265277863401801</v>
      </c>
      <c r="D49" s="30" t="n">
        <f aca="false">IF(AND($C$38="OK",'Mixture steps'!$C$133&lt;&gt;3),'Mixture steps'!$C$157*1000,"-")</f>
        <v>0.265277863401801</v>
      </c>
      <c r="E49" s="30" t="str">
        <f aca="false">IF(AND($C$38="OK",'Mixture steps'!$C$133=2),'Mixture steps'!$C$158*1000,"-")</f>
        <v>-</v>
      </c>
      <c r="F49" s="29" t="s">
        <v>57</v>
      </c>
    </row>
    <row r="50" customFormat="false" ht="15" hidden="false" customHeight="false" outlineLevel="0" collapsed="false">
      <c r="B50" s="19" t="s">
        <v>58</v>
      </c>
      <c r="C50" s="28" t="n">
        <f aca="false">IF(AND($C$38="OK",'Mixture steps'!$C$133&lt;&gt;3),'Mixture steps'!$C$159/1000/'Mixture steps'!$C$160,"-")</f>
        <v>60.4762108465138</v>
      </c>
      <c r="D50" s="28" t="n">
        <f aca="false">IF(AND($C$38="OK",'Mixture steps'!$C$133&lt;&gt;3),'Mixture steps'!$C$155/1000/'Mixture steps'!$C$157,"-")</f>
        <v>60.4762108465138</v>
      </c>
      <c r="E50" s="28" t="str">
        <f aca="false">IF(AND($C$38="OK",'Mixture steps'!$C$133=2),'Mixture steps'!$C$156/1000/'Mixture steps'!$C$158,"-")</f>
        <v>-</v>
      </c>
      <c r="F50" s="29" t="s">
        <v>59</v>
      </c>
    </row>
    <row r="51" customFormat="false" ht="15" hidden="false" customHeight="false" outlineLevel="0" collapsed="false">
      <c r="B51" s="18" t="s">
        <v>60</v>
      </c>
      <c r="C51" s="15" t="n">
        <f aca="false">IF(AND($C$38="OK",'Mixture steps'!$C$133&lt;&gt;3),$C$11,"-")</f>
        <v>1</v>
      </c>
      <c r="D51" s="15" t="n">
        <f aca="false">IF(AND($C$38="OK",'Mixture steps'!$C$133&lt;&gt;3),$C$11*'Mixture steps'!$C$145,"-")</f>
        <v>1</v>
      </c>
      <c r="E51" s="15" t="str">
        <f aca="false">IF(AND($C$38="OK",'Mixture steps'!$C$133=2),$C$11*(1-'Mixture steps'!$C$145),"-")</f>
        <v>-</v>
      </c>
      <c r="F51" s="29" t="s">
        <v>14</v>
      </c>
    </row>
    <row r="52" customFormat="false" ht="15" hidden="false" customHeight="false" outlineLevel="0" collapsed="false">
      <c r="B52" s="18" t="s">
        <v>61</v>
      </c>
      <c r="C52" s="15" t="n">
        <f aca="false">IF(AND($C$38="OK",'Mixture steps'!$C$133&lt;&gt;3),$C$11*'Mixture steps'!$C$160*1000,"-")</f>
        <v>0.265277863401801</v>
      </c>
      <c r="D52" s="15" t="n">
        <f aca="false">IF(AND($C$38="OK",'Mixture steps'!$C$133&lt;&gt;3),$C$11*'Mixture steps'!$C$145*'Mixture steps'!$C$157*1000,"-")</f>
        <v>0.265277863401801</v>
      </c>
      <c r="E52" s="15" t="str">
        <f aca="false">IF(AND($C$38="OK",'Mixture steps'!$C$133=2),$C$11*(1-'Mixture steps'!$C$145)*'Mixture steps'!$C$158*1000,"-")</f>
        <v>-</v>
      </c>
      <c r="F52" s="29" t="s">
        <v>62</v>
      </c>
    </row>
    <row r="53" customFormat="false" ht="15" hidden="false" customHeight="false" outlineLevel="0" collapsed="false">
      <c r="B53" s="18" t="s">
        <v>63</v>
      </c>
      <c r="C53" s="16" t="n">
        <f aca="false">IF(AND($C$38="OK",'Mixture steps'!$C$133&lt;&gt;3),$C$11*'Mixture steps'!$C$159,"-")</f>
        <v>16.043</v>
      </c>
      <c r="D53" s="16" t="n">
        <f aca="false">IF(AND($C$38="OK",'Mixture steps'!$C$133&lt;&gt;3),$C$11*'Mixture steps'!$C$145*'Mixture steps'!$C$155,"-")</f>
        <v>16.043</v>
      </c>
      <c r="E53" s="16" t="str">
        <f aca="false">IF(AND($C$38="OK",'Mixture steps'!$C$133=2),$C$11*(1-'Mixture steps'!$C$145)*'Mixture steps'!$C$156,"-")</f>
        <v>-</v>
      </c>
      <c r="F53" s="29" t="s">
        <v>64</v>
      </c>
    </row>
    <row r="54" customFormat="false" ht="15" hidden="false" customHeight="false" outlineLevel="0" collapsed="false">
      <c r="B54" s="18" t="s">
        <v>65</v>
      </c>
      <c r="C54" s="15" t="n">
        <f aca="false">IF($C$38="OK",'Mixture steps'!$C$9*'Mixture steps'!$C$159/1000/('Mixture steps'!$C$10*'Mixture steps'!$C$8),"-")</f>
        <v>55.129415297277</v>
      </c>
      <c r="D54" s="15" t="s">
        <v>40</v>
      </c>
      <c r="E54" s="15" t="s">
        <v>40</v>
      </c>
      <c r="F54" s="29" t="s">
        <v>59</v>
      </c>
    </row>
    <row r="56" customFormat="false" ht="15" hidden="false" customHeight="false" outlineLevel="0" collapsed="false">
      <c r="B56" s="8" t="s">
        <v>20</v>
      </c>
      <c r="C56" s="8" t="s">
        <v>66</v>
      </c>
      <c r="D56" s="8" t="str">
        <f aca="false">D43</f>
        <v>Supercritical</v>
      </c>
      <c r="E56" s="8" t="str">
        <f aca="false">E43</f>
        <v>Second phase</v>
      </c>
      <c r="F56" s="8" t="s">
        <v>67</v>
      </c>
      <c r="G56" s="8" t="str">
        <f aca="false">"φ, "&amp;LOWER(D43)</f>
        <v>φ, supercritical</v>
      </c>
      <c r="H56" s="8" t="str">
        <f aca="false">"φ, "&amp;LOWER(E43)</f>
        <v>φ, second phase</v>
      </c>
      <c r="I56" s="8" t="str">
        <f aca="false">"Fugacity f ("&amp;$D$10&amp;")"</f>
        <v>Fugacity f (bar)</v>
      </c>
      <c r="J56" s="3" t="s">
        <v>68</v>
      </c>
    </row>
    <row r="57" customFormat="false" ht="15" hidden="false" customHeight="false" outlineLevel="0" collapsed="false">
      <c r="B57" s="18" t="str">
        <f aca="false">IF($M$17="OK",$B$17,"")</f>
        <v>Methane (CH4)</v>
      </c>
      <c r="C57" s="31" t="n">
        <f aca="false">IF(AND($C$38="OK",'Mixture steps'!$C$133&lt;&gt;3,$M$17="OK"),$L$17,"")</f>
        <v>1</v>
      </c>
      <c r="D57" s="21" t="n">
        <f aca="false">IF(AND($C$38="OK",'Mixture steps'!$C$133&lt;&gt;3,$M$17="OK"),'Mixture steps'!$E$146,"")</f>
        <v>1</v>
      </c>
      <c r="E57" s="21" t="str">
        <f aca="false">IF(AND($C$38="OK",'Mixture steps'!$C$133=2,$M$17="OK"),'Mixture steps'!$E$147,"")</f>
        <v/>
      </c>
      <c r="F57" s="30" t="str">
        <f aca="false">IF(AND($C$38="OK",'Mixture steps'!$C$133=2,$M$17="OK"),IFERROR('Mixture steps'!$E$146/'Mixture steps'!$E$147,""),"")</f>
        <v/>
      </c>
      <c r="G57" s="31" t="n">
        <f aca="false">IF(AND($C$38="OK",'Mixture steps'!$C$133&lt;&gt;3,$M$17="OK"),EXP('Mixture steps'!$E$148),"")</f>
        <v>0.897770985020633</v>
      </c>
      <c r="H57" s="31" t="str">
        <f aca="false">IF(AND($C$38="OK",'Mixture steps'!$C$133=2,$M$17="OK"),EXP('Mixture steps'!$E$149),"")</f>
        <v/>
      </c>
      <c r="I57" s="15" t="n">
        <f aca="false">IF(AND($C$38="OK",'Mixture steps'!$C$133&lt;&gt;3,$M$17="OK"),EXP('Mixture steps'!$E$148)*'Mixture steps'!$E$146*$C$10,"")</f>
        <v>89.7770985020633</v>
      </c>
    </row>
    <row r="58" customFormat="false" ht="15" hidden="false" customHeight="false" outlineLevel="0" collapsed="false">
      <c r="B58" s="18" t="str">
        <f aca="false">IF($M$18="OK",$B$18,"")</f>
        <v/>
      </c>
      <c r="C58" s="31" t="str">
        <f aca="false">IF(AND($C$38="OK",'Mixture steps'!$C$133&lt;&gt;3,$M$18="OK"),$L$18,"")</f>
        <v/>
      </c>
      <c r="D58" s="21" t="str">
        <f aca="false">IF(AND($C$38="OK",'Mixture steps'!$C$133&lt;&gt;3,$M$18="OK"),'Mixture steps'!$F$146,"")</f>
        <v/>
      </c>
      <c r="E58" s="21" t="str">
        <f aca="false">IF(AND($C$38="OK",'Mixture steps'!$C$133=2,$M$18="OK"),'Mixture steps'!$F$147,"")</f>
        <v/>
      </c>
      <c r="F58" s="30" t="str">
        <f aca="false">IF(AND($C$38="OK",'Mixture steps'!$C$133=2,$M$18="OK"),IFERROR('Mixture steps'!$F$146/'Mixture steps'!$F$147,""),"")</f>
        <v/>
      </c>
      <c r="G58" s="31" t="str">
        <f aca="false">IF(AND($C$38="OK",'Mixture steps'!$C$133&lt;&gt;3,$M$18="OK"),EXP('Mixture steps'!$F$148),"")</f>
        <v/>
      </c>
      <c r="H58" s="31" t="str">
        <f aca="false">IF(AND($C$38="OK",'Mixture steps'!$C$133=2,$M$18="OK"),EXP('Mixture steps'!$F$149),"")</f>
        <v/>
      </c>
      <c r="I58" s="15" t="str">
        <f aca="false">IF(AND($C$38="OK",'Mixture steps'!$C$133&lt;&gt;3,$M$18="OK"),EXP('Mixture steps'!$F$148)*'Mixture steps'!$F$146*$C$10,"")</f>
        <v/>
      </c>
    </row>
    <row r="59" customFormat="false" ht="15" hidden="false" customHeight="false" outlineLevel="0" collapsed="false">
      <c r="B59" s="18" t="str">
        <f aca="false">IF($M$19="OK",$B$19,"")</f>
        <v/>
      </c>
      <c r="C59" s="31" t="str">
        <f aca="false">IF(AND($C$38="OK",'Mixture steps'!$C$133&lt;&gt;3,$M$19="OK"),$L$19,"")</f>
        <v/>
      </c>
      <c r="D59" s="21" t="str">
        <f aca="false">IF(AND($C$38="OK",'Mixture steps'!$C$133&lt;&gt;3,$M$19="OK"),'Mixture steps'!$G$146,"")</f>
        <v/>
      </c>
      <c r="E59" s="21" t="str">
        <f aca="false">IF(AND($C$38="OK",'Mixture steps'!$C$133=2,$M$19="OK"),'Mixture steps'!$G$147,"")</f>
        <v/>
      </c>
      <c r="F59" s="30" t="str">
        <f aca="false">IF(AND($C$38="OK",'Mixture steps'!$C$133=2,$M$19="OK"),IFERROR('Mixture steps'!$G$146/'Mixture steps'!$G$147,""),"")</f>
        <v/>
      </c>
      <c r="G59" s="31" t="str">
        <f aca="false">IF(AND($C$38="OK",'Mixture steps'!$C$133&lt;&gt;3,$M$19="OK"),EXP('Mixture steps'!$G$148),"")</f>
        <v/>
      </c>
      <c r="H59" s="31" t="str">
        <f aca="false">IF(AND($C$38="OK",'Mixture steps'!$C$133=2,$M$19="OK"),EXP('Mixture steps'!$G$149),"")</f>
        <v/>
      </c>
      <c r="I59" s="15" t="str">
        <f aca="false">IF(AND($C$38="OK",'Mixture steps'!$C$133&lt;&gt;3,$M$19="OK"),EXP('Mixture steps'!$G$148)*'Mixture steps'!$G$146*$C$10,"")</f>
        <v/>
      </c>
    </row>
    <row r="60" customFormat="false" ht="15" hidden="false" customHeight="false" outlineLevel="0" collapsed="false">
      <c r="B60" s="18" t="str">
        <f aca="false">IF($M$20="OK",$B$20,"")</f>
        <v/>
      </c>
      <c r="C60" s="31" t="str">
        <f aca="false">IF(AND($C$38="OK",'Mixture steps'!$C$133&lt;&gt;3,$M$20="OK"),$L$20,"")</f>
        <v/>
      </c>
      <c r="D60" s="21" t="str">
        <f aca="false">IF(AND($C$38="OK",'Mixture steps'!$C$133&lt;&gt;3,$M$20="OK"),'Mixture steps'!$H$146,"")</f>
        <v/>
      </c>
      <c r="E60" s="21" t="str">
        <f aca="false">IF(AND($C$38="OK",'Mixture steps'!$C$133=2,$M$20="OK"),'Mixture steps'!$H$147,"")</f>
        <v/>
      </c>
      <c r="F60" s="30" t="str">
        <f aca="false">IF(AND($C$38="OK",'Mixture steps'!$C$133=2,$M$20="OK"),IFERROR('Mixture steps'!$H$146/'Mixture steps'!$H$147,""),"")</f>
        <v/>
      </c>
      <c r="G60" s="31" t="str">
        <f aca="false">IF(AND($C$38="OK",'Mixture steps'!$C$133&lt;&gt;3,$M$20="OK"),EXP('Mixture steps'!$H$148),"")</f>
        <v/>
      </c>
      <c r="H60" s="31" t="str">
        <f aca="false">IF(AND($C$38="OK",'Mixture steps'!$C$133=2,$M$20="OK"),EXP('Mixture steps'!$H$149),"")</f>
        <v/>
      </c>
      <c r="I60" s="15" t="str">
        <f aca="false">IF(AND($C$38="OK",'Mixture steps'!$C$133&lt;&gt;3,$M$20="OK"),EXP('Mixture steps'!$H$148)*'Mixture steps'!$H$146*$C$10,"")</f>
        <v/>
      </c>
    </row>
    <row r="61" customFormat="false" ht="15" hidden="false" customHeight="false" outlineLevel="0" collapsed="false">
      <c r="B61" s="18" t="str">
        <f aca="false">IF($M$21="OK",$B$21,"")</f>
        <v/>
      </c>
      <c r="C61" s="31" t="str">
        <f aca="false">IF(AND($C$38="OK",'Mixture steps'!$C$133&lt;&gt;3,$M$21="OK"),$L$21,"")</f>
        <v/>
      </c>
      <c r="D61" s="21" t="str">
        <f aca="false">IF(AND($C$38="OK",'Mixture steps'!$C$133&lt;&gt;3,$M$21="OK"),'Mixture steps'!$I$146,"")</f>
        <v/>
      </c>
      <c r="E61" s="21" t="str">
        <f aca="false">IF(AND($C$38="OK",'Mixture steps'!$C$133=2,$M$21="OK"),'Mixture steps'!$I$147,"")</f>
        <v/>
      </c>
      <c r="F61" s="30" t="str">
        <f aca="false">IF(AND($C$38="OK",'Mixture steps'!$C$133=2,$M$21="OK"),IFERROR('Mixture steps'!$I$146/'Mixture steps'!$I$147,""),"")</f>
        <v/>
      </c>
      <c r="G61" s="31" t="str">
        <f aca="false">IF(AND($C$38="OK",'Mixture steps'!$C$133&lt;&gt;3,$M$21="OK"),EXP('Mixture steps'!$I$148),"")</f>
        <v/>
      </c>
      <c r="H61" s="31" t="str">
        <f aca="false">IF(AND($C$38="OK",'Mixture steps'!$C$133=2,$M$21="OK"),EXP('Mixture steps'!$I$149),"")</f>
        <v/>
      </c>
      <c r="I61" s="15" t="str">
        <f aca="false">IF(AND($C$38="OK",'Mixture steps'!$C$133&lt;&gt;3,$M$21="OK"),EXP('Mixture steps'!$I$148)*'Mixture steps'!$I$146*$C$10,"")</f>
        <v/>
      </c>
    </row>
    <row r="62" customFormat="false" ht="15" hidden="false" customHeight="false" outlineLevel="0" collapsed="false">
      <c r="B62" s="18" t="str">
        <f aca="false">IF($M$22="OK",$B$22,"")</f>
        <v/>
      </c>
      <c r="C62" s="31" t="str">
        <f aca="false">IF(AND($C$38="OK",'Mixture steps'!$C$133&lt;&gt;3,$M$22="OK"),$L$22,"")</f>
        <v/>
      </c>
      <c r="D62" s="21" t="str">
        <f aca="false">IF(AND($C$38="OK",'Mixture steps'!$C$133&lt;&gt;3,$M$22="OK"),'Mixture steps'!$J$146,"")</f>
        <v/>
      </c>
      <c r="E62" s="21" t="str">
        <f aca="false">IF(AND($C$38="OK",'Mixture steps'!$C$133=2,$M$22="OK"),'Mixture steps'!$J$147,"")</f>
        <v/>
      </c>
      <c r="F62" s="30" t="str">
        <f aca="false">IF(AND($C$38="OK",'Mixture steps'!$C$133=2,$M$22="OK"),IFERROR('Mixture steps'!$J$146/'Mixture steps'!$J$147,""),"")</f>
        <v/>
      </c>
      <c r="G62" s="31" t="str">
        <f aca="false">IF(AND($C$38="OK",'Mixture steps'!$C$133&lt;&gt;3,$M$22="OK"),EXP('Mixture steps'!$J$148),"")</f>
        <v/>
      </c>
      <c r="H62" s="31" t="str">
        <f aca="false">IF(AND($C$38="OK",'Mixture steps'!$C$133=2,$M$22="OK"),EXP('Mixture steps'!$J$149),"")</f>
        <v/>
      </c>
      <c r="I62" s="15" t="str">
        <f aca="false">IF(AND($C$38="OK",'Mixture steps'!$C$133&lt;&gt;3,$M$22="OK"),EXP('Mixture steps'!$J$148)*'Mixture steps'!$J$146*$C$10,"")</f>
        <v/>
      </c>
    </row>
    <row r="63" customFormat="false" ht="15" hidden="false" customHeight="false" outlineLevel="0" collapsed="false">
      <c r="B63" s="18" t="str">
        <f aca="false">IF($M$23="OK",$B$23,"")</f>
        <v/>
      </c>
      <c r="C63" s="31" t="str">
        <f aca="false">IF(AND($C$38="OK",'Mixture steps'!$C$133&lt;&gt;3,$M$23="OK"),$L$23,"")</f>
        <v/>
      </c>
      <c r="D63" s="21" t="str">
        <f aca="false">IF(AND($C$38="OK",'Mixture steps'!$C$133&lt;&gt;3,$M$23="OK"),'Mixture steps'!$K$146,"")</f>
        <v/>
      </c>
      <c r="E63" s="21" t="str">
        <f aca="false">IF(AND($C$38="OK",'Mixture steps'!$C$133=2,$M$23="OK"),'Mixture steps'!$K$147,"")</f>
        <v/>
      </c>
      <c r="F63" s="30" t="str">
        <f aca="false">IF(AND($C$38="OK",'Mixture steps'!$C$133=2,$M$23="OK"),IFERROR('Mixture steps'!$K$146/'Mixture steps'!$K$147,""),"")</f>
        <v/>
      </c>
      <c r="G63" s="31" t="str">
        <f aca="false">IF(AND($C$38="OK",'Mixture steps'!$C$133&lt;&gt;3,$M$23="OK"),EXP('Mixture steps'!$K$148),"")</f>
        <v/>
      </c>
      <c r="H63" s="31" t="str">
        <f aca="false">IF(AND($C$38="OK",'Mixture steps'!$C$133=2,$M$23="OK"),EXP('Mixture steps'!$K$149),"")</f>
        <v/>
      </c>
      <c r="I63" s="15" t="str">
        <f aca="false">IF(AND($C$38="OK",'Mixture steps'!$C$133&lt;&gt;3,$M$23="OK"),EXP('Mixture steps'!$K$148)*'Mixture steps'!$K$146*$C$10,"")</f>
        <v/>
      </c>
    </row>
    <row r="64" customFormat="false" ht="15" hidden="false" customHeight="false" outlineLevel="0" collapsed="false">
      <c r="B64" s="18" t="str">
        <f aca="false">IF($M$24="OK",$B$24,"")</f>
        <v/>
      </c>
      <c r="C64" s="31" t="str">
        <f aca="false">IF(AND($C$38="OK",'Mixture steps'!$C$133&lt;&gt;3,$M$24="OK"),$L$24,"")</f>
        <v/>
      </c>
      <c r="D64" s="21" t="str">
        <f aca="false">IF(AND($C$38="OK",'Mixture steps'!$C$133&lt;&gt;3,$M$24="OK"),'Mixture steps'!$L$146,"")</f>
        <v/>
      </c>
      <c r="E64" s="21" t="str">
        <f aca="false">IF(AND($C$38="OK",'Mixture steps'!$C$133=2,$M$24="OK"),'Mixture steps'!$L$147,"")</f>
        <v/>
      </c>
      <c r="F64" s="30" t="str">
        <f aca="false">IF(AND($C$38="OK",'Mixture steps'!$C$133=2,$M$24="OK"),IFERROR('Mixture steps'!$L$146/'Mixture steps'!$L$147,""),"")</f>
        <v/>
      </c>
      <c r="G64" s="31" t="str">
        <f aca="false">IF(AND($C$38="OK",'Mixture steps'!$C$133&lt;&gt;3,$M$24="OK"),EXP('Mixture steps'!$L$148),"")</f>
        <v/>
      </c>
      <c r="H64" s="31" t="str">
        <f aca="false">IF(AND($C$38="OK",'Mixture steps'!$C$133=2,$M$24="OK"),EXP('Mixture steps'!$L$149),"")</f>
        <v/>
      </c>
      <c r="I64" s="15" t="str">
        <f aca="false">IF(AND($C$38="OK",'Mixture steps'!$C$133&lt;&gt;3,$M$24="OK"),EXP('Mixture steps'!$L$148)*'Mixture steps'!$L$146*$C$10,"")</f>
        <v/>
      </c>
    </row>
    <row r="65" customFormat="false" ht="15" hidden="false" customHeight="false" outlineLevel="0" collapsed="false">
      <c r="B65" s="18" t="str">
        <f aca="false">IF($M$25="OK",$B$25,"")</f>
        <v/>
      </c>
      <c r="C65" s="31" t="str">
        <f aca="false">IF(AND($C$38="OK",'Mixture steps'!$C$133&lt;&gt;3,$M$25="OK"),$L$25,"")</f>
        <v/>
      </c>
      <c r="D65" s="21" t="str">
        <f aca="false">IF(AND($C$38="OK",'Mixture steps'!$C$133&lt;&gt;3,$M$25="OK"),'Mixture steps'!$M$146,"")</f>
        <v/>
      </c>
      <c r="E65" s="21" t="str">
        <f aca="false">IF(AND($C$38="OK",'Mixture steps'!$C$133=2,$M$25="OK"),'Mixture steps'!$M$147,"")</f>
        <v/>
      </c>
      <c r="F65" s="30" t="str">
        <f aca="false">IF(AND($C$38="OK",'Mixture steps'!$C$133=2,$M$25="OK"),IFERROR('Mixture steps'!$M$146/'Mixture steps'!$M$147,""),"")</f>
        <v/>
      </c>
      <c r="G65" s="31" t="str">
        <f aca="false">IF(AND($C$38="OK",'Mixture steps'!$C$133&lt;&gt;3,$M$25="OK"),EXP('Mixture steps'!$M$148),"")</f>
        <v/>
      </c>
      <c r="H65" s="31" t="str">
        <f aca="false">IF(AND($C$38="OK",'Mixture steps'!$C$133=2,$M$25="OK"),EXP('Mixture steps'!$M$149),"")</f>
        <v/>
      </c>
      <c r="I65" s="15" t="str">
        <f aca="false">IF(AND($C$38="OK",'Mixture steps'!$C$133&lt;&gt;3,$M$25="OK"),EXP('Mixture steps'!$M$148)*'Mixture steps'!$M$146*$C$10,"")</f>
        <v/>
      </c>
    </row>
    <row r="66" customFormat="false" ht="15" hidden="false" customHeight="false" outlineLevel="0" collapsed="false">
      <c r="B66" s="18" t="str">
        <f aca="false">IF($M$26="OK",$B$26,"")</f>
        <v/>
      </c>
      <c r="C66" s="31" t="str">
        <f aca="false">IF(AND($C$38="OK",'Mixture steps'!$C$133&lt;&gt;3,$M$26="OK"),$L$26,"")</f>
        <v/>
      </c>
      <c r="D66" s="21" t="str">
        <f aca="false">IF(AND($C$38="OK",'Mixture steps'!$C$133&lt;&gt;3,$M$26="OK"),'Mixture steps'!$N$146,"")</f>
        <v/>
      </c>
      <c r="E66" s="21" t="str">
        <f aca="false">IF(AND($C$38="OK",'Mixture steps'!$C$133=2,$M$26="OK"),'Mixture steps'!$N$147,"")</f>
        <v/>
      </c>
      <c r="F66" s="30" t="str">
        <f aca="false">IF(AND($C$38="OK",'Mixture steps'!$C$133=2,$M$26="OK"),IFERROR('Mixture steps'!$N$146/'Mixture steps'!$N$147,""),"")</f>
        <v/>
      </c>
      <c r="G66" s="31" t="str">
        <f aca="false">IF(AND($C$38="OK",'Mixture steps'!$C$133&lt;&gt;3,$M$26="OK"),EXP('Mixture steps'!$N$148),"")</f>
        <v/>
      </c>
      <c r="H66" s="31" t="str">
        <f aca="false">IF(AND($C$38="OK",'Mixture steps'!$C$133=2,$M$26="OK"),EXP('Mixture steps'!$N$149),"")</f>
        <v/>
      </c>
      <c r="I66" s="15" t="str">
        <f aca="false">IF(AND($C$38="OK",'Mixture steps'!$C$133&lt;&gt;3,$M$26="OK"),EXP('Mixture steps'!$N$148)*'Mixture steps'!$N$146*$C$10,"")</f>
        <v/>
      </c>
    </row>
    <row r="67" customFormat="false" ht="15" hidden="false" customHeight="false" outlineLevel="0" collapsed="false">
      <c r="B67" s="18" t="str">
        <f aca="false">IF($M$27="OK",$B$27,"")</f>
        <v/>
      </c>
      <c r="C67" s="31" t="str">
        <f aca="false">IF(AND($C$38="OK",'Mixture steps'!$C$133&lt;&gt;3,$M$27="OK"),$L$27,"")</f>
        <v/>
      </c>
      <c r="D67" s="21" t="str">
        <f aca="false">IF(AND($C$38="OK",'Mixture steps'!$C$133&lt;&gt;3,$M$27="OK"),'Mixture steps'!$O$146,"")</f>
        <v/>
      </c>
      <c r="E67" s="21" t="str">
        <f aca="false">IF(AND($C$38="OK",'Mixture steps'!$C$133=2,$M$27="OK"),'Mixture steps'!$O$147,"")</f>
        <v/>
      </c>
      <c r="F67" s="30" t="str">
        <f aca="false">IF(AND($C$38="OK",'Mixture steps'!$C$133=2,$M$27="OK"),IFERROR('Mixture steps'!$O$146/'Mixture steps'!$O$147,""),"")</f>
        <v/>
      </c>
      <c r="G67" s="31" t="str">
        <f aca="false">IF(AND($C$38="OK",'Mixture steps'!$C$133&lt;&gt;3,$M$27="OK"),EXP('Mixture steps'!$O$148),"")</f>
        <v/>
      </c>
      <c r="H67" s="31" t="str">
        <f aca="false">IF(AND($C$38="OK",'Mixture steps'!$C$133=2,$M$27="OK"),EXP('Mixture steps'!$O$149),"")</f>
        <v/>
      </c>
      <c r="I67" s="15" t="str">
        <f aca="false">IF(AND($C$38="OK",'Mixture steps'!$C$133&lt;&gt;3,$M$27="OK"),EXP('Mixture steps'!$O$148)*'Mixture steps'!$O$146*$C$10,"")</f>
        <v/>
      </c>
    </row>
    <row r="68" customFormat="false" ht="15" hidden="false" customHeight="false" outlineLevel="0" collapsed="false">
      <c r="B68" s="18" t="str">
        <f aca="false">IF($M$28="OK",$B$28,"")</f>
        <v/>
      </c>
      <c r="C68" s="31" t="str">
        <f aca="false">IF(AND($C$38="OK",'Mixture steps'!$C$133&lt;&gt;3,$M$28="OK"),$L$28,"")</f>
        <v/>
      </c>
      <c r="D68" s="21" t="str">
        <f aca="false">IF(AND($C$38="OK",'Mixture steps'!$C$133&lt;&gt;3,$M$28="OK"),'Mixture steps'!$P$146,"")</f>
        <v/>
      </c>
      <c r="E68" s="21" t="str">
        <f aca="false">IF(AND($C$38="OK",'Mixture steps'!$C$133=2,$M$28="OK"),'Mixture steps'!$P$147,"")</f>
        <v/>
      </c>
      <c r="F68" s="30" t="str">
        <f aca="false">IF(AND($C$38="OK",'Mixture steps'!$C$133=2,$M$28="OK"),IFERROR('Mixture steps'!$P$146/'Mixture steps'!$P$147,""),"")</f>
        <v/>
      </c>
      <c r="G68" s="31" t="str">
        <f aca="false">IF(AND($C$38="OK",'Mixture steps'!$C$133&lt;&gt;3,$M$28="OK"),EXP('Mixture steps'!$P$148),"")</f>
        <v/>
      </c>
      <c r="H68" s="31" t="str">
        <f aca="false">IF(AND($C$38="OK",'Mixture steps'!$C$133=2,$M$28="OK"),EXP('Mixture steps'!$P$149),"")</f>
        <v/>
      </c>
      <c r="I68" s="15" t="str">
        <f aca="false">IF(AND($C$38="OK",'Mixture steps'!$C$133&lt;&gt;3,$M$28="OK"),EXP('Mixture steps'!$P$148)*'Mixture steps'!$P$146*$C$10,"")</f>
        <v/>
      </c>
    </row>
    <row r="70" customFormat="false" ht="15" hidden="false" customHeight="false" outlineLevel="0" collapsed="false">
      <c r="B70" s="4" t="s">
        <v>69</v>
      </c>
    </row>
    <row r="71" customFormat="false" ht="15" hidden="false" customHeight="false" outlineLevel="0" collapsed="false">
      <c r="B71" s="3" t="s">
        <v>70</v>
      </c>
    </row>
    <row r="72" customFormat="false" ht="15" hidden="false" customHeight="false" outlineLevel="0" collapsed="false">
      <c r="B72" s="8" t="s">
        <v>71</v>
      </c>
      <c r="C72" s="8" t="s">
        <v>72</v>
      </c>
      <c r="D72" s="8" t="s">
        <v>73</v>
      </c>
      <c r="E72" s="8" t="s">
        <v>74</v>
      </c>
      <c r="F72" s="8" t="s">
        <v>5</v>
      </c>
      <c r="G72" s="8" t="s">
        <v>47</v>
      </c>
    </row>
    <row r="73" customFormat="false" ht="15" hidden="false" customHeight="false" outlineLevel="0" collapsed="false">
      <c r="B73" s="19" t="s">
        <v>75</v>
      </c>
      <c r="C73" s="20" t="str">
        <f aca="false">IF(AND($C$38="OK",$C$34=1),"Ideal gas","-")</f>
        <v>Ideal gas</v>
      </c>
      <c r="D73" s="20" t="str">
        <f aca="false">IF(AND($C$38="OK",$C$34=1),'EOS steps'!$D$66,"-")</f>
        <v>Supercritical</v>
      </c>
      <c r="E73" s="20" t="str">
        <f aca="false">IF(AND($C$38="OK",$C$34=1),'EOS steps'!$E$66,"-")</f>
        <v>Supercritical</v>
      </c>
      <c r="F73" s="20" t="str">
        <f aca="false">IF(AND($C$38="OK",$C$34=1),'EOS steps'!$F$66,"-")</f>
        <v>Supercritical</v>
      </c>
      <c r="G73" s="29"/>
    </row>
    <row r="74" customFormat="false" ht="15" hidden="false" customHeight="false" outlineLevel="0" collapsed="false">
      <c r="B74" s="19" t="s">
        <v>54</v>
      </c>
      <c r="C74" s="21" t="n">
        <f aca="false">IF(AND($C$38="OK",$C$34=1),1,"-")</f>
        <v>1</v>
      </c>
      <c r="D74" s="21" t="n">
        <f aca="false">IF(AND($C$38="OK",$C$34=1),'EOS steps'!$D$64,"-")</f>
        <v>0.894385044835321</v>
      </c>
      <c r="E74" s="21" t="n">
        <f aca="false">IF(AND($C$38="OK",$C$34=1),'EOS steps'!$E$64,"-")</f>
        <v>0.943595898447813</v>
      </c>
      <c r="F74" s="21" t="n">
        <f aca="false">IF(AND($C$38="OK",$C$34=1),'EOS steps'!$F$64,"-")</f>
        <v>0.91158844983184</v>
      </c>
      <c r="G74" s="29" t="s">
        <v>40</v>
      </c>
    </row>
    <row r="75" customFormat="false" ht="15" hidden="false" customHeight="false" outlineLevel="0" collapsed="false">
      <c r="B75" s="19" t="s">
        <v>76</v>
      </c>
      <c r="C75" s="30" t="n">
        <f aca="false">IF(AND($C$38="OK",$C$34=1),'EOS steps'!$D$13*$C$32/$C$33*1000,"-")</f>
        <v>0.29100617</v>
      </c>
      <c r="D75" s="30" t="n">
        <f aca="false">IF(AND($C$38="OK",$C$34=1),'EOS steps'!$D$69*1000,"-")</f>
        <v>0.260271566402805</v>
      </c>
      <c r="E75" s="30" t="n">
        <f aca="false">IF(AND($C$38="OK",$C$34=1),'EOS steps'!$E$69*1000,"-")</f>
        <v>0.274592228435007</v>
      </c>
      <c r="F75" s="30" t="n">
        <f aca="false">IF(AND($C$38="OK",$C$34=1),'EOS steps'!$F$69*1000,"-")</f>
        <v>0.265277863401801</v>
      </c>
      <c r="G75" s="29" t="s">
        <v>57</v>
      </c>
    </row>
    <row r="76" customFormat="false" ht="15" hidden="false" customHeight="false" outlineLevel="0" collapsed="false">
      <c r="B76" s="19" t="s">
        <v>77</v>
      </c>
      <c r="C76" s="15" t="n">
        <f aca="false">IF(AND($C$38="OK",$C$34=1),$C$33*'EOS steps'!$D$12/1000/('EOS steps'!$D$13*$C$32),"-")</f>
        <v>55.129415297277</v>
      </c>
      <c r="D76" s="15" t="n">
        <f aca="false">IF(AND($C$38="OK",$C$34=1),'EOS steps'!$D$70,"-")</f>
        <v>61.6394645858907</v>
      </c>
      <c r="E76" s="15" t="n">
        <f aca="false">IF(AND($C$38="OK",$C$34=1),'EOS steps'!$E$70,"-")</f>
        <v>58.4248144655602</v>
      </c>
      <c r="F76" s="15" t="n">
        <f aca="false">IF(AND($C$38="OK",$C$34=1),'EOS steps'!$F$70,"-")</f>
        <v>60.4762108465138</v>
      </c>
      <c r="G76" s="29" t="s">
        <v>59</v>
      </c>
    </row>
    <row r="77" customFormat="false" ht="15" hidden="false" customHeight="false" outlineLevel="0" collapsed="false">
      <c r="B77" s="18" t="s">
        <v>78</v>
      </c>
      <c r="C77" s="31" t="n">
        <f aca="false">IF(AND($C$38="OK",$C$34=1),1,"-")</f>
        <v>1</v>
      </c>
      <c r="D77" s="31" t="n">
        <f aca="false">IF(AND($C$38="OK",$C$34=1),'EOS steps'!$D$71,"-")</f>
        <v>0.889667902359157</v>
      </c>
      <c r="E77" s="31" t="n">
        <f aca="false">IF(AND($C$38="OK",$C$34=1),'EOS steps'!$E$71,"-")</f>
        <v>0.931536300745629</v>
      </c>
      <c r="F77" s="31" t="n">
        <f aca="false">IF(AND($C$38="OK",$C$34=1),'EOS steps'!$F$71,"-")</f>
        <v>0.897770985020633</v>
      </c>
      <c r="G77" s="29" t="s">
        <v>40</v>
      </c>
    </row>
    <row r="78" customFormat="false" ht="15" hidden="false" customHeight="false" outlineLevel="0" collapsed="false">
      <c r="B78" s="18" t="s">
        <v>79</v>
      </c>
      <c r="C78" s="15" t="n">
        <f aca="false">IF(AND($C$38="OK",$C$34=1),$C$10,"-")</f>
        <v>100</v>
      </c>
      <c r="D78" s="15" t="n">
        <f aca="false">IF(AND($C$38="OK",$C$34=1),'EOS steps'!$D$71*$C$10,"-")</f>
        <v>88.9667902359157</v>
      </c>
      <c r="E78" s="15" t="n">
        <f aca="false">IF(AND($C$38="OK",$C$34=1),'EOS steps'!$E$71*$C$10,"-")</f>
        <v>93.1536300745629</v>
      </c>
      <c r="F78" s="15" t="n">
        <f aca="false">IF(AND($C$38="OK",$C$34=1),'EOS steps'!$F$71*$C$10,"-")</f>
        <v>89.7770985020633</v>
      </c>
      <c r="G78" s="29" t="str">
        <f aca="false">$D$10</f>
        <v>bar</v>
      </c>
    </row>
    <row r="79" customFormat="false" ht="15" hidden="false" customHeight="false" outlineLevel="0" collapsed="false">
      <c r="B79" s="18" t="s">
        <v>80</v>
      </c>
      <c r="C79" s="30" t="n">
        <f aca="false">IF(AND($C$38="OK",$C$34=1),$C$11*'EOS steps'!$D$13*$C$32/$C$33*1000,"-")</f>
        <v>0.29100617</v>
      </c>
      <c r="D79" s="30" t="n">
        <f aca="false">IF(AND($C$38="OK",$C$34=1),$C$11*'EOS steps'!$D$69*1000,"-")</f>
        <v>0.260271566402805</v>
      </c>
      <c r="E79" s="30" t="n">
        <f aca="false">IF(AND($C$38="OK",$C$34=1),$C$11*'EOS steps'!$E$69*1000,"-")</f>
        <v>0.274592228435007</v>
      </c>
      <c r="F79" s="30" t="n">
        <f aca="false">IF(AND($C$38="OK",$C$34=1),$C$11*'EOS steps'!$F$69*1000,"-")</f>
        <v>0.265277863401801</v>
      </c>
      <c r="G79" s="29" t="s">
        <v>62</v>
      </c>
    </row>
    <row r="80" customFormat="false" ht="15" hidden="false" customHeight="false" outlineLevel="0" collapsed="false">
      <c r="B80" s="18" t="s">
        <v>81</v>
      </c>
      <c r="C80" s="16" t="n">
        <f aca="false">IF(AND($C$38="OK",$C$34=1),$C$11*'EOS steps'!$D$12,"-")</f>
        <v>16.043</v>
      </c>
      <c r="D80" s="16" t="n">
        <f aca="false">IF(AND($C$38="OK",$C$34=1),$C$11*'EOS steps'!$D$12,"-")</f>
        <v>16.043</v>
      </c>
      <c r="E80" s="16" t="n">
        <f aca="false">IF(AND($C$38="OK",$C$34=1),$C$11*'EOS steps'!$D$12,"-")</f>
        <v>16.043</v>
      </c>
      <c r="F80" s="16" t="n">
        <f aca="false">IF(AND($C$38="OK",$C$34=1),$C$11*'EOS steps'!$D$12,"-")</f>
        <v>16.043</v>
      </c>
      <c r="G80" s="29" t="s">
        <v>64</v>
      </c>
    </row>
    <row r="81" customFormat="false" ht="15" hidden="false" customHeight="false" outlineLevel="0" collapsed="false">
      <c r="B81" s="18" t="s">
        <v>82</v>
      </c>
      <c r="C81" s="15" t="str">
        <f aca="false">IF(AND($C$38="OK",$C$34=1),"-","-")</f>
        <v>-</v>
      </c>
      <c r="D81" s="15" t="str">
        <f aca="false">IF(AND($C$38="OK",$C$34=1),IFERROR(IF(ISNUMBER('EOS steps'!$D$73),'EOS steps'!$D$73*$C$10/$C$33,'EOS steps'!$D$73),"n/a"),"-")</f>
        <v>none (T ≥ Tc)</v>
      </c>
      <c r="E81" s="15" t="str">
        <f aca="false">IF(AND($C$38="OK",$C$34=1),IFERROR(IF(ISNUMBER('EOS steps'!$E$73),'EOS steps'!$E$73*$C$10/$C$33,'EOS steps'!$E$73),"n/a"),"-")</f>
        <v>none (T ≥ Tc)</v>
      </c>
      <c r="F81" s="15" t="str">
        <f aca="false">IF(AND($C$38="OK",$C$34=1),IFERROR(IF(ISNUMBER('EOS steps'!$F$73),'EOS steps'!$F$73*$C$10/$C$33,'EOS steps'!$F$73),"n/a"),"-")</f>
        <v>none (T ≥ Tc)</v>
      </c>
      <c r="G81" s="29" t="str">
        <f aca="false">$D$10</f>
        <v>bar</v>
      </c>
    </row>
    <row r="82" customFormat="false" ht="15" hidden="false" customHeight="false" outlineLevel="0" collapsed="false">
      <c r="B82" s="18" t="s">
        <v>83</v>
      </c>
      <c r="C82" s="32" t="n">
        <f aca="false">IF(AND($C$38="OK",$C$34=1),1,"-")</f>
        <v>1</v>
      </c>
      <c r="D82" s="32" t="n">
        <f aca="false">IF(AND($C$38="OK",$C$34=1),'EOS steps'!$D$56,"-")</f>
        <v>1</v>
      </c>
      <c r="E82" s="32" t="n">
        <f aca="false">IF(AND($C$38="OK",$C$34=1),'EOS steps'!$E$56,"-")</f>
        <v>1</v>
      </c>
      <c r="F82" s="32" t="n">
        <f aca="false">IF(AND($C$38="OK",$C$34=1),'EOS steps'!$F$56,"-")</f>
        <v>1</v>
      </c>
      <c r="G82" s="29" t="s">
        <v>40</v>
      </c>
    </row>
    <row r="83" customFormat="false" ht="15" hidden="false" customHeight="false" outlineLevel="0" collapsed="false">
      <c r="B83" s="18" t="s">
        <v>84</v>
      </c>
      <c r="C83" s="31" t="str">
        <f aca="false">IF(AND($C$38="OK",$C$34=1),"-","-")</f>
        <v>-</v>
      </c>
      <c r="D83" s="31" t="str">
        <f aca="false">IF(AND($C$38="OK",$C$34=1),'EOS steps'!$D$67,"-")</f>
        <v>-</v>
      </c>
      <c r="E83" s="31" t="str">
        <f aca="false">IF(AND($C$38="OK",$C$34=1),'EOS steps'!$E$67,"-")</f>
        <v>-</v>
      </c>
      <c r="F83" s="31" t="str">
        <f aca="false">IF(AND($C$38="OK",$C$34=1),'EOS steps'!$F$67,"-")</f>
        <v>-</v>
      </c>
      <c r="G83" s="29" t="s">
        <v>40</v>
      </c>
    </row>
    <row r="84" customFormat="false" ht="15" hidden="false" customHeight="false" outlineLevel="0" collapsed="false">
      <c r="B84" s="18" t="s">
        <v>85</v>
      </c>
      <c r="C84" s="16" t="n">
        <f aca="false">IF(AND($C$38="OK",$C$34=1),0,"-")</f>
        <v>0</v>
      </c>
      <c r="D84" s="16" t="n">
        <f aca="false">IF(AND($C$38="OK",$C$34=1),ABS('EOS steps'!$D$64-1)*100,"-")</f>
        <v>10.5614955164679</v>
      </c>
      <c r="E84" s="16" t="n">
        <f aca="false">IF(AND($C$38="OK",$C$34=1),ABS('EOS steps'!$E$64-1)*100,"-")</f>
        <v>5.64041015521869</v>
      </c>
      <c r="F84" s="16" t="n">
        <f aca="false">IF(AND($C$38="OK",$C$34=1),ABS('EOS steps'!$F$64-1)*100,"-")</f>
        <v>8.84115501681599</v>
      </c>
      <c r="G84" s="29" t="s">
        <v>86</v>
      </c>
    </row>
    <row r="85" customFormat="false" ht="15" hidden="false" customHeight="false" outlineLevel="0" collapsed="false">
      <c r="B85" s="18" t="s">
        <v>87</v>
      </c>
      <c r="C85" s="16" t="n">
        <f aca="false">IF(AND($C$38="OK",$C$34=1),IF('EOS steps'!$F$66="Liquid","different phase",(1-'EOS steps'!$F$64)/'EOS steps'!$F$64*100),"-")</f>
        <v>9.69862553485283</v>
      </c>
      <c r="D85" s="16" t="n">
        <f aca="false">IF(AND($C$38="OK",$C$34=1),IF(('EOS steps'!$D$66="Liquid")&lt;&gt;('EOS steps'!$F$66="Liquid"),"different phase",('EOS steps'!$D$64-'EOS steps'!$F$64)/'EOS steps'!$F$64*100),"-")</f>
        <v>-1.88718988263751</v>
      </c>
      <c r="E85" s="16" t="n">
        <f aca="false">IF(AND($C$38="OK",$C$34=1),IF(('EOS steps'!$E$66="Liquid")&lt;&gt;('EOS steps'!$F$66="Liquid"),"different phase",('EOS steps'!$E$64-'EOS steps'!$F$64)/'EOS steps'!$F$64*100),"-")</f>
        <v>3.51117312004967</v>
      </c>
      <c r="F85" s="16" t="str">
        <f aca="false">IF(AND($C$38="OK",$C$34=1),"reference","-")</f>
        <v>reference</v>
      </c>
      <c r="G85" s="29" t="s">
        <v>86</v>
      </c>
    </row>
    <row r="87" customFormat="false" ht="15" hidden="false" customHeight="false" outlineLevel="0" collapsed="false">
      <c r="B87" s="4" t="s">
        <v>88</v>
      </c>
    </row>
    <row r="88" customFormat="false" ht="15" hidden="false" customHeight="false" outlineLevel="0" collapsed="false">
      <c r="B88" s="3" t="s">
        <v>89</v>
      </c>
    </row>
    <row r="89" customFormat="false" ht="15" hidden="false" customHeight="false" outlineLevel="0" collapsed="false">
      <c r="B89" s="3" t="s">
        <v>90</v>
      </c>
    </row>
    <row r="90" customFormat="false" ht="15" hidden="false" customHeight="false" outlineLevel="0" collapsed="false">
      <c r="B90" s="3" t="s">
        <v>91</v>
      </c>
    </row>
    <row r="91" customFormat="false" ht="15" hidden="false" customHeight="false" outlineLevel="0" collapsed="false">
      <c r="B91" s="3" t="s">
        <v>92</v>
      </c>
    </row>
    <row r="92" customFormat="false" ht="15" hidden="false" customHeight="false" outlineLevel="0" collapsed="false">
      <c r="B92" s="3" t="s">
        <v>93</v>
      </c>
    </row>
    <row r="93" customFormat="false" ht="15" hidden="false" customHeight="false" outlineLevel="0" collapsed="false">
      <c r="B93" s="3" t="s">
        <v>94</v>
      </c>
    </row>
    <row r="94" customFormat="false" ht="15" hidden="false" customHeight="false" outlineLevel="0" collapsed="false">
      <c r="B94" s="3" t="s">
        <v>95</v>
      </c>
    </row>
    <row r="95" customFormat="false" ht="15" hidden="false" customHeight="false" outlineLevel="0" collapsed="false">
      <c r="B95" s="3" t="s">
        <v>96</v>
      </c>
    </row>
    <row r="96" customFormat="false" ht="15" hidden="false" customHeight="false" outlineLevel="0" collapsed="false">
      <c r="B96" s="3" t="s">
        <v>97</v>
      </c>
    </row>
    <row r="97" customFormat="false" ht="15" hidden="false" customHeight="false" outlineLevel="0" collapsed="false">
      <c r="B97" s="3" t="s">
        <v>98</v>
      </c>
    </row>
    <row r="98" customFormat="false" ht="15" hidden="false" customHeight="false" outlineLevel="0" collapsed="false">
      <c r="B98" s="3" t="s">
        <v>99</v>
      </c>
    </row>
    <row r="99" customFormat="false" ht="15" hidden="false" customHeight="false" outlineLevel="0" collapsed="false">
      <c r="B99" s="3" t="s">
        <v>100</v>
      </c>
    </row>
    <row r="100" customFormat="false" ht="15" hidden="false" customHeight="false" outlineLevel="0" collapsed="false">
      <c r="B100" s="3" t="s">
        <v>101</v>
      </c>
    </row>
  </sheetData>
  <mergeCells count="5">
    <mergeCell ref="C8:D8"/>
    <mergeCell ref="D15:G15"/>
    <mergeCell ref="H15:K15"/>
    <mergeCell ref="C38:M38"/>
    <mergeCell ref="C41:G41"/>
  </mergeCells>
  <conditionalFormatting sqref="C44:E54">
    <cfRule type="expression" priority="2" aboveAverage="0" equalAverage="0" bottom="0" percent="0" rank="0" text="" dxfId="0">
      <formula>AND(ISNUMBER(C44),C44&lt;&gt;0,ABS(C44)&lt;0.001)</formula>
    </cfRule>
    <cfRule type="expression" priority="3" aboveAverage="0" equalAverage="0" bottom="0" percent="0" rank="0" text="" dxfId="0">
      <formula>AND(ISNUMBER(C44),ABS(C44)&gt;=10000000)</formula>
    </cfRule>
  </conditionalFormatting>
  <conditionalFormatting sqref="C57:I68">
    <cfRule type="expression" priority="4" aboveAverage="0" equalAverage="0" bottom="0" percent="0" rank="0" text="" dxfId="0">
      <formula>AND(ISNUMBER(C57),C57&lt;&gt;0,ABS(C57)&lt;0.001)</formula>
    </cfRule>
    <cfRule type="expression" priority="5" aboveAverage="0" equalAverage="0" bottom="0" percent="0" rank="0" text="" dxfId="0">
      <formula>AND(ISNUMBER(C57),ABS(C57)&gt;=10000000)</formula>
    </cfRule>
  </conditionalFormatting>
  <conditionalFormatting sqref="C38">
    <cfRule type="expression" priority="6" aboveAverage="0" equalAverage="0" bottom="0" percent="0" rank="0" text="" dxfId="1">
      <formula>$C$38&lt;&gt;"OK"</formula>
    </cfRule>
  </conditionalFormatting>
  <conditionalFormatting sqref="M17:M28">
    <cfRule type="expression" priority="7" aboveAverage="0" equalAverage="0" bottom="0" percent="0" rank="0" text="" dxfId="1">
      <formula>LEN(M17)&gt;2</formula>
    </cfRule>
  </conditionalFormatting>
  <conditionalFormatting sqref="C41:G41">
    <cfRule type="expression" priority="8" aboveAverage="0" equalAverage="0" bottom="0" percent="0" rank="0" text="" dxfId="1">
      <formula>AND($C$38="OK",'Mixture steps'!$C$133=3)</formula>
    </cfRule>
  </conditionalFormatting>
  <conditionalFormatting sqref="C74:F85">
    <cfRule type="expression" priority="9" aboveAverage="0" equalAverage="0" bottom="0" percent="0" rank="0" text="" dxfId="0">
      <formula>AND(ISNUMBER(C74),C74&lt;&gt;0,ABS(C74)&lt;0.001)</formula>
    </cfRule>
    <cfRule type="expression" priority="10" aboveAverage="0" equalAverage="0" bottom="0" percent="0" rank="0" text="" dxfId="0">
      <formula>AND(ISNUMBER(C74),ABS(C74)&gt;=10000000)</formula>
    </cfRule>
  </conditionalFormatting>
  <dataValidations count="4">
    <dataValidation allowBlank="false" error="Select Peng-Robinson, SRK or van der Waals." errorStyle="stop" errorTitle="Equation of state" operator="between" showDropDown="false" showErrorMessage="true" showInputMessage="false" sqref="C8" type="list">
      <formula1>"Peng-Robinson,SRK,van der Waals"</formula1>
      <formula2>0</formula2>
    </dataValidation>
    <dataValidation allowBlank="true" errorStyle="stop" operator="between" showDropDown="false" showErrorMessage="false" showInputMessage="false" sqref="B17:B28" type="list">
      <formula1>'Gas data'!$B$5:$B$131</formula1>
      <formula2>0</formula2>
    </dataValidation>
    <dataValidation allowBlank="false" errorStyle="stop" operator="between" showDropDown="false" showErrorMessage="true" showInputMessage="false" sqref="D9" type="list">
      <formula1>'Gas data'!$J$13:$J$15</formula1>
      <formula2>0</formula2>
    </dataValidation>
    <dataValidation allowBlank="false" errorStyle="stop" operator="between" showDropDown="false" showErrorMessage="true" showInputMessage="false" sqref="D10" type="list">
      <formula1>'Gas data'!$J$5:$J$10</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scaleWithDoc="0" differentFirst="false" differentOddEven="false">
    <oddHeader>&amp;C&amp;G</oddHeader>
    <oddFooter>&amp;Lwww.multicalci.com&amp;CPage &amp;P of &amp;N&amp;R&amp;A</oddFooter>
  </headerFooter>
  <legacyDrawingHF r:id="rId1"/>
  <picture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6"/>
    <col collapsed="false" customWidth="true" hidden="false" outlineLevel="0" max="14" min="3" style="0" width="10"/>
  </cols>
  <sheetData>
    <row r="1" customFormat="false" ht="17.35" hidden="false" customHeight="false" outlineLevel="0" collapsed="false">
      <c r="A1" s="1" t="s">
        <v>102</v>
      </c>
    </row>
    <row r="2" customFormat="false" ht="15" hidden="false" customHeight="false" outlineLevel="0" collapsed="false">
      <c r="A2" s="2" t="str">
        <f aca="false">HYPERLINK("https://www.multicalci.com/","www.multicalci.com")</f>
        <v>www.multicalci.com</v>
      </c>
    </row>
    <row r="3" customFormat="false" ht="15" hidden="false" customHeight="false" outlineLevel="0" collapsed="false">
      <c r="A3" s="3" t="s">
        <v>103</v>
      </c>
    </row>
    <row r="5" customFormat="false" ht="15" hidden="false" customHeight="false" outlineLevel="0" collapsed="false">
      <c r="A5" s="8" t="s">
        <v>19</v>
      </c>
      <c r="B5" s="8" t="s">
        <v>20</v>
      </c>
      <c r="C5" s="33" t="n">
        <v>1</v>
      </c>
      <c r="D5" s="33" t="n">
        <v>2</v>
      </c>
      <c r="E5" s="33" t="n">
        <v>3</v>
      </c>
      <c r="F5" s="33" t="n">
        <v>4</v>
      </c>
      <c r="G5" s="33" t="n">
        <v>5</v>
      </c>
      <c r="H5" s="33" t="n">
        <v>6</v>
      </c>
      <c r="I5" s="33" t="n">
        <v>7</v>
      </c>
      <c r="J5" s="33" t="n">
        <v>8</v>
      </c>
      <c r="K5" s="33" t="n">
        <v>9</v>
      </c>
      <c r="L5" s="33" t="n">
        <v>10</v>
      </c>
      <c r="M5" s="33" t="n">
        <v>11</v>
      </c>
      <c r="N5" s="33" t="n">
        <v>12</v>
      </c>
    </row>
    <row r="6" customFormat="false" ht="15" hidden="false" customHeight="false" outlineLevel="0" collapsed="false">
      <c r="A6" s="34" t="n">
        <v>1</v>
      </c>
      <c r="B6" s="18" t="str">
        <f aca="false">IF(Calculator!$B$17="","",Calculator!$B$17)</f>
        <v>Methane (CH4)</v>
      </c>
      <c r="C6" s="35" t="n">
        <v>0</v>
      </c>
      <c r="D6" s="12"/>
      <c r="E6" s="12"/>
      <c r="F6" s="12"/>
      <c r="G6" s="12"/>
      <c r="H6" s="12"/>
      <c r="I6" s="12"/>
      <c r="J6" s="12"/>
      <c r="K6" s="12"/>
      <c r="L6" s="12"/>
      <c r="M6" s="12"/>
      <c r="N6" s="12"/>
    </row>
    <row r="7" customFormat="false" ht="15" hidden="false" customHeight="false" outlineLevel="0" collapsed="false">
      <c r="A7" s="34" t="n">
        <v>2</v>
      </c>
      <c r="B7" s="18" t="str">
        <f aca="false">IF(Calculator!$B$18="","",Calculator!$B$18)</f>
        <v/>
      </c>
      <c r="C7" s="36" t="str">
        <f aca="false">IF(ISNUMBER(D6),D6,"")</f>
        <v/>
      </c>
      <c r="D7" s="35" t="n">
        <v>0</v>
      </c>
      <c r="E7" s="12"/>
      <c r="F7" s="12"/>
      <c r="G7" s="12"/>
      <c r="H7" s="12"/>
      <c r="I7" s="12"/>
      <c r="J7" s="12"/>
      <c r="K7" s="12"/>
      <c r="L7" s="12"/>
      <c r="M7" s="12"/>
      <c r="N7" s="12"/>
    </row>
    <row r="8" customFormat="false" ht="15" hidden="false" customHeight="false" outlineLevel="0" collapsed="false">
      <c r="A8" s="34" t="n">
        <v>3</v>
      </c>
      <c r="B8" s="18" t="str">
        <f aca="false">IF(Calculator!$B$19="","",Calculator!$B$19)</f>
        <v/>
      </c>
      <c r="C8" s="36" t="str">
        <f aca="false">IF(ISNUMBER(E6),E6,"")</f>
        <v/>
      </c>
      <c r="D8" s="36" t="str">
        <f aca="false">IF(ISNUMBER(E7),E7,"")</f>
        <v/>
      </c>
      <c r="E8" s="35" t="n">
        <v>0</v>
      </c>
      <c r="F8" s="12"/>
      <c r="G8" s="12"/>
      <c r="H8" s="12"/>
      <c r="I8" s="12"/>
      <c r="J8" s="12"/>
      <c r="K8" s="12"/>
      <c r="L8" s="12"/>
      <c r="M8" s="12"/>
      <c r="N8" s="12"/>
    </row>
    <row r="9" customFormat="false" ht="15" hidden="false" customHeight="false" outlineLevel="0" collapsed="false">
      <c r="A9" s="34" t="n">
        <v>4</v>
      </c>
      <c r="B9" s="18" t="str">
        <f aca="false">IF(Calculator!$B$20="","",Calculator!$B$20)</f>
        <v/>
      </c>
      <c r="C9" s="36" t="str">
        <f aca="false">IF(ISNUMBER(F6),F6,"")</f>
        <v/>
      </c>
      <c r="D9" s="36" t="str">
        <f aca="false">IF(ISNUMBER(F7),F7,"")</f>
        <v/>
      </c>
      <c r="E9" s="36" t="str">
        <f aca="false">IF(ISNUMBER(F8),F8,"")</f>
        <v/>
      </c>
      <c r="F9" s="35" t="n">
        <v>0</v>
      </c>
      <c r="G9" s="12"/>
      <c r="H9" s="12"/>
      <c r="I9" s="12"/>
      <c r="J9" s="12"/>
      <c r="K9" s="12"/>
      <c r="L9" s="12"/>
      <c r="M9" s="12"/>
      <c r="N9" s="12"/>
    </row>
    <row r="10" customFormat="false" ht="15" hidden="false" customHeight="false" outlineLevel="0" collapsed="false">
      <c r="A10" s="34" t="n">
        <v>5</v>
      </c>
      <c r="B10" s="18" t="str">
        <f aca="false">IF(Calculator!$B$21="","",Calculator!$B$21)</f>
        <v/>
      </c>
      <c r="C10" s="36" t="str">
        <f aca="false">IF(ISNUMBER(G6),G6,"")</f>
        <v/>
      </c>
      <c r="D10" s="36" t="str">
        <f aca="false">IF(ISNUMBER(G7),G7,"")</f>
        <v/>
      </c>
      <c r="E10" s="36" t="str">
        <f aca="false">IF(ISNUMBER(G8),G8,"")</f>
        <v/>
      </c>
      <c r="F10" s="36" t="str">
        <f aca="false">IF(ISNUMBER(G9),G9,"")</f>
        <v/>
      </c>
      <c r="G10" s="35" t="n">
        <v>0</v>
      </c>
      <c r="H10" s="12"/>
      <c r="I10" s="12"/>
      <c r="J10" s="12"/>
      <c r="K10" s="12"/>
      <c r="L10" s="12"/>
      <c r="M10" s="12"/>
      <c r="N10" s="12"/>
    </row>
    <row r="11" customFormat="false" ht="15" hidden="false" customHeight="false" outlineLevel="0" collapsed="false">
      <c r="A11" s="34" t="n">
        <v>6</v>
      </c>
      <c r="B11" s="18" t="str">
        <f aca="false">IF(Calculator!$B$22="","",Calculator!$B$22)</f>
        <v/>
      </c>
      <c r="C11" s="36" t="str">
        <f aca="false">IF(ISNUMBER(H6),H6,"")</f>
        <v/>
      </c>
      <c r="D11" s="36" t="str">
        <f aca="false">IF(ISNUMBER(H7),H7,"")</f>
        <v/>
      </c>
      <c r="E11" s="36" t="str">
        <f aca="false">IF(ISNUMBER(H8),H8,"")</f>
        <v/>
      </c>
      <c r="F11" s="36" t="str">
        <f aca="false">IF(ISNUMBER(H9),H9,"")</f>
        <v/>
      </c>
      <c r="G11" s="36" t="str">
        <f aca="false">IF(ISNUMBER(H10),H10,"")</f>
        <v/>
      </c>
      <c r="H11" s="35" t="n">
        <v>0</v>
      </c>
      <c r="I11" s="12"/>
      <c r="J11" s="12"/>
      <c r="K11" s="12"/>
      <c r="L11" s="12"/>
      <c r="M11" s="12"/>
      <c r="N11" s="12"/>
    </row>
    <row r="12" customFormat="false" ht="15" hidden="false" customHeight="false" outlineLevel="0" collapsed="false">
      <c r="A12" s="34" t="n">
        <v>7</v>
      </c>
      <c r="B12" s="18" t="str">
        <f aca="false">IF(Calculator!$B$23="","",Calculator!$B$23)</f>
        <v/>
      </c>
      <c r="C12" s="36" t="str">
        <f aca="false">IF(ISNUMBER(I6),I6,"")</f>
        <v/>
      </c>
      <c r="D12" s="36" t="str">
        <f aca="false">IF(ISNUMBER(I7),I7,"")</f>
        <v/>
      </c>
      <c r="E12" s="36" t="str">
        <f aca="false">IF(ISNUMBER(I8),I8,"")</f>
        <v/>
      </c>
      <c r="F12" s="36" t="str">
        <f aca="false">IF(ISNUMBER(I9),I9,"")</f>
        <v/>
      </c>
      <c r="G12" s="36" t="str">
        <f aca="false">IF(ISNUMBER(I10),I10,"")</f>
        <v/>
      </c>
      <c r="H12" s="36" t="str">
        <f aca="false">IF(ISNUMBER(I11),I11,"")</f>
        <v/>
      </c>
      <c r="I12" s="35" t="n">
        <v>0</v>
      </c>
      <c r="J12" s="12"/>
      <c r="K12" s="12"/>
      <c r="L12" s="12"/>
      <c r="M12" s="12"/>
      <c r="N12" s="12"/>
    </row>
    <row r="13" customFormat="false" ht="15" hidden="false" customHeight="false" outlineLevel="0" collapsed="false">
      <c r="A13" s="34" t="n">
        <v>8</v>
      </c>
      <c r="B13" s="18" t="str">
        <f aca="false">IF(Calculator!$B$24="","",Calculator!$B$24)</f>
        <v/>
      </c>
      <c r="C13" s="36" t="str">
        <f aca="false">IF(ISNUMBER(J6),J6,"")</f>
        <v/>
      </c>
      <c r="D13" s="36" t="str">
        <f aca="false">IF(ISNUMBER(J7),J7,"")</f>
        <v/>
      </c>
      <c r="E13" s="36" t="str">
        <f aca="false">IF(ISNUMBER(J8),J8,"")</f>
        <v/>
      </c>
      <c r="F13" s="36" t="str">
        <f aca="false">IF(ISNUMBER(J9),J9,"")</f>
        <v/>
      </c>
      <c r="G13" s="36" t="str">
        <f aca="false">IF(ISNUMBER(J10),J10,"")</f>
        <v/>
      </c>
      <c r="H13" s="36" t="str">
        <f aca="false">IF(ISNUMBER(J11),J11,"")</f>
        <v/>
      </c>
      <c r="I13" s="36" t="str">
        <f aca="false">IF(ISNUMBER(J12),J12,"")</f>
        <v/>
      </c>
      <c r="J13" s="35" t="n">
        <v>0</v>
      </c>
      <c r="K13" s="12"/>
      <c r="L13" s="12"/>
      <c r="M13" s="12"/>
      <c r="N13" s="12"/>
    </row>
    <row r="14" customFormat="false" ht="15" hidden="false" customHeight="false" outlineLevel="0" collapsed="false">
      <c r="A14" s="34" t="n">
        <v>9</v>
      </c>
      <c r="B14" s="18" t="str">
        <f aca="false">IF(Calculator!$B$25="","",Calculator!$B$25)</f>
        <v/>
      </c>
      <c r="C14" s="36" t="str">
        <f aca="false">IF(ISNUMBER(K6),K6,"")</f>
        <v/>
      </c>
      <c r="D14" s="36" t="str">
        <f aca="false">IF(ISNUMBER(K7),K7,"")</f>
        <v/>
      </c>
      <c r="E14" s="36" t="str">
        <f aca="false">IF(ISNUMBER(K8),K8,"")</f>
        <v/>
      </c>
      <c r="F14" s="36" t="str">
        <f aca="false">IF(ISNUMBER(K9),K9,"")</f>
        <v/>
      </c>
      <c r="G14" s="36" t="str">
        <f aca="false">IF(ISNUMBER(K10),K10,"")</f>
        <v/>
      </c>
      <c r="H14" s="36" t="str">
        <f aca="false">IF(ISNUMBER(K11),K11,"")</f>
        <v/>
      </c>
      <c r="I14" s="36" t="str">
        <f aca="false">IF(ISNUMBER(K12),K12,"")</f>
        <v/>
      </c>
      <c r="J14" s="36" t="str">
        <f aca="false">IF(ISNUMBER(K13),K13,"")</f>
        <v/>
      </c>
      <c r="K14" s="35" t="n">
        <v>0</v>
      </c>
      <c r="L14" s="12"/>
      <c r="M14" s="12"/>
      <c r="N14" s="12"/>
    </row>
    <row r="15" customFormat="false" ht="15" hidden="false" customHeight="false" outlineLevel="0" collapsed="false">
      <c r="A15" s="34" t="n">
        <v>10</v>
      </c>
      <c r="B15" s="18" t="str">
        <f aca="false">IF(Calculator!$B$26="","",Calculator!$B$26)</f>
        <v/>
      </c>
      <c r="C15" s="36" t="str">
        <f aca="false">IF(ISNUMBER(L6),L6,"")</f>
        <v/>
      </c>
      <c r="D15" s="36" t="str">
        <f aca="false">IF(ISNUMBER(L7),L7,"")</f>
        <v/>
      </c>
      <c r="E15" s="36" t="str">
        <f aca="false">IF(ISNUMBER(L8),L8,"")</f>
        <v/>
      </c>
      <c r="F15" s="36" t="str">
        <f aca="false">IF(ISNUMBER(L9),L9,"")</f>
        <v/>
      </c>
      <c r="G15" s="36" t="str">
        <f aca="false">IF(ISNUMBER(L10),L10,"")</f>
        <v/>
      </c>
      <c r="H15" s="36" t="str">
        <f aca="false">IF(ISNUMBER(L11),L11,"")</f>
        <v/>
      </c>
      <c r="I15" s="36" t="str">
        <f aca="false">IF(ISNUMBER(L12),L12,"")</f>
        <v/>
      </c>
      <c r="J15" s="36" t="str">
        <f aca="false">IF(ISNUMBER(L13),L13,"")</f>
        <v/>
      </c>
      <c r="K15" s="36" t="str">
        <f aca="false">IF(ISNUMBER(L14),L14,"")</f>
        <v/>
      </c>
      <c r="L15" s="35" t="n">
        <v>0</v>
      </c>
      <c r="M15" s="12"/>
      <c r="N15" s="12"/>
    </row>
    <row r="16" customFormat="false" ht="15" hidden="false" customHeight="false" outlineLevel="0" collapsed="false">
      <c r="A16" s="34" t="n">
        <v>11</v>
      </c>
      <c r="B16" s="18" t="str">
        <f aca="false">IF(Calculator!$B$27="","",Calculator!$B$27)</f>
        <v/>
      </c>
      <c r="C16" s="36" t="str">
        <f aca="false">IF(ISNUMBER(M6),M6,"")</f>
        <v/>
      </c>
      <c r="D16" s="36" t="str">
        <f aca="false">IF(ISNUMBER(M7),M7,"")</f>
        <v/>
      </c>
      <c r="E16" s="36" t="str">
        <f aca="false">IF(ISNUMBER(M8),M8,"")</f>
        <v/>
      </c>
      <c r="F16" s="36" t="str">
        <f aca="false">IF(ISNUMBER(M9),M9,"")</f>
        <v/>
      </c>
      <c r="G16" s="36" t="str">
        <f aca="false">IF(ISNUMBER(M10),M10,"")</f>
        <v/>
      </c>
      <c r="H16" s="36" t="str">
        <f aca="false">IF(ISNUMBER(M11),M11,"")</f>
        <v/>
      </c>
      <c r="I16" s="36" t="str">
        <f aca="false">IF(ISNUMBER(M12),M12,"")</f>
        <v/>
      </c>
      <c r="J16" s="36" t="str">
        <f aca="false">IF(ISNUMBER(M13),M13,"")</f>
        <v/>
      </c>
      <c r="K16" s="36" t="str">
        <f aca="false">IF(ISNUMBER(M14),M14,"")</f>
        <v/>
      </c>
      <c r="L16" s="36" t="str">
        <f aca="false">IF(ISNUMBER(M15),M15,"")</f>
        <v/>
      </c>
      <c r="M16" s="35" t="n">
        <v>0</v>
      </c>
      <c r="N16" s="12"/>
    </row>
    <row r="17" customFormat="false" ht="15" hidden="false" customHeight="false" outlineLevel="0" collapsed="false">
      <c r="A17" s="34" t="n">
        <v>12</v>
      </c>
      <c r="B17" s="18" t="str">
        <f aca="false">IF(Calculator!$B$28="","",Calculator!$B$28)</f>
        <v/>
      </c>
      <c r="C17" s="36" t="str">
        <f aca="false">IF(ISNUMBER(N6),N6,"")</f>
        <v/>
      </c>
      <c r="D17" s="36" t="str">
        <f aca="false">IF(ISNUMBER(N7),N7,"")</f>
        <v/>
      </c>
      <c r="E17" s="36" t="str">
        <f aca="false">IF(ISNUMBER(N8),N8,"")</f>
        <v/>
      </c>
      <c r="F17" s="36" t="str">
        <f aca="false">IF(ISNUMBER(N9),N9,"")</f>
        <v/>
      </c>
      <c r="G17" s="36" t="str">
        <f aca="false">IF(ISNUMBER(N10),N10,"")</f>
        <v/>
      </c>
      <c r="H17" s="36" t="str">
        <f aca="false">IF(ISNUMBER(N11),N11,"")</f>
        <v/>
      </c>
      <c r="I17" s="36" t="str">
        <f aca="false">IF(ISNUMBER(N12),N12,"")</f>
        <v/>
      </c>
      <c r="J17" s="36" t="str">
        <f aca="false">IF(ISNUMBER(N13),N13,"")</f>
        <v/>
      </c>
      <c r="K17" s="36" t="str">
        <f aca="false">IF(ISNUMBER(N14),N14,"")</f>
        <v/>
      </c>
      <c r="L17" s="36" t="str">
        <f aca="false">IF(ISNUMBER(N15),N15,"")</f>
        <v/>
      </c>
      <c r="M17" s="36" t="str">
        <f aca="false">IF(ISNUMBER(N16),N16,"")</f>
        <v/>
      </c>
      <c r="N17" s="35" t="n">
        <v>0</v>
      </c>
    </row>
    <row r="20" customFormat="false" ht="15" hidden="false" customHeight="false" outlineLevel="0" collapsed="false">
      <c r="A20" s="3" t="s">
        <v>104</v>
      </c>
    </row>
    <row r="21" customFormat="false" ht="15" hidden="false" customHeight="false" outlineLevel="0" collapsed="false">
      <c r="A21" s="4" t="s">
        <v>27</v>
      </c>
      <c r="C21" s="37" t="str">
        <f aca="false">IF(COUNTIF($C$6:$N$17,"&gt;=1")+COUNTIF($C$6:$N$17,"&lt;=-1")&gt;0,"out of range","OK")</f>
        <v>OK</v>
      </c>
    </row>
    <row r="22" customFormat="false" ht="15" hidden="false" customHeight="false" outlineLevel="0" collapsed="false">
      <c r="A22" s="3" t="s">
        <v>105</v>
      </c>
    </row>
  </sheetData>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scaleWithDoc="0" differentFirst="false" differentOddEven="false">
    <oddHeader>&amp;C&amp;G</oddHeader>
    <oddFooter>&amp;Lwww.multicalci.com&amp;CPage &amp;P of &amp;N&amp;R&amp;A</oddFooter>
  </headerFooter>
  <legacyDrawingHF r:id="rId1"/>
  <picture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7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42"/>
    <col collapsed="false" customWidth="true" hidden="false" outlineLevel="0" max="3" min="3" style="0" width="16"/>
    <col collapsed="false" customWidth="true" hidden="false" outlineLevel="0" max="6" min="4" style="0" width="22"/>
    <col collapsed="false" customWidth="true" hidden="false" outlineLevel="0" max="7" min="7" style="0" width="13"/>
    <col collapsed="false" customWidth="true" hidden="false" outlineLevel="0" max="8" min="8" style="0" width="150"/>
  </cols>
  <sheetData>
    <row r="1" customFormat="false" ht="17.35" hidden="false" customHeight="false" outlineLevel="0" collapsed="false">
      <c r="A1" s="1" t="s">
        <v>106</v>
      </c>
    </row>
    <row r="2" customFormat="false" ht="15" hidden="false" customHeight="false" outlineLevel="0" collapsed="false">
      <c r="A2" s="2" t="str">
        <f aca="false">HYPERLINK("https://www.multicalci.com/","www.multicalci.com")</f>
        <v>www.multicalci.com</v>
      </c>
    </row>
    <row r="3" customFormat="false" ht="15" hidden="false" customHeight="false" outlineLevel="0" collapsed="false">
      <c r="A3" s="3" t="s">
        <v>107</v>
      </c>
    </row>
    <row r="5" customFormat="false" ht="15" hidden="false" customHeight="false" outlineLevel="0" collapsed="false">
      <c r="A5" s="8" t="s">
        <v>108</v>
      </c>
      <c r="B5" s="8" t="s">
        <v>109</v>
      </c>
      <c r="C5" s="8" t="s">
        <v>110</v>
      </c>
      <c r="D5" s="8" t="s">
        <v>73</v>
      </c>
      <c r="E5" s="8" t="s">
        <v>74</v>
      </c>
      <c r="F5" s="8" t="s">
        <v>5</v>
      </c>
      <c r="G5" s="8" t="s">
        <v>47</v>
      </c>
      <c r="H5" s="8" t="s">
        <v>111</v>
      </c>
    </row>
    <row r="6" customFormat="false" ht="15" hidden="false" customHeight="false" outlineLevel="0" collapsed="false">
      <c r="A6" s="4" t="s">
        <v>112</v>
      </c>
    </row>
    <row r="7" customFormat="false" ht="15" hidden="false" customHeight="false" outlineLevel="0" collapsed="false">
      <c r="A7" s="9" t="n">
        <v>1</v>
      </c>
      <c r="B7" s="18" t="s">
        <v>7</v>
      </c>
      <c r="C7" s="37" t="s">
        <v>113</v>
      </c>
      <c r="D7" s="14" t="n">
        <f aca="false">Calculator!$C$32</f>
        <v>350</v>
      </c>
      <c r="E7" s="14" t="n">
        <f aca="false">Calculator!$C$32</f>
        <v>350</v>
      </c>
      <c r="F7" s="14" t="n">
        <f aca="false">Calculator!$C$32</f>
        <v>350</v>
      </c>
      <c r="G7" s="29" t="s">
        <v>33</v>
      </c>
      <c r="H7" s="38" t="s">
        <v>114</v>
      </c>
    </row>
    <row r="8" customFormat="false" ht="15" hidden="false" customHeight="false" outlineLevel="0" collapsed="false">
      <c r="A8" s="9" t="n">
        <v>2</v>
      </c>
      <c r="B8" s="18" t="s">
        <v>10</v>
      </c>
      <c r="C8" s="37" t="s">
        <v>115</v>
      </c>
      <c r="D8" s="39" t="n">
        <f aca="false">Calculator!$C$33</f>
        <v>10000000</v>
      </c>
      <c r="E8" s="39" t="n">
        <f aca="false">Calculator!$C$33</f>
        <v>10000000</v>
      </c>
      <c r="F8" s="39" t="n">
        <f aca="false">Calculator!$C$33</f>
        <v>10000000</v>
      </c>
      <c r="G8" s="29" t="s">
        <v>35</v>
      </c>
      <c r="H8" s="38" t="s">
        <v>114</v>
      </c>
    </row>
    <row r="9" customFormat="false" ht="15" hidden="false" customHeight="false" outlineLevel="0" collapsed="false">
      <c r="A9" s="9" t="n">
        <v>3</v>
      </c>
      <c r="B9" s="18" t="s">
        <v>116</v>
      </c>
      <c r="C9" s="37" t="s">
        <v>117</v>
      </c>
      <c r="D9" s="14" t="n">
        <f aca="false">SUMPRODUCT(Calculator!$L$17:$L$28,Calculator!$H$17:$H$28)</f>
        <v>190.56</v>
      </c>
      <c r="E9" s="14" t="n">
        <f aca="false">SUMPRODUCT(Calculator!$L$17:$L$28,Calculator!$H$17:$H$28)</f>
        <v>190.56</v>
      </c>
      <c r="F9" s="14" t="n">
        <f aca="false">SUMPRODUCT(Calculator!$L$17:$L$28,Calculator!$H$17:$H$28)</f>
        <v>190.56</v>
      </c>
      <c r="G9" s="29" t="s">
        <v>33</v>
      </c>
      <c r="H9" s="38" t="s">
        <v>118</v>
      </c>
    </row>
    <row r="10" customFormat="false" ht="15" hidden="false" customHeight="false" outlineLevel="0" collapsed="false">
      <c r="A10" s="9" t="n">
        <v>4</v>
      </c>
      <c r="B10" s="18" t="s">
        <v>119</v>
      </c>
      <c r="C10" s="37" t="s">
        <v>120</v>
      </c>
      <c r="D10" s="40" t="n">
        <f aca="false">SUMPRODUCT(Calculator!$L$17:$L$28,Calculator!$I$17:$I$28)*100000</f>
        <v>4610000</v>
      </c>
      <c r="E10" s="40" t="n">
        <f aca="false">SUMPRODUCT(Calculator!$L$17:$L$28,Calculator!$I$17:$I$28)*100000</f>
        <v>4610000</v>
      </c>
      <c r="F10" s="40" t="n">
        <f aca="false">SUMPRODUCT(Calculator!$L$17:$L$28,Calculator!$I$17:$I$28)*100000</f>
        <v>4610000</v>
      </c>
      <c r="G10" s="29" t="s">
        <v>35</v>
      </c>
      <c r="H10" s="38" t="s">
        <v>121</v>
      </c>
    </row>
    <row r="11" customFormat="false" ht="15" hidden="false" customHeight="false" outlineLevel="0" collapsed="false">
      <c r="A11" s="9" t="n">
        <v>5</v>
      </c>
      <c r="B11" s="18" t="s">
        <v>122</v>
      </c>
      <c r="C11" s="37" t="s">
        <v>24</v>
      </c>
      <c r="D11" s="15" t="n">
        <f aca="false">SUMPRODUCT(Calculator!$L$17:$L$28,Calculator!$J$17:$J$28)</f>
        <v>0.0115</v>
      </c>
      <c r="E11" s="15" t="n">
        <f aca="false">SUMPRODUCT(Calculator!$L$17:$L$28,Calculator!$J$17:$J$28)</f>
        <v>0.0115</v>
      </c>
      <c r="F11" s="15" t="n">
        <f aca="false">SUMPRODUCT(Calculator!$L$17:$L$28,Calculator!$J$17:$J$28)</f>
        <v>0.0115</v>
      </c>
      <c r="G11" s="29" t="s">
        <v>40</v>
      </c>
      <c r="H11" s="38" t="s">
        <v>123</v>
      </c>
    </row>
    <row r="12" customFormat="false" ht="15" hidden="false" customHeight="false" outlineLevel="0" collapsed="false">
      <c r="A12" s="9" t="n">
        <v>6</v>
      </c>
      <c r="B12" s="18" t="s">
        <v>55</v>
      </c>
      <c r="C12" s="37" t="s">
        <v>124</v>
      </c>
      <c r="D12" s="16" t="n">
        <f aca="false">SUMPRODUCT(Calculator!$L$17:$L$28,Calculator!$K$17:$K$28)</f>
        <v>16.043</v>
      </c>
      <c r="E12" s="16" t="n">
        <f aca="false">SUMPRODUCT(Calculator!$L$17:$L$28,Calculator!$K$17:$K$28)</f>
        <v>16.043</v>
      </c>
      <c r="F12" s="16" t="n">
        <f aca="false">SUMPRODUCT(Calculator!$L$17:$L$28,Calculator!$K$17:$K$28)</f>
        <v>16.043</v>
      </c>
      <c r="G12" s="29" t="s">
        <v>38</v>
      </c>
      <c r="H12" s="38" t="s">
        <v>125</v>
      </c>
    </row>
    <row r="13" customFormat="false" ht="15" hidden="false" customHeight="false" outlineLevel="0" collapsed="false">
      <c r="A13" s="9" t="n">
        <v>7</v>
      </c>
      <c r="B13" s="18" t="s">
        <v>126</v>
      </c>
      <c r="C13" s="37" t="s">
        <v>127</v>
      </c>
      <c r="D13" s="31" t="n">
        <v>8.314462</v>
      </c>
      <c r="E13" s="31" t="n">
        <v>8.314462</v>
      </c>
      <c r="F13" s="31" t="n">
        <v>8.314462</v>
      </c>
      <c r="G13" s="29" t="s">
        <v>128</v>
      </c>
      <c r="H13" s="38" t="s">
        <v>129</v>
      </c>
    </row>
    <row r="14" customFormat="false" ht="15" hidden="false" customHeight="false" outlineLevel="0" collapsed="false">
      <c r="A14" s="9" t="n">
        <v>8</v>
      </c>
      <c r="B14" s="18" t="s">
        <v>130</v>
      </c>
      <c r="C14" s="37" t="s">
        <v>131</v>
      </c>
      <c r="D14" s="31" t="n">
        <f aca="false">D7/D9</f>
        <v>1.83669185558354</v>
      </c>
      <c r="E14" s="31" t="n">
        <f aca="false">E7/E9</f>
        <v>1.83669185558354</v>
      </c>
      <c r="F14" s="31" t="n">
        <f aca="false">F7/F9</f>
        <v>1.83669185558354</v>
      </c>
      <c r="G14" s="29" t="s">
        <v>40</v>
      </c>
      <c r="H14" s="38" t="s">
        <v>132</v>
      </c>
    </row>
    <row r="15" customFormat="false" ht="15" hidden="false" customHeight="false" outlineLevel="0" collapsed="false">
      <c r="A15" s="4" t="s">
        <v>133</v>
      </c>
    </row>
    <row r="16" customFormat="false" ht="15" hidden="false" customHeight="false" outlineLevel="0" collapsed="false">
      <c r="A16" s="9" t="n">
        <v>9</v>
      </c>
      <c r="B16" s="18" t="s">
        <v>134</v>
      </c>
      <c r="C16" s="37" t="s">
        <v>135</v>
      </c>
      <c r="D16" s="31" t="n">
        <f aca="false">27/64</f>
        <v>0.421875</v>
      </c>
      <c r="E16" s="31" t="n">
        <v>0.42748</v>
      </c>
      <c r="F16" s="31" t="n">
        <v>0.45724</v>
      </c>
      <c r="G16" s="29" t="s">
        <v>40</v>
      </c>
      <c r="H16" s="38" t="s">
        <v>136</v>
      </c>
    </row>
    <row r="17" customFormat="false" ht="15" hidden="false" customHeight="false" outlineLevel="0" collapsed="false">
      <c r="A17" s="9" t="n">
        <v>10</v>
      </c>
      <c r="B17" s="18" t="s">
        <v>137</v>
      </c>
      <c r="C17" s="37" t="s">
        <v>138</v>
      </c>
      <c r="D17" s="31" t="n">
        <f aca="false">1/8</f>
        <v>0.125</v>
      </c>
      <c r="E17" s="31" t="n">
        <v>0.08664</v>
      </c>
      <c r="F17" s="31" t="n">
        <v>0.0778</v>
      </c>
      <c r="G17" s="29" t="s">
        <v>40</v>
      </c>
      <c r="H17" s="38" t="s">
        <v>139</v>
      </c>
    </row>
    <row r="18" customFormat="false" ht="15" hidden="false" customHeight="false" outlineLevel="0" collapsed="false">
      <c r="A18" s="9" t="n">
        <v>11</v>
      </c>
      <c r="B18" s="18" t="s">
        <v>140</v>
      </c>
      <c r="C18" s="37" t="s">
        <v>141</v>
      </c>
      <c r="D18" s="31" t="n">
        <f aca="false">3/8</f>
        <v>0.375</v>
      </c>
      <c r="E18" s="31" t="n">
        <f aca="false">1/3</f>
        <v>0.333333333333333</v>
      </c>
      <c r="F18" s="31" t="n">
        <v>0.3074013087</v>
      </c>
      <c r="G18" s="29" t="s">
        <v>40</v>
      </c>
      <c r="H18" s="38" t="s">
        <v>142</v>
      </c>
    </row>
    <row r="19" customFormat="false" ht="15" hidden="false" customHeight="false" outlineLevel="0" collapsed="false">
      <c r="A19" s="9" t="n">
        <v>12</v>
      </c>
      <c r="B19" s="18" t="s">
        <v>143</v>
      </c>
      <c r="C19" s="37" t="s">
        <v>144</v>
      </c>
      <c r="D19" s="31" t="n">
        <v>0</v>
      </c>
      <c r="E19" s="31" t="n">
        <f aca="false">0.48+1.574*E11-0.176*E11^2</f>
        <v>0.498077724</v>
      </c>
      <c r="F19" s="31" t="n">
        <f aca="false">IF(F11&lt;=0.491,0.37464+1.54226*F11-0.26992*F11^2,0.379642+1.48503*F11-0.164423*F11^2+0.016666*F11^3)</f>
        <v>0.39234029308</v>
      </c>
      <c r="G19" s="29" t="s">
        <v>40</v>
      </c>
      <c r="H19" s="38" t="s">
        <v>145</v>
      </c>
    </row>
    <row r="20" customFormat="false" ht="15" hidden="false" customHeight="false" outlineLevel="0" collapsed="false">
      <c r="A20" s="9" t="n">
        <v>13</v>
      </c>
      <c r="B20" s="18" t="s">
        <v>146</v>
      </c>
      <c r="C20" s="37" t="s">
        <v>147</v>
      </c>
      <c r="D20" s="31" t="n">
        <v>1</v>
      </c>
      <c r="E20" s="31" t="n">
        <f aca="false">MAX(0.000001,(1+E19*(1-SQRT(E14)))^2)</f>
        <v>0.677427526624583</v>
      </c>
      <c r="F20" s="31" t="n">
        <f aca="false">MAX(0.000001,(1+F19*(1-SQRT(F14)))^2)</f>
        <v>0.740671364099411</v>
      </c>
      <c r="G20" s="29" t="s">
        <v>40</v>
      </c>
      <c r="H20" s="38" t="s">
        <v>148</v>
      </c>
    </row>
    <row r="21" customFormat="false" ht="15" hidden="false" customHeight="false" outlineLevel="0" collapsed="false">
      <c r="A21" s="9" t="n">
        <v>14</v>
      </c>
      <c r="B21" s="18" t="s">
        <v>149</v>
      </c>
      <c r="C21" s="37" t="s">
        <v>150</v>
      </c>
      <c r="D21" s="31" t="n">
        <f aca="false">D16*D13^2*D9^2/D10*D20</f>
        <v>0.229728384538979</v>
      </c>
      <c r="E21" s="31" t="n">
        <f aca="false">E16*E13^2*E9^2/E10*E20</f>
        <v>0.157691944672073</v>
      </c>
      <c r="F21" s="31" t="n">
        <f aca="false">F16*F13^2*F9^2/F10*F20</f>
        <v>0.184416866619846</v>
      </c>
      <c r="G21" s="29" t="s">
        <v>151</v>
      </c>
      <c r="H21" s="38" t="s">
        <v>152</v>
      </c>
    </row>
    <row r="22" customFormat="false" ht="15" hidden="false" customHeight="false" outlineLevel="0" collapsed="false">
      <c r="A22" s="9" t="n">
        <v>15</v>
      </c>
      <c r="B22" s="18" t="s">
        <v>153</v>
      </c>
      <c r="C22" s="37" t="s">
        <v>154</v>
      </c>
      <c r="D22" s="31" t="n">
        <f aca="false">D17*D13*D9/D10</f>
        <v>4.29610596182213E-005</v>
      </c>
      <c r="E22" s="31" t="n">
        <f aca="false">E17*E13*E9/E10</f>
        <v>2.97771696425815E-005</v>
      </c>
      <c r="F22" s="31" t="n">
        <f aca="false">F17*F13*F9/F10</f>
        <v>2.67389635063809E-005</v>
      </c>
      <c r="G22" s="29" t="s">
        <v>155</v>
      </c>
      <c r="H22" s="38" t="s">
        <v>156</v>
      </c>
    </row>
    <row r="23" customFormat="false" ht="15" hidden="false" customHeight="false" outlineLevel="0" collapsed="false">
      <c r="A23" s="9" t="n">
        <v>16</v>
      </c>
      <c r="B23" s="18" t="s">
        <v>157</v>
      </c>
      <c r="C23" s="37" t="s">
        <v>158</v>
      </c>
      <c r="D23" s="31" t="n">
        <f aca="false">D21*D8/(D13*D7)^2</f>
        <v>0.271275307450529</v>
      </c>
      <c r="E23" s="31" t="n">
        <f aca="false">E21*E8/(E13*E7)^2</f>
        <v>0.186210906672397</v>
      </c>
      <c r="F23" s="31" t="n">
        <f aca="false">F21*F8/(F13*F7)^2</f>
        <v>0.21776909410545</v>
      </c>
      <c r="G23" s="29" t="s">
        <v>40</v>
      </c>
      <c r="H23" s="38" t="s">
        <v>159</v>
      </c>
    </row>
    <row r="24" customFormat="false" ht="15" hidden="false" customHeight="false" outlineLevel="0" collapsed="false">
      <c r="A24" s="9" t="n">
        <v>17</v>
      </c>
      <c r="B24" s="18" t="s">
        <v>160</v>
      </c>
      <c r="C24" s="37" t="s">
        <v>161</v>
      </c>
      <c r="D24" s="31" t="n">
        <f aca="false">D22*D8/(D13*D7)</f>
        <v>0.147629377130462</v>
      </c>
      <c r="E24" s="31" t="n">
        <f aca="false">E22*E8/(E13*E7)</f>
        <v>0.102324873876666</v>
      </c>
      <c r="F24" s="31" t="n">
        <f aca="false">F22*F8/(F13*F7)</f>
        <v>0.0918845243259994</v>
      </c>
      <c r="G24" s="29" t="s">
        <v>40</v>
      </c>
      <c r="H24" s="38" t="s">
        <v>162</v>
      </c>
    </row>
    <row r="25" customFormat="false" ht="15" hidden="false" customHeight="false" outlineLevel="0" collapsed="false">
      <c r="A25" s="4" t="s">
        <v>163</v>
      </c>
    </row>
    <row r="26" customFormat="false" ht="15" hidden="false" customHeight="false" outlineLevel="0" collapsed="false">
      <c r="A26" s="9" t="n">
        <v>18</v>
      </c>
      <c r="B26" s="18" t="s">
        <v>164</v>
      </c>
      <c r="C26" s="37" t="s">
        <v>165</v>
      </c>
      <c r="D26" s="31" t="n">
        <f aca="false">-(1+D24)</f>
        <v>-1.14762937713046</v>
      </c>
      <c r="E26" s="31" t="n">
        <v>-1</v>
      </c>
      <c r="F26" s="31" t="n">
        <f aca="false">-(1-F24)</f>
        <v>-0.908115475674001</v>
      </c>
      <c r="G26" s="29" t="s">
        <v>40</v>
      </c>
      <c r="H26" s="38" t="s">
        <v>166</v>
      </c>
    </row>
    <row r="27" customFormat="false" ht="15" hidden="false" customHeight="false" outlineLevel="0" collapsed="false">
      <c r="A27" s="9" t="n">
        <v>19</v>
      </c>
      <c r="B27" s="18" t="s">
        <v>167</v>
      </c>
      <c r="C27" s="37" t="s">
        <v>168</v>
      </c>
      <c r="D27" s="31" t="n">
        <f aca="false">D23</f>
        <v>0.271275307450529</v>
      </c>
      <c r="E27" s="31" t="n">
        <f aca="false">E23-E24-E24^2</f>
        <v>0.0734156529818562</v>
      </c>
      <c r="F27" s="31" t="n">
        <f aca="false">F23-3*F24^2-2*F24</f>
        <v>0.00867174802160559</v>
      </c>
      <c r="G27" s="29" t="s">
        <v>40</v>
      </c>
      <c r="H27" s="38" t="s">
        <v>169</v>
      </c>
    </row>
    <row r="28" customFormat="false" ht="15" hidden="false" customHeight="false" outlineLevel="0" collapsed="false">
      <c r="A28" s="9" t="n">
        <v>20</v>
      </c>
      <c r="B28" s="18" t="s">
        <v>170</v>
      </c>
      <c r="C28" s="37" t="s">
        <v>171</v>
      </c>
      <c r="D28" s="31" t="n">
        <f aca="false">-D23*D24</f>
        <v>-0.0400482046697961</v>
      </c>
      <c r="E28" s="31" t="n">
        <f aca="false">-E23*E24</f>
        <v>-0.0190540075397126</v>
      </c>
      <c r="F28" s="31" t="n">
        <f aca="false">-(F23*F24-F24^2-F24^3)</f>
        <v>-0.0107910842936637</v>
      </c>
      <c r="G28" s="29" t="s">
        <v>40</v>
      </c>
      <c r="H28" s="38" t="s">
        <v>172</v>
      </c>
    </row>
    <row r="29" customFormat="false" ht="15" hidden="false" customHeight="false" outlineLevel="0" collapsed="false">
      <c r="A29" s="4" t="s">
        <v>173</v>
      </c>
    </row>
    <row r="30" customFormat="false" ht="15" hidden="false" customHeight="false" outlineLevel="0" collapsed="false">
      <c r="A30" s="9" t="n">
        <v>21</v>
      </c>
      <c r="B30" s="18" t="s">
        <v>174</v>
      </c>
      <c r="C30" s="37" t="s">
        <v>175</v>
      </c>
      <c r="D30" s="31" t="n">
        <f aca="false">D27-D26^2/3</f>
        <v>-0.167742421633755</v>
      </c>
      <c r="E30" s="31" t="n">
        <f aca="false">E27-E26^2/3</f>
        <v>-0.259917680351477</v>
      </c>
      <c r="F30" s="31" t="n">
        <f aca="false">F27-F26^2/3</f>
        <v>-0.266219491031267</v>
      </c>
      <c r="G30" s="29" t="s">
        <v>40</v>
      </c>
      <c r="H30" s="38" t="s">
        <v>176</v>
      </c>
    </row>
    <row r="31" customFormat="false" ht="15" hidden="false" customHeight="false" outlineLevel="0" collapsed="false">
      <c r="A31" s="9" t="n">
        <v>22</v>
      </c>
      <c r="B31" s="18"/>
      <c r="C31" s="37" t="s">
        <v>177</v>
      </c>
      <c r="D31" s="31" t="n">
        <f aca="false">2*D26^3/27-D26*D27/3+D28</f>
        <v>-0.048235843513738</v>
      </c>
      <c r="E31" s="31" t="n">
        <f aca="false">2*E26^3/27-E26*E27/3+E28</f>
        <v>-0.0686561972865013</v>
      </c>
      <c r="F31" s="31" t="n">
        <f aca="false">2*F26^3/27-F26*F27/3+F28</f>
        <v>-0.0636400988362784</v>
      </c>
      <c r="G31" s="29" t="s">
        <v>40</v>
      </c>
      <c r="H31" s="38" t="s">
        <v>178</v>
      </c>
    </row>
    <row r="32" customFormat="false" ht="15" hidden="false" customHeight="false" outlineLevel="0" collapsed="false">
      <c r="A32" s="9" t="n">
        <v>23</v>
      </c>
      <c r="B32" s="18" t="s">
        <v>179</v>
      </c>
      <c r="C32" s="37" t="s">
        <v>180</v>
      </c>
      <c r="D32" s="31" t="n">
        <f aca="false">D31^2/4+D30^3/27</f>
        <v>0.000406864677789801</v>
      </c>
      <c r="E32" s="31" t="n">
        <f aca="false">E31^2/4+E30^3/27</f>
        <v>0.000528073509778864</v>
      </c>
      <c r="F32" s="31" t="n">
        <f aca="false">F31^2/4+F30^3/27</f>
        <v>0.000313710901361829</v>
      </c>
      <c r="G32" s="29" t="s">
        <v>40</v>
      </c>
      <c r="H32" s="38" t="s">
        <v>181</v>
      </c>
    </row>
    <row r="33" customFormat="false" ht="15" hidden="false" customHeight="false" outlineLevel="0" collapsed="false">
      <c r="A33" s="9" t="n">
        <v>24</v>
      </c>
      <c r="B33" s="18" t="s">
        <v>182</v>
      </c>
      <c r="C33" s="37" t="s">
        <v>183</v>
      </c>
      <c r="D33" s="31" t="n">
        <f aca="false">-D31/2-IF(D31&gt;=0,1,-1)*SQRT(MAX(D32,0))</f>
        <v>0.0442888086434142</v>
      </c>
      <c r="E33" s="31" t="n">
        <f aca="false">-E31/2-IF(E31&gt;=0,1,-1)*SQRT(MAX(E32,0))</f>
        <v>0.0573079487249823</v>
      </c>
      <c r="F33" s="31" t="n">
        <f aca="false">-F31/2-IF(F31&gt;=0,1,-1)*SQRT(MAX(F32,0))</f>
        <v>0.0495319352963236</v>
      </c>
      <c r="G33" s="29" t="s">
        <v>40</v>
      </c>
      <c r="H33" s="38" t="s">
        <v>184</v>
      </c>
    </row>
    <row r="34" customFormat="false" ht="15" hidden="false" customHeight="false" outlineLevel="0" collapsed="false">
      <c r="A34" s="9" t="n">
        <v>25</v>
      </c>
      <c r="B34" s="18"/>
      <c r="C34" s="37" t="s">
        <v>185</v>
      </c>
      <c r="D34" s="31" t="n">
        <f aca="false">SIGN(D33)*ABS(D33)^(1/3)</f>
        <v>0.353805570195965</v>
      </c>
      <c r="E34" s="31" t="n">
        <f aca="false">SIGN(E33)*ABS(E33)^(1/3)</f>
        <v>0.385541933662678</v>
      </c>
      <c r="F34" s="31" t="n">
        <f aca="false">SIGN(F33)*ABS(F33)^(1/3)</f>
        <v>0.367249967174439</v>
      </c>
      <c r="G34" s="29" t="s">
        <v>40</v>
      </c>
      <c r="H34" s="38" t="s">
        <v>186</v>
      </c>
    </row>
    <row r="35" customFormat="false" ht="15" hidden="false" customHeight="false" outlineLevel="0" collapsed="false">
      <c r="A35" s="9" t="n">
        <v>26</v>
      </c>
      <c r="B35" s="18"/>
      <c r="C35" s="37" t="s">
        <v>187</v>
      </c>
      <c r="D35" s="31" t="n">
        <f aca="false">IF(D34=0,0,D34-D30/(3*D34))</f>
        <v>0.511841919125168</v>
      </c>
      <c r="E35" s="31" t="n">
        <f aca="false">IF(E34=0,0,E34-E30/(3*E34))</f>
        <v>0.61026256511448</v>
      </c>
      <c r="F35" s="31" t="n">
        <f aca="false">IF(F34=0,0,F34-F30/(3*F34))</f>
        <v>0.60888329127384</v>
      </c>
      <c r="G35" s="29" t="s">
        <v>40</v>
      </c>
      <c r="H35" s="38" t="s">
        <v>188</v>
      </c>
    </row>
    <row r="36" customFormat="false" ht="15" hidden="false" customHeight="false" outlineLevel="0" collapsed="false">
      <c r="A36" s="9" t="n">
        <v>27</v>
      </c>
      <c r="B36" s="18" t="s">
        <v>189</v>
      </c>
      <c r="C36" s="37" t="s">
        <v>190</v>
      </c>
      <c r="D36" s="31" t="n">
        <f aca="false">2*SQRT(MAX(-D30,0)/3)</f>
        <v>0.472923421050745</v>
      </c>
      <c r="E36" s="31" t="n">
        <f aca="false">2*SQRT(MAX(-E30,0)/3)</f>
        <v>0.588690841728749</v>
      </c>
      <c r="F36" s="31" t="n">
        <f aca="false">2*SQRT(MAX(-F30,0)/3)</f>
        <v>0.595784626668918</v>
      </c>
      <c r="G36" s="29" t="s">
        <v>40</v>
      </c>
      <c r="H36" s="38" t="s">
        <v>191</v>
      </c>
    </row>
    <row r="37" customFormat="false" ht="15" hidden="false" customHeight="false" outlineLevel="0" collapsed="false">
      <c r="A37" s="9" t="n">
        <v>28</v>
      </c>
      <c r="B37" s="18"/>
      <c r="C37" s="37" t="s">
        <v>192</v>
      </c>
      <c r="D37" s="31" t="n">
        <f aca="false">ACOS(IF(D36=0,0,MAX(-1,MIN(1,3*D31/(D30*D36)))))</f>
        <v>0</v>
      </c>
      <c r="E37" s="31" t="n">
        <f aca="false">ACOS(IF(E36=0,0,MAX(-1,MIN(1,3*E31/(E30*E36)))))</f>
        <v>0</v>
      </c>
      <c r="F37" s="31" t="n">
        <f aca="false">ACOS(IF(F36=0,0,MAX(-1,MIN(1,3*F31/(F30*F36)))))</f>
        <v>0</v>
      </c>
      <c r="G37" s="29" t="s">
        <v>193</v>
      </c>
      <c r="H37" s="38" t="s">
        <v>194</v>
      </c>
    </row>
    <row r="38" customFormat="false" ht="15" hidden="false" customHeight="false" outlineLevel="0" collapsed="false">
      <c r="A38" s="9" t="n">
        <v>29</v>
      </c>
      <c r="B38" s="18"/>
      <c r="C38" s="37" t="s">
        <v>187</v>
      </c>
      <c r="D38" s="31" t="n">
        <f aca="false">D36*COS(D37/3)</f>
        <v>0.472923421050745</v>
      </c>
      <c r="E38" s="31" t="n">
        <f aca="false">E36*COS(E37/3)</f>
        <v>0.588690841728749</v>
      </c>
      <c r="F38" s="31" t="n">
        <f aca="false">F36*COS(F37/3)</f>
        <v>0.595784626668918</v>
      </c>
      <c r="G38" s="29" t="s">
        <v>40</v>
      </c>
      <c r="H38" s="38" t="s">
        <v>195</v>
      </c>
    </row>
    <row r="39" customFormat="false" ht="15" hidden="false" customHeight="false" outlineLevel="0" collapsed="false">
      <c r="A39" s="9" t="n">
        <v>30</v>
      </c>
      <c r="B39" s="18" t="s">
        <v>196</v>
      </c>
      <c r="C39" s="37" t="s">
        <v>197</v>
      </c>
      <c r="D39" s="31" t="n">
        <f aca="false">IF(D32&lt;0,D38,D35)-D26/3</f>
        <v>0.894385044835321</v>
      </c>
      <c r="E39" s="31" t="n">
        <f aca="false">IF(E32&lt;0,E38,E35)-E26/3</f>
        <v>0.943595898447813</v>
      </c>
      <c r="F39" s="31" t="n">
        <f aca="false">IF(F32&lt;0,F38,F35)-F26/3</f>
        <v>0.91158844983184</v>
      </c>
      <c r="G39" s="29" t="s">
        <v>40</v>
      </c>
      <c r="H39" s="38" t="s">
        <v>198</v>
      </c>
    </row>
    <row r="40" customFormat="false" ht="15" hidden="false" customHeight="false" outlineLevel="0" collapsed="false">
      <c r="A40" s="9" t="n">
        <v>31</v>
      </c>
      <c r="B40" s="18" t="s">
        <v>199</v>
      </c>
      <c r="C40" s="37" t="s">
        <v>200</v>
      </c>
      <c r="D40" s="31" t="n">
        <f aca="false">IFERROR((((D39+D26)*D39+D27)*D39+D28)/((3*D39+2*D26)*D39+D27),0)</f>
        <v>0</v>
      </c>
      <c r="E40" s="31" t="n">
        <f aca="false">IFERROR((((E39+E26)*E39+E27)*E39+E28)/((3*E39+2*E26)*E39+E27),0)</f>
        <v>-1.53776149116506E-016</v>
      </c>
      <c r="F40" s="31" t="n">
        <f aca="false">IFERROR((((F39+F26)*F39+F27)*F39+F28)/((3*F39+2*F26)*F39+F27),0)</f>
        <v>0</v>
      </c>
      <c r="G40" s="29" t="s">
        <v>40</v>
      </c>
      <c r="H40" s="38" t="s">
        <v>201</v>
      </c>
    </row>
    <row r="41" customFormat="false" ht="15" hidden="false" customHeight="false" outlineLevel="0" collapsed="false">
      <c r="A41" s="9" t="n">
        <v>32</v>
      </c>
      <c r="B41" s="18"/>
      <c r="C41" s="37" t="s">
        <v>197</v>
      </c>
      <c r="D41" s="31" t="n">
        <f aca="false">IF(ABS(D40)&lt;0.1*ABS(D39),D39-D40,D39)</f>
        <v>0.894385044835321</v>
      </c>
      <c r="E41" s="31" t="n">
        <f aca="false">IF(ABS(E40)&lt;0.1*ABS(E39),E39-E40,E39)</f>
        <v>0.943595898447813</v>
      </c>
      <c r="F41" s="31" t="n">
        <f aca="false">IF(ABS(F40)&lt;0.1*ABS(F39),F39-F40,F39)</f>
        <v>0.91158844983184</v>
      </c>
      <c r="G41" s="29" t="s">
        <v>40</v>
      </c>
      <c r="H41" s="38" t="s">
        <v>202</v>
      </c>
    </row>
    <row r="42" customFormat="false" ht="15" hidden="false" customHeight="false" outlineLevel="0" collapsed="false">
      <c r="A42" s="9" t="n">
        <v>33</v>
      </c>
      <c r="B42" s="18" t="s">
        <v>203</v>
      </c>
      <c r="C42" s="37" t="s">
        <v>200</v>
      </c>
      <c r="D42" s="31" t="n">
        <f aca="false">IFERROR((((D41+D26)*D41+D27)*D41+D28)/((3*D41+2*D26)*D41+D27),0)</f>
        <v>0</v>
      </c>
      <c r="E42" s="31" t="n">
        <f aca="false">IFERROR((((E41+E26)*E41+E27)*E41+E28)/((3*E41+2*E26)*E41+E27),0)</f>
        <v>0</v>
      </c>
      <c r="F42" s="31" t="n">
        <f aca="false">IFERROR((((F41+F26)*F41+F27)*F41+F28)/((3*F41+2*F26)*F41+F27),0)</f>
        <v>0</v>
      </c>
      <c r="G42" s="29" t="s">
        <v>40</v>
      </c>
      <c r="H42" s="38" t="s">
        <v>204</v>
      </c>
    </row>
    <row r="43" customFormat="false" ht="15" hidden="false" customHeight="false" outlineLevel="0" collapsed="false">
      <c r="A43" s="9" t="n">
        <v>34</v>
      </c>
      <c r="B43" s="18" t="s">
        <v>205</v>
      </c>
      <c r="C43" s="37" t="s">
        <v>197</v>
      </c>
      <c r="D43" s="31" t="n">
        <f aca="false">IF(ABS(D42)&lt;0.1*ABS(D41),D41-D42,D41)</f>
        <v>0.894385044835321</v>
      </c>
      <c r="E43" s="31" t="n">
        <f aca="false">IF(ABS(E42)&lt;0.1*ABS(E41),E41-E42,E41)</f>
        <v>0.943595898447813</v>
      </c>
      <c r="F43" s="31" t="n">
        <f aca="false">IF(ABS(F42)&lt;0.1*ABS(F41),F41-F42,F41)</f>
        <v>0.91158844983184</v>
      </c>
      <c r="G43" s="29" t="s">
        <v>40</v>
      </c>
      <c r="H43" s="38" t="s">
        <v>206</v>
      </c>
    </row>
    <row r="44" customFormat="false" ht="15" hidden="false" customHeight="false" outlineLevel="0" collapsed="false">
      <c r="A44" s="4" t="s">
        <v>207</v>
      </c>
    </row>
    <row r="45" customFormat="false" ht="15" hidden="false" customHeight="false" outlineLevel="0" collapsed="false">
      <c r="A45" s="9" t="n">
        <v>35</v>
      </c>
      <c r="B45" s="18" t="s">
        <v>208</v>
      </c>
      <c r="C45" s="37" t="s">
        <v>209</v>
      </c>
      <c r="D45" s="31" t="n">
        <f aca="false">-D28/D43</f>
        <v>0.044777363956449</v>
      </c>
      <c r="E45" s="31" t="n">
        <f aca="false">-E28/E43</f>
        <v>0.0201929741015787</v>
      </c>
      <c r="F45" s="31" t="n">
        <f aca="false">-F28/F43</f>
        <v>0.0118376711504565</v>
      </c>
      <c r="G45" s="29" t="s">
        <v>40</v>
      </c>
      <c r="H45" s="38" t="s">
        <v>210</v>
      </c>
    </row>
    <row r="46" customFormat="false" ht="15" hidden="false" customHeight="false" outlineLevel="0" collapsed="false">
      <c r="A46" s="9" t="n">
        <v>36</v>
      </c>
      <c r="B46" s="18" t="s">
        <v>211</v>
      </c>
      <c r="C46" s="37" t="s">
        <v>212</v>
      </c>
      <c r="D46" s="31" t="n">
        <f aca="false">(D27-D45)/D43</f>
        <v>0.25324433229514</v>
      </c>
      <c r="E46" s="31" t="n">
        <f aca="false">(E27-E45)/E43</f>
        <v>0.0564041015521868</v>
      </c>
      <c r="F46" s="31" t="n">
        <f aca="false">(F27-F45)/F43</f>
        <v>-0.00347297415783941</v>
      </c>
      <c r="G46" s="29" t="s">
        <v>40</v>
      </c>
      <c r="H46" s="38" t="s">
        <v>213</v>
      </c>
    </row>
    <row r="47" customFormat="false" ht="15" hidden="false" customHeight="false" outlineLevel="0" collapsed="false">
      <c r="A47" s="9" t="n">
        <v>37</v>
      </c>
      <c r="B47" s="18" t="s">
        <v>214</v>
      </c>
      <c r="C47" s="37" t="s">
        <v>215</v>
      </c>
      <c r="D47" s="31" t="n">
        <f aca="false">D46^2-4*D45</f>
        <v>-0.114976763986184</v>
      </c>
      <c r="E47" s="31" t="n">
        <f aca="false">E46^2-4*E45</f>
        <v>-0.0775904737344056</v>
      </c>
      <c r="F47" s="31" t="n">
        <f aca="false">F46^2-4*F45</f>
        <v>-0.0473386230523248</v>
      </c>
      <c r="G47" s="29" t="s">
        <v>40</v>
      </c>
      <c r="H47" s="38" t="s">
        <v>216</v>
      </c>
    </row>
    <row r="48" customFormat="false" ht="15" hidden="false" customHeight="false" outlineLevel="0" collapsed="false">
      <c r="A48" s="9" t="n">
        <v>38</v>
      </c>
      <c r="B48" s="18" t="s">
        <v>217</v>
      </c>
      <c r="C48" s="37" t="s">
        <v>218</v>
      </c>
      <c r="D48" s="41" t="n">
        <f aca="false">IF(D47&gt;=0,(D46+IF(D46&gt;=0,1,-1)*SQRT(D47))/2,0)</f>
        <v>0</v>
      </c>
      <c r="E48" s="41" t="n">
        <f aca="false">IF(E47&gt;=0,(E46+IF(E46&gt;=0,1,-1)*SQRT(E47))/2,0)</f>
        <v>0</v>
      </c>
      <c r="F48" s="41" t="n">
        <f aca="false">IF(F47&gt;=0,(F46+IF(F46&gt;=0,1,-1)*SQRT(F47))/2,0)</f>
        <v>0</v>
      </c>
      <c r="G48" s="29" t="s">
        <v>40</v>
      </c>
      <c r="H48" s="38" t="s">
        <v>219</v>
      </c>
    </row>
    <row r="49" customFormat="false" ht="15" hidden="false" customHeight="false" outlineLevel="0" collapsed="false">
      <c r="A49" s="9" t="n">
        <v>39</v>
      </c>
      <c r="B49" s="18" t="s">
        <v>220</v>
      </c>
      <c r="C49" s="37" t="s">
        <v>221</v>
      </c>
      <c r="D49" s="42" t="n">
        <f aca="false">IF(AND(D47&gt;=0,D48&lt;&gt;0),MIN(D48,D45/D48),-1)</f>
        <v>-1</v>
      </c>
      <c r="E49" s="42" t="n">
        <f aca="false">IF(AND(E47&gt;=0,E48&lt;&gt;0),MIN(E48,E45/E48),-1)</f>
        <v>-1</v>
      </c>
      <c r="F49" s="42" t="n">
        <f aca="false">IF(AND(F47&gt;=0,F48&lt;&gt;0),MIN(F48,F45/F48),-1)</f>
        <v>-1</v>
      </c>
      <c r="G49" s="29" t="s">
        <v>40</v>
      </c>
      <c r="H49" s="38" t="s">
        <v>222</v>
      </c>
    </row>
    <row r="50" customFormat="false" ht="15" hidden="false" customHeight="false" outlineLevel="0" collapsed="false">
      <c r="A50" s="9" t="n">
        <v>40</v>
      </c>
      <c r="B50" s="18" t="s">
        <v>223</v>
      </c>
      <c r="C50" s="37"/>
      <c r="D50" s="31" t="n">
        <f aca="false">AND(D47&gt;=0,D49&gt;D24,ABS(D43-D49)&gt;=0.00005*MAX(D43,D49))</f>
        <v>0</v>
      </c>
      <c r="E50" s="31" t="n">
        <f aca="false">AND(E47&gt;=0,E49&gt;E24,ABS(E43-E49)&gt;=0.00005*MAX(E43,E49))</f>
        <v>0</v>
      </c>
      <c r="F50" s="31" t="n">
        <f aca="false">AND(F47&gt;=0,F49&gt;F24,ABS(F43-F49)&gt;=0.00005*MAX(F43,F49))</f>
        <v>0</v>
      </c>
      <c r="G50" s="29" t="s">
        <v>40</v>
      </c>
      <c r="H50" s="38" t="s">
        <v>224</v>
      </c>
    </row>
    <row r="51" customFormat="false" ht="15" hidden="false" customHeight="false" outlineLevel="0" collapsed="false">
      <c r="A51" s="9" t="n">
        <v>41</v>
      </c>
      <c r="B51" s="18" t="s">
        <v>199</v>
      </c>
      <c r="C51" s="37" t="s">
        <v>200</v>
      </c>
      <c r="D51" s="31" t="n">
        <f aca="false">IF(D50,IFERROR((((D49+D26)*D49+D27)*D49+D28)/((3*D49+2*D26)*D49+D27),0),0)</f>
        <v>0</v>
      </c>
      <c r="E51" s="31" t="n">
        <f aca="false">IF(E50,IFERROR((((E49+E26)*E49+E27)*E49+E28)/((3*E49+2*E26)*E49+E27),0),0)</f>
        <v>0</v>
      </c>
      <c r="F51" s="31" t="n">
        <f aca="false">IF(F50,IFERROR((((F49+F26)*F49+F27)*F49+F28)/((3*F49+2*F26)*F49+F27),0),0)</f>
        <v>0</v>
      </c>
      <c r="G51" s="29" t="s">
        <v>40</v>
      </c>
      <c r="H51" s="38" t="s">
        <v>204</v>
      </c>
    </row>
    <row r="52" customFormat="false" ht="15" hidden="false" customHeight="false" outlineLevel="0" collapsed="false">
      <c r="A52" s="9" t="n">
        <v>42</v>
      </c>
      <c r="B52" s="18"/>
      <c r="C52" s="37" t="s">
        <v>221</v>
      </c>
      <c r="D52" s="42" t="n">
        <f aca="false">IF(ABS(D51)&lt;0.1*ABS(D49),D49-D51,D49)</f>
        <v>-1</v>
      </c>
      <c r="E52" s="42" t="n">
        <f aca="false">IF(ABS(E51)&lt;0.1*ABS(E49),E49-E51,E49)</f>
        <v>-1</v>
      </c>
      <c r="F52" s="42" t="n">
        <f aca="false">IF(ABS(F51)&lt;0.1*ABS(F49),F49-F51,F49)</f>
        <v>-1</v>
      </c>
      <c r="G52" s="29" t="s">
        <v>40</v>
      </c>
      <c r="H52" s="38" t="s">
        <v>225</v>
      </c>
    </row>
    <row r="53" customFormat="false" ht="15" hidden="false" customHeight="false" outlineLevel="0" collapsed="false">
      <c r="A53" s="9" t="n">
        <v>43</v>
      </c>
      <c r="B53" s="18" t="s">
        <v>203</v>
      </c>
      <c r="C53" s="37" t="s">
        <v>200</v>
      </c>
      <c r="D53" s="31" t="n">
        <f aca="false">IF(D50,IFERROR((((D52+D26)*D52+D27)*D52+D28)/((3*D52+2*D26)*D52+D27),0),0)</f>
        <v>0</v>
      </c>
      <c r="E53" s="31" t="n">
        <f aca="false">IF(E50,IFERROR((((E52+E26)*E52+E27)*E52+E28)/((3*E52+2*E26)*E52+E27),0),0)</f>
        <v>0</v>
      </c>
      <c r="F53" s="31" t="n">
        <f aca="false">IF(F50,IFERROR((((F52+F26)*F52+F27)*F52+F28)/((3*F52+2*F26)*F52+F27),0),0)</f>
        <v>0</v>
      </c>
      <c r="G53" s="29" t="s">
        <v>40</v>
      </c>
      <c r="H53" s="38" t="s">
        <v>204</v>
      </c>
    </row>
    <row r="54" customFormat="false" ht="15" hidden="false" customHeight="false" outlineLevel="0" collapsed="false">
      <c r="A54" s="9" t="n">
        <v>44</v>
      </c>
      <c r="B54" s="18" t="s">
        <v>226</v>
      </c>
      <c r="C54" s="37" t="s">
        <v>221</v>
      </c>
      <c r="D54" s="42" t="n">
        <f aca="false">IF(ABS(D53)&lt;0.1*ABS(D52),D52-D53,D52)</f>
        <v>-1</v>
      </c>
      <c r="E54" s="42" t="n">
        <f aca="false">IF(ABS(E53)&lt;0.1*ABS(E52),E52-E53,E52)</f>
        <v>-1</v>
      </c>
      <c r="F54" s="42" t="n">
        <f aca="false">IF(ABS(F53)&lt;0.1*ABS(F52),F52-F53,F52)</f>
        <v>-1</v>
      </c>
      <c r="G54" s="29" t="s">
        <v>40</v>
      </c>
      <c r="H54" s="38" t="s">
        <v>225</v>
      </c>
    </row>
    <row r="55" customFormat="false" ht="15" hidden="false" customHeight="false" outlineLevel="0" collapsed="false">
      <c r="A55" s="4" t="s">
        <v>227</v>
      </c>
    </row>
    <row r="56" customFormat="false" ht="15" hidden="false" customHeight="false" outlineLevel="0" collapsed="false">
      <c r="A56" s="9" t="n">
        <v>45</v>
      </c>
      <c r="B56" s="18" t="s">
        <v>228</v>
      </c>
      <c r="C56" s="37" t="s">
        <v>229</v>
      </c>
      <c r="D56" s="32" t="n">
        <f aca="false">IF(D50,3,1)</f>
        <v>1</v>
      </c>
      <c r="E56" s="32" t="n">
        <f aca="false">IF(E50,3,1)</f>
        <v>1</v>
      </c>
      <c r="F56" s="32" t="n">
        <f aca="false">IF(F50,3,1)</f>
        <v>1</v>
      </c>
      <c r="G56" s="29" t="s">
        <v>40</v>
      </c>
      <c r="H56" s="38" t="s">
        <v>230</v>
      </c>
    </row>
    <row r="57" customFormat="false" ht="15" hidden="false" customHeight="false" outlineLevel="0" collapsed="false">
      <c r="A57" s="9" t="n">
        <v>46</v>
      </c>
      <c r="B57" s="18" t="s">
        <v>231</v>
      </c>
      <c r="C57" s="37" t="s">
        <v>232</v>
      </c>
      <c r="D57" s="31" t="n">
        <f aca="false">IF(D50,MAX(D43,D54),D43)</f>
        <v>0.894385044835321</v>
      </c>
      <c r="E57" s="31" t="n">
        <f aca="false">IF(E50,MAX(E43,E54),E43)</f>
        <v>0.943595898447813</v>
      </c>
      <c r="F57" s="31" t="n">
        <f aca="false">IF(F50,MAX(F43,F54),F43)</f>
        <v>0.91158844983184</v>
      </c>
      <c r="G57" s="29" t="s">
        <v>40</v>
      </c>
      <c r="H57" s="38" t="s">
        <v>233</v>
      </c>
    </row>
    <row r="58" customFormat="false" ht="15" hidden="false" customHeight="false" outlineLevel="0" collapsed="false">
      <c r="A58" s="9" t="n">
        <v>47</v>
      </c>
      <c r="B58" s="18" t="s">
        <v>234</v>
      </c>
      <c r="C58" s="37" t="s">
        <v>235</v>
      </c>
      <c r="D58" s="31" t="str">
        <f aca="false">IF(D50,D45/D54,"-")</f>
        <v>-</v>
      </c>
      <c r="E58" s="31" t="str">
        <f aca="false">IF(E50,E45/E54,"-")</f>
        <v>-</v>
      </c>
      <c r="F58" s="31" t="str">
        <f aca="false">IF(F50,F45/F54,"-")</f>
        <v>-</v>
      </c>
      <c r="G58" s="29" t="s">
        <v>40</v>
      </c>
      <c r="H58" s="38" t="s">
        <v>236</v>
      </c>
    </row>
    <row r="59" customFormat="false" ht="15" hidden="false" customHeight="false" outlineLevel="0" collapsed="false">
      <c r="A59" s="9" t="n">
        <v>48</v>
      </c>
      <c r="B59" s="18" t="s">
        <v>237</v>
      </c>
      <c r="C59" s="37" t="s">
        <v>238</v>
      </c>
      <c r="D59" s="31" t="str">
        <f aca="false">IF(D50,MIN(D43,D54),"-")</f>
        <v>-</v>
      </c>
      <c r="E59" s="31" t="str">
        <f aca="false">IF(E50,MIN(E43,E54),"-")</f>
        <v>-</v>
      </c>
      <c r="F59" s="31" t="str">
        <f aca="false">IF(F50,MIN(F43,F54),"-")</f>
        <v>-</v>
      </c>
      <c r="G59" s="29" t="s">
        <v>40</v>
      </c>
      <c r="H59" s="38" t="s">
        <v>239</v>
      </c>
    </row>
    <row r="60" customFormat="false" ht="15" hidden="false" customHeight="false" outlineLevel="0" collapsed="false">
      <c r="A60" s="4" t="s">
        <v>240</v>
      </c>
    </row>
    <row r="61" customFormat="false" ht="15" hidden="false" customHeight="false" outlineLevel="0" collapsed="false">
      <c r="A61" s="9" t="n">
        <v>49</v>
      </c>
      <c r="B61" s="18" t="s">
        <v>241</v>
      </c>
      <c r="C61" s="37" t="s">
        <v>242</v>
      </c>
      <c r="D61" s="31" t="n">
        <f aca="false">D57-1-LN(D57-D24)-D23/D57</f>
        <v>-0.116907029307957</v>
      </c>
      <c r="E61" s="31" t="n">
        <f aca="false">E57-1-LN(E57-E24)-E23/E24*LN(1+E24/E57)</f>
        <v>-0.0709201194951653</v>
      </c>
      <c r="F61" s="31" t="n">
        <f aca="false">F57-1-LN(F57-F24)-F23/(2*SQRT(2)*F24)*LN((F57+(1+SQRT(2))*F24)/(F57+(1-SQRT(2))*F24))</f>
        <v>-0.107840271021729</v>
      </c>
      <c r="G61" s="29" t="s">
        <v>40</v>
      </c>
      <c r="H61" s="38" t="s">
        <v>243</v>
      </c>
    </row>
    <row r="62" customFormat="false" ht="15" hidden="false" customHeight="false" outlineLevel="0" collapsed="false">
      <c r="A62" s="9" t="n">
        <v>50</v>
      </c>
      <c r="B62" s="18" t="s">
        <v>244</v>
      </c>
      <c r="C62" s="37" t="s">
        <v>245</v>
      </c>
      <c r="D62" s="31" t="str">
        <f aca="false">IF(D50,D59-1-LN(D59-D24)-D23/D59,"-")</f>
        <v>-</v>
      </c>
      <c r="E62" s="31" t="str">
        <f aca="false">IF(E50,E59-1-LN(E59-E24)-E23/E24*LN(1+E24/E59),"-")</f>
        <v>-</v>
      </c>
      <c r="F62" s="31" t="str">
        <f aca="false">IF(F50,F59-1-LN(F59-F24)-F23/(2*SQRT(2)*F24)*LN((F59+(1+SQRT(2))*F24)/(F59+(1-SQRT(2))*F24)),"-")</f>
        <v>-</v>
      </c>
      <c r="G62" s="29" t="s">
        <v>40</v>
      </c>
      <c r="H62" s="38" t="s">
        <v>246</v>
      </c>
    </row>
    <row r="63" customFormat="false" ht="15" hidden="false" customHeight="false" outlineLevel="0" collapsed="false">
      <c r="A63" s="9" t="n">
        <v>51</v>
      </c>
      <c r="B63" s="18" t="s">
        <v>247</v>
      </c>
      <c r="C63" s="37"/>
      <c r="D63" s="31" t="n">
        <f aca="false">IF(D50,D62&lt;D61,D57*D13*D7/D8&lt;D18*D13*D9/D10)</f>
        <v>0</v>
      </c>
      <c r="E63" s="31" t="n">
        <f aca="false">IF(E50,E62&lt;E61,E57*E13*E7/E8&lt;E18*E13*E9/E10)</f>
        <v>0</v>
      </c>
      <c r="F63" s="31" t="n">
        <f aca="false">IF(F50,F62&lt;F61,F57*F13*F7/F8&lt;F18*F13*F9/F10)</f>
        <v>0</v>
      </c>
      <c r="G63" s="29" t="s">
        <v>40</v>
      </c>
      <c r="H63" s="38" t="s">
        <v>248</v>
      </c>
    </row>
    <row r="64" customFormat="false" ht="15" hidden="false" customHeight="false" outlineLevel="0" collapsed="false">
      <c r="A64" s="9" t="n">
        <v>52</v>
      </c>
      <c r="B64" s="18" t="s">
        <v>249</v>
      </c>
      <c r="C64" s="37" t="s">
        <v>250</v>
      </c>
      <c r="D64" s="21" t="n">
        <f aca="false">IF(AND(D50,D63),D59,D57)</f>
        <v>0.894385044835321</v>
      </c>
      <c r="E64" s="21" t="n">
        <f aca="false">IF(AND(E50,E63),E59,E57)</f>
        <v>0.943595898447813</v>
      </c>
      <c r="F64" s="21" t="n">
        <f aca="false">IF(AND(F50,F63),F59,F57)</f>
        <v>0.91158844983184</v>
      </c>
      <c r="G64" s="29" t="s">
        <v>40</v>
      </c>
      <c r="H64" s="38" t="s">
        <v>251</v>
      </c>
    </row>
    <row r="65" customFormat="false" ht="15" hidden="false" customHeight="false" outlineLevel="0" collapsed="false">
      <c r="A65" s="9" t="n">
        <v>53</v>
      </c>
      <c r="B65" s="18"/>
      <c r="C65" s="37" t="s">
        <v>252</v>
      </c>
      <c r="D65" s="31" t="n">
        <f aca="false">IF(AND(D50,D63),D62,D61)</f>
        <v>-0.116907029307957</v>
      </c>
      <c r="E65" s="31" t="n">
        <f aca="false">IF(AND(E50,E63),E62,E61)</f>
        <v>-0.0709201194951653</v>
      </c>
      <c r="F65" s="31" t="n">
        <f aca="false">IF(AND(F50,F63),F62,F61)</f>
        <v>-0.107840271021729</v>
      </c>
      <c r="G65" s="29" t="s">
        <v>40</v>
      </c>
      <c r="H65" s="38"/>
    </row>
    <row r="66" customFormat="false" ht="15" hidden="false" customHeight="false" outlineLevel="0" collapsed="false">
      <c r="A66" s="9" t="n">
        <v>54</v>
      </c>
      <c r="B66" s="18" t="s">
        <v>75</v>
      </c>
      <c r="C66" s="37"/>
      <c r="D66" s="21" t="str">
        <f aca="false">IF(D7&gt;=D9,IF(D8&gt;=D10,"Supercritical","Gas"),IF(D63,"Liquid","Vapour"))</f>
        <v>Supercritical</v>
      </c>
      <c r="E66" s="21" t="str">
        <f aca="false">IF(E7&gt;=E9,IF(E8&gt;=E10,"Supercritical","Gas"),IF(E63,"Liquid","Vapour"))</f>
        <v>Supercritical</v>
      </c>
      <c r="F66" s="21" t="str">
        <f aca="false">IF(F7&gt;=F9,IF(F8&gt;=F10,"Supercritical","Gas"),IF(F63,"Liquid","Vapour"))</f>
        <v>Supercritical</v>
      </c>
      <c r="G66" s="29"/>
      <c r="H66" s="38" t="s">
        <v>253</v>
      </c>
    </row>
    <row r="67" customFormat="false" ht="15" hidden="false" customHeight="false" outlineLevel="0" collapsed="false">
      <c r="A67" s="9" t="n">
        <v>55</v>
      </c>
      <c r="B67" s="18" t="s">
        <v>254</v>
      </c>
      <c r="C67" s="37" t="s">
        <v>250</v>
      </c>
      <c r="D67" s="31" t="str">
        <f aca="false">IF(D50,IF(D63,D57,D59),"-")</f>
        <v>-</v>
      </c>
      <c r="E67" s="31" t="str">
        <f aca="false">IF(E50,IF(E63,E57,E59),"-")</f>
        <v>-</v>
      </c>
      <c r="F67" s="31" t="str">
        <f aca="false">IF(F50,IF(F63,F57,F59),"-")</f>
        <v>-</v>
      </c>
      <c r="G67" s="29" t="s">
        <v>40</v>
      </c>
      <c r="H67" s="38" t="s">
        <v>255</v>
      </c>
    </row>
    <row r="68" customFormat="false" ht="15" hidden="false" customHeight="false" outlineLevel="0" collapsed="false">
      <c r="A68" s="4" t="s">
        <v>256</v>
      </c>
    </row>
    <row r="69" customFormat="false" ht="15" hidden="false" customHeight="false" outlineLevel="0" collapsed="false">
      <c r="A69" s="9" t="n">
        <v>56</v>
      </c>
      <c r="B69" s="18" t="s">
        <v>56</v>
      </c>
      <c r="C69" s="37" t="s">
        <v>257</v>
      </c>
      <c r="D69" s="21" t="n">
        <f aca="false">D64*D13*D7/D8</f>
        <v>0.000260271566402805</v>
      </c>
      <c r="E69" s="21" t="n">
        <f aca="false">E64*E13*E7/E8</f>
        <v>0.000274592228435007</v>
      </c>
      <c r="F69" s="21" t="n">
        <f aca="false">F64*F13*F7/F8</f>
        <v>0.000265277863401801</v>
      </c>
      <c r="G69" s="29" t="s">
        <v>155</v>
      </c>
      <c r="H69" s="38" t="s">
        <v>258</v>
      </c>
    </row>
    <row r="70" customFormat="false" ht="15" hidden="false" customHeight="false" outlineLevel="0" collapsed="false">
      <c r="A70" s="9" t="n">
        <v>57</v>
      </c>
      <c r="B70" s="18" t="s">
        <v>58</v>
      </c>
      <c r="C70" s="37" t="s">
        <v>259</v>
      </c>
      <c r="D70" s="21" t="n">
        <f aca="false">D12/1000/D69</f>
        <v>61.6394645858907</v>
      </c>
      <c r="E70" s="21" t="n">
        <f aca="false">E12/1000/E69</f>
        <v>58.4248144655602</v>
      </c>
      <c r="F70" s="21" t="n">
        <f aca="false">F12/1000/F69</f>
        <v>60.4762108465138</v>
      </c>
      <c r="G70" s="29" t="s">
        <v>59</v>
      </c>
      <c r="H70" s="38" t="s">
        <v>260</v>
      </c>
    </row>
    <row r="71" customFormat="false" ht="15" hidden="false" customHeight="false" outlineLevel="0" collapsed="false">
      <c r="A71" s="9" t="n">
        <v>58</v>
      </c>
      <c r="B71" s="18" t="s">
        <v>261</v>
      </c>
      <c r="C71" s="37" t="s">
        <v>262</v>
      </c>
      <c r="D71" s="21" t="n">
        <f aca="false">EXP(D65)</f>
        <v>0.889667902359157</v>
      </c>
      <c r="E71" s="21" t="n">
        <f aca="false">EXP(E65)</f>
        <v>0.931536300745629</v>
      </c>
      <c r="F71" s="21" t="n">
        <f aca="false">EXP(F65)</f>
        <v>0.897770985020633</v>
      </c>
      <c r="G71" s="29" t="s">
        <v>40</v>
      </c>
      <c r="H71" s="38" t="s">
        <v>263</v>
      </c>
    </row>
    <row r="72" customFormat="false" ht="15" hidden="false" customHeight="false" outlineLevel="0" collapsed="false">
      <c r="A72" s="9" t="n">
        <v>59</v>
      </c>
      <c r="B72" s="18" t="s">
        <v>264</v>
      </c>
      <c r="C72" s="37" t="s">
        <v>265</v>
      </c>
      <c r="D72" s="21" t="n">
        <f aca="false">D71*D8</f>
        <v>8896679.02359157</v>
      </c>
      <c r="E72" s="21" t="n">
        <f aca="false">E71*E8</f>
        <v>9315363.00745629</v>
      </c>
      <c r="F72" s="21" t="n">
        <f aca="false">F71*F8</f>
        <v>8977709.85020633</v>
      </c>
      <c r="G72" s="29" t="s">
        <v>35</v>
      </c>
      <c r="H72" s="38" t="s">
        <v>266</v>
      </c>
    </row>
    <row r="73" customFormat="false" ht="15" hidden="false" customHeight="false" outlineLevel="0" collapsed="false">
      <c r="A73" s="9" t="n">
        <v>60</v>
      </c>
      <c r="B73" s="18" t="s">
        <v>267</v>
      </c>
      <c r="C73" s="37" t="s">
        <v>268</v>
      </c>
      <c r="D73" s="21" t="str">
        <f aca="false">IF(D7&lt;D9,IF(Psat!$C$17,Psat!$C$15,"not converged"),"none (T ≥ Tc)")</f>
        <v>none (T ≥ Tc)</v>
      </c>
      <c r="E73" s="21" t="str">
        <f aca="false">IF(E7&lt;E9,IF(Psat!$D$17,Psat!$D$15,"not converged"),"none (T ≥ Tc)")</f>
        <v>none (T ≥ Tc)</v>
      </c>
      <c r="F73" s="21" t="str">
        <f aca="false">IF(F7&lt;F9,IF(Psat!$E$17,Psat!$E$15,"not converged"),"none (T ≥ Tc)")</f>
        <v>none (T ≥ Tc)</v>
      </c>
      <c r="G73" s="29" t="s">
        <v>35</v>
      </c>
      <c r="H73" s="38" t="s">
        <v>269</v>
      </c>
    </row>
  </sheetData>
  <conditionalFormatting sqref="D6:F73">
    <cfRule type="expression" priority="2" aboveAverage="0" equalAverage="0" bottom="0" percent="0" rank="0" text="" dxfId="2">
      <formula>AND(ISNUMBER(D6),D6&lt;&gt;0,ABS(D6)&lt;0.001)</formula>
    </cfRule>
    <cfRule type="expression" priority="3" aboveAverage="0" equalAverage="0" bottom="0" percent="0" rank="0" text="" dxfId="2">
      <formula>AND(ISNUMBER(D6),ABS(D6)&gt;=1000000000)</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scaleWithDoc="0" differentFirst="false" differentOddEven="false">
    <oddHeader>&amp;C&amp;G</oddHeader>
    <oddFooter>&amp;Lwww.multicalci.com&amp;CPage &amp;P of &amp;N&amp;R&amp;A</oddFooter>
  </headerFooter>
  <legacyDrawingHF r:id="rId1"/>
  <picture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Q1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4"/>
    <col collapsed="false" customWidth="true" hidden="false" outlineLevel="0" max="43" min="3" style="0" width="18"/>
  </cols>
  <sheetData>
    <row r="1" customFormat="false" ht="17.35" hidden="false" customHeight="false" outlineLevel="0" collapsed="false">
      <c r="A1" s="1" t="s">
        <v>270</v>
      </c>
    </row>
    <row r="2" customFormat="false" ht="15" hidden="false" customHeight="false" outlineLevel="0" collapsed="false">
      <c r="A2" s="2" t="str">
        <f aca="false">HYPERLINK("https://www.multicalci.com/","www.multicalci.com")</f>
        <v>www.multicalci.com</v>
      </c>
    </row>
    <row r="3" customFormat="false" ht="15" hidden="false" customHeight="false" outlineLevel="0" collapsed="false">
      <c r="A3" s="3" t="s">
        <v>271</v>
      </c>
    </row>
    <row r="4" customFormat="false" ht="15" hidden="false" customHeight="false" outlineLevel="0" collapsed="false">
      <c r="A4" s="3" t="s">
        <v>272</v>
      </c>
    </row>
    <row r="6" customFormat="false" ht="15" hidden="false" customHeight="false" outlineLevel="0" collapsed="false">
      <c r="A6" s="8" t="s">
        <v>109</v>
      </c>
      <c r="B6" s="8" t="s">
        <v>110</v>
      </c>
      <c r="C6" s="8" t="s">
        <v>73</v>
      </c>
      <c r="D6" s="8" t="s">
        <v>74</v>
      </c>
      <c r="E6" s="8" t="s">
        <v>5</v>
      </c>
      <c r="F6" s="8" t="s">
        <v>47</v>
      </c>
      <c r="G6" s="8" t="s">
        <v>111</v>
      </c>
    </row>
    <row r="7" customFormat="false" ht="15" hidden="false" customHeight="false" outlineLevel="0" collapsed="false">
      <c r="A7" s="18" t="s">
        <v>273</v>
      </c>
      <c r="B7" s="37" t="s">
        <v>150</v>
      </c>
      <c r="C7" s="31" t="n">
        <f aca="false">'EOS steps'!$D$21</f>
        <v>0.229728384538979</v>
      </c>
      <c r="D7" s="31" t="n">
        <f aca="false">'EOS steps'!$E$21</f>
        <v>0.157691944672073</v>
      </c>
      <c r="E7" s="31" t="n">
        <f aca="false">'EOS steps'!$F$21</f>
        <v>0.184416866619846</v>
      </c>
      <c r="F7" s="29" t="s">
        <v>151</v>
      </c>
      <c r="G7" s="38" t="s">
        <v>274</v>
      </c>
    </row>
    <row r="8" customFormat="false" ht="15" hidden="false" customHeight="false" outlineLevel="0" collapsed="false">
      <c r="A8" s="18" t="s">
        <v>275</v>
      </c>
      <c r="B8" s="37" t="s">
        <v>154</v>
      </c>
      <c r="C8" s="31" t="n">
        <f aca="false">'EOS steps'!$D$22</f>
        <v>4.29610596182213E-005</v>
      </c>
      <c r="D8" s="31" t="n">
        <f aca="false">'EOS steps'!$E$22</f>
        <v>2.97771696425815E-005</v>
      </c>
      <c r="E8" s="31" t="n">
        <f aca="false">'EOS steps'!$F$22</f>
        <v>2.67389635063809E-005</v>
      </c>
      <c r="F8" s="29" t="s">
        <v>155</v>
      </c>
      <c r="G8" s="38" t="s">
        <v>274</v>
      </c>
    </row>
    <row r="9" customFormat="false" ht="15" hidden="false" customHeight="false" outlineLevel="0" collapsed="false">
      <c r="A9" s="18" t="s">
        <v>276</v>
      </c>
      <c r="B9" s="37" t="s">
        <v>277</v>
      </c>
      <c r="C9" s="31" t="n">
        <f aca="false">'EOS steps'!$D$18*'EOS steps'!$D$13*'EOS steps'!$D$9/'EOS steps'!$D$10</f>
        <v>0.000128883178854664</v>
      </c>
      <c r="D9" s="31" t="n">
        <f aca="false">'EOS steps'!$E$18*'EOS steps'!$D$13*'EOS steps'!$D$9/'EOS steps'!$D$10</f>
        <v>0.00011456282564859</v>
      </c>
      <c r="E9" s="31" t="n">
        <f aca="false">'EOS steps'!$F$18*'EOS steps'!$D$13*'EOS steps'!$D$9/'EOS steps'!$D$10</f>
        <v>0.00010565028759824</v>
      </c>
      <c r="F9" s="29" t="s">
        <v>155</v>
      </c>
      <c r="G9" s="38" t="s">
        <v>278</v>
      </c>
    </row>
    <row r="10" customFormat="false" ht="15" hidden="false" customHeight="false" outlineLevel="0" collapsed="false">
      <c r="A10" s="18" t="s">
        <v>279</v>
      </c>
      <c r="B10" s="37" t="s">
        <v>280</v>
      </c>
      <c r="C10" s="31" t="n">
        <v>-0.302</v>
      </c>
      <c r="D10" s="31" t="n">
        <f aca="false">'EOS steps'!$E$11</f>
        <v>0.0115</v>
      </c>
      <c r="E10" s="31" t="n">
        <f aca="false">'EOS steps'!$F$11</f>
        <v>0.0115</v>
      </c>
      <c r="F10" s="29" t="s">
        <v>40</v>
      </c>
      <c r="G10" s="38" t="s">
        <v>281</v>
      </c>
    </row>
    <row r="11" customFormat="false" ht="15" hidden="false" customHeight="false" outlineLevel="0" collapsed="false">
      <c r="A11" s="18" t="s">
        <v>282</v>
      </c>
      <c r="B11" s="37" t="s">
        <v>283</v>
      </c>
      <c r="C11" s="31" t="n">
        <f aca="false">'EOS steps'!$D$10*1E-100</f>
        <v>4.61E-094</v>
      </c>
      <c r="D11" s="31" t="n">
        <f aca="false">'EOS steps'!$D$10*1E-100</f>
        <v>4.61E-094</v>
      </c>
      <c r="E11" s="31" t="n">
        <f aca="false">'EOS steps'!$D$10*1E-100</f>
        <v>4.61E-094</v>
      </c>
      <c r="F11" s="29" t="s">
        <v>35</v>
      </c>
      <c r="G11" s="38" t="s">
        <v>284</v>
      </c>
    </row>
    <row r="12" customFormat="false" ht="15" hidden="false" customHeight="false" outlineLevel="0" collapsed="false">
      <c r="A12" s="18" t="s">
        <v>285</v>
      </c>
      <c r="B12" s="37" t="s">
        <v>286</v>
      </c>
      <c r="C12" s="39" t="n">
        <f aca="false">'EOS steps'!$D$10</f>
        <v>4610000</v>
      </c>
      <c r="D12" s="39" t="n">
        <f aca="false">'EOS steps'!$D$10</f>
        <v>4610000</v>
      </c>
      <c r="E12" s="39" t="n">
        <f aca="false">'EOS steps'!$D$10</f>
        <v>4610000</v>
      </c>
      <c r="F12" s="29" t="s">
        <v>35</v>
      </c>
      <c r="G12" s="38" t="s">
        <v>120</v>
      </c>
    </row>
    <row r="13" customFormat="false" ht="15" hidden="false" customHeight="false" outlineLevel="0" collapsed="false">
      <c r="A13" s="18" t="s">
        <v>287</v>
      </c>
      <c r="B13" s="37" t="s">
        <v>288</v>
      </c>
      <c r="C13" s="39" t="n">
        <f aca="false">MIN(MAX('EOS steps'!$D$10*EXP(5.373*(1+$C$10)*(1-'EOS steps'!$D$9/'EOS steps'!$D$7)),$C$11*10),$C$12*0.999)</f>
        <v>4605390</v>
      </c>
      <c r="D13" s="39" t="n">
        <f aca="false">MIN(MAX('EOS steps'!$D$10*EXP(5.373*(1+$D$10)*(1-'EOS steps'!$D$9/'EOS steps'!$D$7)),$D$11*10),$D$12*0.999)</f>
        <v>4605390</v>
      </c>
      <c r="E13" s="39" t="n">
        <f aca="false">MIN(MAX('EOS steps'!$D$10*EXP(5.373*(1+$E$10)*(1-'EOS steps'!$D$9/'EOS steps'!$D$7)),$E$11*10),$E$12*0.999)</f>
        <v>4605390</v>
      </c>
      <c r="F13" s="29" t="s">
        <v>35</v>
      </c>
      <c r="G13" s="38" t="s">
        <v>289</v>
      </c>
    </row>
    <row r="14" customFormat="false" ht="15" hidden="false" customHeight="false" outlineLevel="0" collapsed="false">
      <c r="A14" s="18" t="s">
        <v>290</v>
      </c>
      <c r="B14" s="37" t="s">
        <v>291</v>
      </c>
      <c r="C14" s="31" t="n">
        <f aca="false">EXP(0.5*('EOS steps'!$D$9/'EOS steps'!$D$7-1))</f>
        <v>0.796306251893145</v>
      </c>
      <c r="D14" s="31" t="n">
        <f aca="false">EXP(0.5*('EOS steps'!$D$9/'EOS steps'!$D$7-1))</f>
        <v>0.796306251893145</v>
      </c>
      <c r="E14" s="31" t="n">
        <f aca="false">EXP(0.5*('EOS steps'!$D$9/'EOS steps'!$D$7-1))</f>
        <v>0.796306251893145</v>
      </c>
      <c r="F14" s="29" t="s">
        <v>40</v>
      </c>
      <c r="G14" s="38" t="s">
        <v>292</v>
      </c>
    </row>
    <row r="15" customFormat="false" ht="15" hidden="false" customHeight="false" outlineLevel="0" collapsed="false">
      <c r="A15" s="19" t="s">
        <v>293</v>
      </c>
      <c r="B15" s="37" t="s">
        <v>268</v>
      </c>
      <c r="C15" s="43" t="n">
        <f aca="false">AQ46</f>
        <v>4609999.99986254</v>
      </c>
      <c r="D15" s="43" t="n">
        <f aca="false">AQ75</f>
        <v>4609999.99986254</v>
      </c>
      <c r="E15" s="43" t="n">
        <f aca="false">AQ104</f>
        <v>4609999.99986254</v>
      </c>
      <c r="F15" s="29" t="s">
        <v>35</v>
      </c>
      <c r="G15" s="38" t="s">
        <v>294</v>
      </c>
    </row>
    <row r="16" customFormat="false" ht="15" hidden="false" customHeight="false" outlineLevel="0" collapsed="false">
      <c r="A16" s="18" t="s">
        <v>295</v>
      </c>
      <c r="B16" s="37"/>
      <c r="C16" s="31" t="n">
        <f aca="false">ABS(AQ46-D46)/AQ46</f>
        <v>2.98172720351183E-011</v>
      </c>
      <c r="D16" s="31" t="n">
        <f aca="false">ABS(AQ75-D75)/AQ75</f>
        <v>2.98172720351183E-011</v>
      </c>
      <c r="E16" s="31" t="n">
        <f aca="false">ABS(AQ104-D104)/AQ104</f>
        <v>2.98172720351183E-011</v>
      </c>
      <c r="F16" s="29" t="s">
        <v>40</v>
      </c>
      <c r="G16" s="38" t="s">
        <v>296</v>
      </c>
    </row>
    <row r="17" customFormat="false" ht="15" hidden="false" customHeight="false" outlineLevel="0" collapsed="false">
      <c r="A17" s="19" t="s">
        <v>297</v>
      </c>
      <c r="B17" s="37"/>
      <c r="C17" s="21" t="n">
        <f aca="false">AND('EOS steps'!$D$7&lt;'EOS steps'!$D$9,$C$16&lt;0.00000001)</f>
        <v>0</v>
      </c>
      <c r="D17" s="21" t="n">
        <f aca="false">AND('EOS steps'!$D$7&lt;'EOS steps'!$D$9,$D$16&lt;0.00000001)</f>
        <v>0</v>
      </c>
      <c r="E17" s="21" t="n">
        <f aca="false">AND('EOS steps'!$D$7&lt;'EOS steps'!$D$9,$E$16&lt;0.00000001)</f>
        <v>0</v>
      </c>
      <c r="F17" s="29"/>
      <c r="G17" s="38" t="s">
        <v>298</v>
      </c>
    </row>
    <row r="20" customFormat="false" ht="15" hidden="false" customHeight="false" outlineLevel="0" collapsed="false">
      <c r="A20" s="4" t="s">
        <v>299</v>
      </c>
    </row>
    <row r="21" customFormat="false" ht="15" hidden="false" customHeight="false" outlineLevel="0" collapsed="false">
      <c r="A21" s="8" t="s">
        <v>300</v>
      </c>
      <c r="B21" s="8" t="s">
        <v>301</v>
      </c>
      <c r="C21" s="8" t="s">
        <v>302</v>
      </c>
      <c r="D21" s="8" t="s">
        <v>303</v>
      </c>
      <c r="E21" s="8" t="s">
        <v>158</v>
      </c>
      <c r="F21" s="8" t="s">
        <v>161</v>
      </c>
      <c r="G21" s="8" t="s">
        <v>165</v>
      </c>
      <c r="H21" s="8" t="s">
        <v>168</v>
      </c>
      <c r="I21" s="8" t="s">
        <v>171</v>
      </c>
      <c r="J21" s="8" t="s">
        <v>175</v>
      </c>
      <c r="K21" s="8" t="s">
        <v>177</v>
      </c>
      <c r="L21" s="8" t="s">
        <v>180</v>
      </c>
      <c r="M21" s="8" t="s">
        <v>183</v>
      </c>
      <c r="N21" s="8" t="s">
        <v>185</v>
      </c>
      <c r="O21" s="8" t="s">
        <v>304</v>
      </c>
      <c r="P21" s="8" t="s">
        <v>190</v>
      </c>
      <c r="Q21" s="8" t="s">
        <v>192</v>
      </c>
      <c r="R21" s="8" t="s">
        <v>305</v>
      </c>
      <c r="S21" s="8" t="s">
        <v>197</v>
      </c>
      <c r="T21" s="8" t="s">
        <v>200</v>
      </c>
      <c r="U21" s="8" t="s">
        <v>197</v>
      </c>
      <c r="V21" s="8" t="s">
        <v>200</v>
      </c>
      <c r="W21" s="8" t="s">
        <v>306</v>
      </c>
      <c r="X21" s="8" t="s">
        <v>209</v>
      </c>
      <c r="Y21" s="8" t="s">
        <v>212</v>
      </c>
      <c r="Z21" s="8" t="s">
        <v>215</v>
      </c>
      <c r="AA21" s="8" t="s">
        <v>218</v>
      </c>
      <c r="AB21" s="8" t="s">
        <v>221</v>
      </c>
      <c r="AC21" s="8" t="s">
        <v>307</v>
      </c>
      <c r="AD21" s="8" t="s">
        <v>200</v>
      </c>
      <c r="AE21" s="8" t="s">
        <v>221</v>
      </c>
      <c r="AF21" s="8" t="s">
        <v>200</v>
      </c>
      <c r="AG21" s="8" t="s">
        <v>308</v>
      </c>
      <c r="AH21" s="8" t="s">
        <v>232</v>
      </c>
      <c r="AI21" s="8" t="s">
        <v>238</v>
      </c>
      <c r="AJ21" s="8" t="s">
        <v>242</v>
      </c>
      <c r="AK21" s="8" t="s">
        <v>245</v>
      </c>
      <c r="AL21" s="8" t="s">
        <v>309</v>
      </c>
      <c r="AM21" s="8" t="s">
        <v>310</v>
      </c>
      <c r="AN21" s="8" t="s">
        <v>311</v>
      </c>
      <c r="AO21" s="8" t="s">
        <v>312</v>
      </c>
      <c r="AP21" s="8" t="s">
        <v>313</v>
      </c>
      <c r="AQ21" s="8" t="s">
        <v>314</v>
      </c>
    </row>
    <row r="22" customFormat="false" ht="15" hidden="false" customHeight="false" outlineLevel="0" collapsed="false">
      <c r="A22" s="44" t="n">
        <v>1</v>
      </c>
      <c r="B22" s="45" t="n">
        <f aca="false">$C$11</f>
        <v>4.61E-094</v>
      </c>
      <c r="C22" s="45" t="n">
        <f aca="false">$C$12</f>
        <v>4610000</v>
      </c>
      <c r="D22" s="46" t="n">
        <f aca="false">$C$13</f>
        <v>4605390</v>
      </c>
      <c r="E22" s="45" t="n">
        <f aca="false">$C$7*D22/('EOS steps'!$D$13*'EOS steps'!$D$7)^2</f>
        <v>0.124932858817959</v>
      </c>
      <c r="F22" s="45" t="n">
        <f aca="false">$C$8*D22/('EOS steps'!$D$13*'EOS steps'!$D$7)</f>
        <v>0.0679890857142857</v>
      </c>
      <c r="G22" s="45" t="n">
        <f aca="false">-(1+F22)</f>
        <v>-1.06798908571429</v>
      </c>
      <c r="H22" s="45" t="n">
        <f aca="false">E22</f>
        <v>0.124932858817959</v>
      </c>
      <c r="I22" s="45" t="n">
        <f aca="false">-E22*F22</f>
        <v>-0.00849407084670499</v>
      </c>
      <c r="J22" s="45" t="n">
        <f aca="false">H22-G22^2/3</f>
        <v>-0.255267370250319</v>
      </c>
      <c r="K22" s="45" t="n">
        <f aca="false">2*G22^3/27-G22*H22/3+I22</f>
        <v>-0.0542516931875931</v>
      </c>
      <c r="L22" s="45" t="n">
        <f aca="false">K22^2/4+J22^3/27</f>
        <v>0.00011975277720295</v>
      </c>
      <c r="M22" s="45" t="n">
        <f aca="false">-K22/2-IF(K22&gt;=0,1,-1)*SQRT(MAX(L22,0))</f>
        <v>0.0380690078008222</v>
      </c>
      <c r="N22" s="45" t="n">
        <f aca="false">SIGN(M22)*ABS(M22)^(1/3)</f>
        <v>0.336400928602964</v>
      </c>
      <c r="O22" s="45" t="n">
        <f aca="false">IF(N22=0,0,N22-J22/(3*N22))</f>
        <v>0.589340549697766</v>
      </c>
      <c r="P22" s="45" t="n">
        <f aca="false">2*SQRT(MAX(-J22,0)/3)</f>
        <v>0.58340080019408</v>
      </c>
      <c r="Q22" s="45" t="n">
        <f aca="false">ACOS(IF(P22=0,0,MAX(-1,MIN(1,3*K22/(J22*P22)))))</f>
        <v>0</v>
      </c>
      <c r="R22" s="45" t="n">
        <f aca="false">P22*COS(Q22/3)</f>
        <v>0.58340080019408</v>
      </c>
      <c r="S22" s="45" t="n">
        <f aca="false">IF(L22&lt;0,R22,O22)-G22/3</f>
        <v>0.945336911602528</v>
      </c>
      <c r="T22" s="45" t="n">
        <f aca="false">IFERROR((((S22+G22)*S22+H22)*S22+I22)/((3*S22+2*G22)*S22+H22),0)</f>
        <v>0</v>
      </c>
      <c r="U22" s="45" t="n">
        <f aca="false">IF(ABS(T22)&lt;0.1*ABS(S22),S22-T22,S22)</f>
        <v>0.945336911602528</v>
      </c>
      <c r="V22" s="45" t="n">
        <f aca="false">IFERROR((((U22+G22)*U22+H22)*U22+I22)/((3*U22+2*G22)*U22+H22),0)</f>
        <v>0</v>
      </c>
      <c r="W22" s="45" t="n">
        <f aca="false">IF(ABS(V22)&lt;0.1*ABS(U22),U22-V22,U22)</f>
        <v>0.945336911602528</v>
      </c>
      <c r="X22" s="45" t="n">
        <f aca="false">-I22/W22</f>
        <v>0.00898523134181432</v>
      </c>
      <c r="Y22" s="45" t="n">
        <f aca="false">(H22-X22)/W22</f>
        <v>0.122652174111758</v>
      </c>
      <c r="Z22" s="45" t="n">
        <f aca="false">Y22^2-4*X22</f>
        <v>-0.0208973695529163</v>
      </c>
      <c r="AA22" s="47" t="n">
        <f aca="false">IF(Z22&gt;=0,(Y22+IF(Y22&gt;=0,1,-1)*SQRT(Z22))/2,0)</f>
        <v>0</v>
      </c>
      <c r="AB22" s="48" t="n">
        <f aca="false">IF(AND(Z22&gt;=0,AA22&lt;&gt;0),MIN(AA22,X22/AA22),-1)</f>
        <v>-1</v>
      </c>
      <c r="AC22" s="45" t="n">
        <f aca="false">AND(Z22&gt;=0,AB22&gt;F22,ABS(W22-AB22)&gt;=0.00005*MAX(W22,AB22))</f>
        <v>0</v>
      </c>
      <c r="AD22" s="45" t="n">
        <f aca="false">IF(AC22,IFERROR((((AB22+G22)*AB22+H22)*AB22+I22)/((3*AB22+2*G22)*AB22+H22),0),0)</f>
        <v>0</v>
      </c>
      <c r="AE22" s="48" t="n">
        <f aca="false">IF(ABS(AD22)&lt;0.1*ABS(AB22),AB22-AD22,AB22)</f>
        <v>-1</v>
      </c>
      <c r="AF22" s="45" t="n">
        <f aca="false">IF(AC22,IFERROR((((AE22+G22)*AE22+H22)*AE22+I22)/((3*AE22+2*G22)*AE22+H22),0),0)</f>
        <v>0</v>
      </c>
      <c r="AG22" s="48" t="n">
        <f aca="false">IF(ABS(AF22)&lt;0.1*ABS(AE22),AE22-AF22,AE22)</f>
        <v>-1</v>
      </c>
      <c r="AH22" s="45" t="n">
        <f aca="false">IF(AC22,MAX(W22,AG22),W22)</f>
        <v>0.945336911602528</v>
      </c>
      <c r="AI22" s="48" t="n">
        <f aca="false">IF(AC22,MIN(W22,AG22),-1)</f>
        <v>-1</v>
      </c>
      <c r="AJ22" s="45" t="n">
        <f aca="false">AH22-1-LN(AH22-F22)-E22/AH22</f>
        <v>-0.055968298700705</v>
      </c>
      <c r="AK22" s="45" t="n">
        <f aca="false">IF(AC22,AI22-1-LN(AI22-F22)-E22/AI22,0)</f>
        <v>0</v>
      </c>
      <c r="AL22" s="45" t="n">
        <f aca="false">IF(AC22,AK22-AJ22,0)</f>
        <v>0</v>
      </c>
      <c r="AM22" s="45" t="n">
        <f aca="false">IF(AC22,AL22&gt;0,AH22*'EOS steps'!$D$13*'EOS steps'!$D$7/D22&gt;=$C$9)</f>
        <v>1</v>
      </c>
      <c r="AN22" s="45" t="n">
        <f aca="false">IF(AC22,IF(AH22&gt;AI22,D22*EXP(MAX(-50,MIN(50,AL22/(AH22-AI22)))),D22),IF(AM22,D22*$C$14,D22/$C$14))</f>
        <v>3667300.84940617</v>
      </c>
      <c r="AO22" s="45" t="n">
        <f aca="false">IF(AM22,D22,B22)</f>
        <v>4605390</v>
      </c>
      <c r="AP22" s="45" t="n">
        <f aca="false">IF(AM22,C22,D22)</f>
        <v>4610000</v>
      </c>
      <c r="AQ22" s="46" t="n">
        <f aca="false">IF(AC22,IF(AND(AN22&gt;=AO22*(1-0.000000001),AN22&lt;=AP22*(1+0.000000001)),AN22,SQRT(AO22*AP22)),IF(AND(AO22&gt;$C$11,AP22&lt;$C$12),SQRT(AO22*AP22),IF(AND(AN22&gt;=AO22*(1-0.000000001),AN22&lt;=AP22*(1+0.000000001)),AN22,SQRT(AO22*AP22))))</f>
        <v>4607694.4234617</v>
      </c>
    </row>
    <row r="23" customFormat="false" ht="15" hidden="false" customHeight="false" outlineLevel="0" collapsed="false">
      <c r="A23" s="44" t="n">
        <v>2</v>
      </c>
      <c r="B23" s="45" t="n">
        <f aca="false">AO22</f>
        <v>4605390</v>
      </c>
      <c r="C23" s="45" t="n">
        <f aca="false">AP22</f>
        <v>4610000</v>
      </c>
      <c r="D23" s="46" t="n">
        <f aca="false">AQ22</f>
        <v>4607694.4234617</v>
      </c>
      <c r="E23" s="45" t="n">
        <f aca="false">$C$7*D23/('EOS steps'!$D$13*'EOS steps'!$D$7)^2</f>
        <v>0.124995372136266</v>
      </c>
      <c r="F23" s="45" t="n">
        <f aca="false">$C$8*D23/('EOS steps'!$D$13*'EOS steps'!$D$7)</f>
        <v>0.0680231057743152</v>
      </c>
      <c r="G23" s="45" t="n">
        <f aca="false">-(1+F23)</f>
        <v>-1.06802310577432</v>
      </c>
      <c r="H23" s="45" t="n">
        <f aca="false">E23</f>
        <v>0.124995372136266</v>
      </c>
      <c r="I23" s="45" t="n">
        <f aca="false">-E23*F23</f>
        <v>-0.00850257342012511</v>
      </c>
      <c r="J23" s="45" t="n">
        <f aca="false">H23-G23^2/3</f>
        <v>-0.255229079353006</v>
      </c>
      <c r="K23" s="45" t="n">
        <f aca="false">2*G23^3/27-G23*H23/3+I23</f>
        <v>-0.0542451470281963</v>
      </c>
      <c r="L23" s="45" t="n">
        <f aca="false">K23^2/4+J23^3/27</f>
        <v>0.000119852408398706</v>
      </c>
      <c r="M23" s="45" t="n">
        <f aca="false">-K23/2-IF(K23&gt;=0,1,-1)*SQRT(MAX(L23,0))</f>
        <v>0.0380702859874282</v>
      </c>
      <c r="N23" s="45" t="n">
        <f aca="false">SIGN(M23)*ABS(M23)^(1/3)</f>
        <v>0.336404693505824</v>
      </c>
      <c r="O23" s="45" t="n">
        <f aca="false">IF(N23=0,0,N23-J23/(3*N23))</f>
        <v>0.589303542501408</v>
      </c>
      <c r="P23" s="45" t="n">
        <f aca="false">2*SQRT(MAX(-J23,0)/3)</f>
        <v>0.583357042588277</v>
      </c>
      <c r="Q23" s="45" t="n">
        <f aca="false">ACOS(IF(P23=0,0,MAX(-1,MIN(1,3*K23/(J23*P23)))))</f>
        <v>0</v>
      </c>
      <c r="R23" s="45" t="n">
        <f aca="false">P23*COS(Q23/3)</f>
        <v>0.583357042588277</v>
      </c>
      <c r="S23" s="45" t="n">
        <f aca="false">IF(L23&lt;0,R23,O23)-G23/3</f>
        <v>0.94531124442618</v>
      </c>
      <c r="T23" s="45" t="n">
        <f aca="false">IFERROR((((S23+G23)*S23+H23)*S23+I23)/((3*S23+2*G23)*S23+H23),0)</f>
        <v>1.19087521055626E-016</v>
      </c>
      <c r="U23" s="45" t="n">
        <f aca="false">IF(ABS(T23)&lt;0.1*ABS(S23),S23-T23,S23)</f>
        <v>0.94531124442618</v>
      </c>
      <c r="V23" s="45" t="n">
        <f aca="false">IFERROR((((U23+G23)*U23+H23)*U23+I23)/((3*U23+2*G23)*U23+H23),0)</f>
        <v>0</v>
      </c>
      <c r="W23" s="45" t="n">
        <f aca="false">IF(ABS(V23)&lt;0.1*ABS(U23),U23-V23,U23)</f>
        <v>0.94531124442618</v>
      </c>
      <c r="X23" s="45" t="n">
        <f aca="false">-I23/W23</f>
        <v>0.00899446977940722</v>
      </c>
      <c r="Y23" s="45" t="n">
        <f aca="false">(H23-X23)/W23</f>
        <v>0.122711861348135</v>
      </c>
      <c r="Z23" s="45" t="n">
        <f aca="false">Y23^2-4*X23</f>
        <v>-0.0209196782021049</v>
      </c>
      <c r="AA23" s="47" t="n">
        <f aca="false">IF(Z23&gt;=0,(Y23+IF(Y23&gt;=0,1,-1)*SQRT(Z23))/2,0)</f>
        <v>0</v>
      </c>
      <c r="AB23" s="48" t="n">
        <f aca="false">IF(AND(Z23&gt;=0,AA23&lt;&gt;0),MIN(AA23,X23/AA23),-1)</f>
        <v>-1</v>
      </c>
      <c r="AC23" s="45" t="n">
        <f aca="false">AND(Z23&gt;=0,AB23&gt;F23,ABS(W23-AB23)&gt;=0.00005*MAX(W23,AB23))</f>
        <v>0</v>
      </c>
      <c r="AD23" s="45" t="n">
        <f aca="false">IF(AC23,IFERROR((((AB23+G23)*AB23+H23)*AB23+I23)/((3*AB23+2*G23)*AB23+H23),0),0)</f>
        <v>0</v>
      </c>
      <c r="AE23" s="48" t="n">
        <f aca="false">IF(ABS(AD23)&lt;0.1*ABS(AB23),AB23-AD23,AB23)</f>
        <v>-1</v>
      </c>
      <c r="AF23" s="45" t="n">
        <f aca="false">IF(AC23,IFERROR((((AE23+G23)*AE23+H23)*AE23+I23)/((3*AE23+2*G23)*AE23+H23),0),0)</f>
        <v>0</v>
      </c>
      <c r="AG23" s="48" t="n">
        <f aca="false">IF(ABS(AF23)&lt;0.1*ABS(AE23),AE23-AF23,AE23)</f>
        <v>-1</v>
      </c>
      <c r="AH23" s="45" t="n">
        <f aca="false">IF(AC23,MAX(W23,AG23),W23)</f>
        <v>0.94531124442618</v>
      </c>
      <c r="AI23" s="48" t="n">
        <f aca="false">IF(AC23,MIN(W23,AG23),-1)</f>
        <v>-1</v>
      </c>
      <c r="AJ23" s="45" t="n">
        <f aca="false">AH23-1-LN(AH23-F23)-E23/AH23</f>
        <v>-0.0559956503393596</v>
      </c>
      <c r="AK23" s="45" t="n">
        <f aca="false">IF(AC23,AI23-1-LN(AI23-F23)-E23/AI23,0)</f>
        <v>0</v>
      </c>
      <c r="AL23" s="45" t="n">
        <f aca="false">IF(AC23,AK23-AJ23,0)</f>
        <v>0</v>
      </c>
      <c r="AM23" s="45" t="n">
        <f aca="false">IF(AC23,AL23&gt;0,AH23*'EOS steps'!$D$13*'EOS steps'!$D$7/D23&gt;=$C$9)</f>
        <v>1</v>
      </c>
      <c r="AN23" s="45" t="n">
        <f aca="false">IF(AC23,IF(AH23&gt;AI23,D23*EXP(MAX(-50,MIN(50,AL23/(AH23-AI23)))),D23),IF(AM23,D23*$C$14,D23/$C$14))</f>
        <v>3669135.87621573</v>
      </c>
      <c r="AO23" s="45" t="n">
        <f aca="false">IF(AM23,D23,B23)</f>
        <v>4607694.4234617</v>
      </c>
      <c r="AP23" s="45" t="n">
        <f aca="false">IF(AM23,C23,D23)</f>
        <v>4610000</v>
      </c>
      <c r="AQ23" s="46" t="n">
        <f aca="false">IF(AC23,IF(AND(AN23&gt;=AO23*(1-0.000000001),AN23&lt;=AP23*(1+0.000000001)),AN23,SQRT(AO23*AP23)),IF(AND(AO23&gt;$C$11,AP23&lt;$C$12),SQRT(AO23*AP23),IF(AND(AN23&gt;=AO23*(1-0.000000001),AN23&lt;=AP23*(1+0.000000001)),AN23,SQRT(AO23*AP23))))</f>
        <v>4608847.06756022</v>
      </c>
    </row>
    <row r="24" customFormat="false" ht="15" hidden="false" customHeight="false" outlineLevel="0" collapsed="false">
      <c r="A24" s="44" t="n">
        <v>3</v>
      </c>
      <c r="B24" s="45" t="n">
        <f aca="false">AO23</f>
        <v>4607694.4234617</v>
      </c>
      <c r="C24" s="45" t="n">
        <f aca="false">AP23</f>
        <v>4610000</v>
      </c>
      <c r="D24" s="46" t="n">
        <f aca="false">AQ23</f>
        <v>4608847.06756022</v>
      </c>
      <c r="E24" s="45" t="n">
        <f aca="false">$C$7*D24/('EOS steps'!$D$13*'EOS steps'!$D$7)^2</f>
        <v>0.125026640524487</v>
      </c>
      <c r="F24" s="45" t="n">
        <f aca="false">$C$8*D24/('EOS steps'!$D$13*'EOS steps'!$D$7)</f>
        <v>0.068040122187347</v>
      </c>
      <c r="G24" s="45" t="n">
        <f aca="false">-(1+F24)</f>
        <v>-1.06804012218735</v>
      </c>
      <c r="H24" s="45" t="n">
        <f aca="false">E24</f>
        <v>0.125026640524487</v>
      </c>
      <c r="I24" s="45" t="n">
        <f aca="false">-E24*F24</f>
        <v>-0.00850682789795959</v>
      </c>
      <c r="J24" s="45" t="n">
        <f aca="false">H24-G24^2/3</f>
        <v>-0.255209927009501</v>
      </c>
      <c r="K24" s="45" t="n">
        <f aca="false">2*G24^3/27-G24*H24/3+I24</f>
        <v>-0.054241873990277</v>
      </c>
      <c r="L24" s="45" t="n">
        <f aca="false">K24^2/4+J24^3/27</f>
        <v>0.00011990225187642</v>
      </c>
      <c r="M24" s="45" t="n">
        <f aca="false">-K24/2-IF(K24&gt;=0,1,-1)*SQRT(MAX(L24,0))</f>
        <v>0.0380709256652888</v>
      </c>
      <c r="N24" s="45" t="n">
        <f aca="false">SIGN(M24)*ABS(M24)^(1/3)</f>
        <v>0.33640657764743</v>
      </c>
      <c r="O24" s="45" t="n">
        <f aca="false">IF(N24=0,0,N24-J24/(3*N24))</f>
        <v>0.589285032833259</v>
      </c>
      <c r="P24" s="45" t="n">
        <f aca="false">2*SQRT(MAX(-J24,0)/3)</f>
        <v>0.583335154674682</v>
      </c>
      <c r="Q24" s="45" t="n">
        <f aca="false">ACOS(IF(P24=0,0,MAX(-1,MIN(1,3*K24/(J24*P24)))))</f>
        <v>0</v>
      </c>
      <c r="R24" s="45" t="n">
        <f aca="false">P24*COS(Q24/3)</f>
        <v>0.583335154674682</v>
      </c>
      <c r="S24" s="45" t="n">
        <f aca="false">IF(L24&lt;0,R24,O24)-G24/3</f>
        <v>0.945298406895708</v>
      </c>
      <c r="T24" s="45" t="n">
        <f aca="false">IFERROR((((S24+G24)*S24+H24)*S24+I24)/((3*S24+2*G24)*S24+H24),0)</f>
        <v>-1.19094530024546E-016</v>
      </c>
      <c r="U24" s="45" t="n">
        <f aca="false">IF(ABS(T24)&lt;0.1*ABS(S24),S24-T24,S24)</f>
        <v>0.945298406895708</v>
      </c>
      <c r="V24" s="45" t="n">
        <f aca="false">IFERROR((((U24+G24)*U24+H24)*U24+I24)/((3*U24+2*G24)*U24+H24),0)</f>
        <v>0</v>
      </c>
      <c r="W24" s="45" t="n">
        <f aca="false">IF(ABS(V24)&lt;0.1*ABS(U24),U24-V24,U24)</f>
        <v>0.945298406895708</v>
      </c>
      <c r="X24" s="45" t="n">
        <f aca="false">-I24/W24</f>
        <v>0.00899909259965369</v>
      </c>
      <c r="Y24" s="45" t="n">
        <f aca="false">(H24-X24)/W24</f>
        <v>0.122741715291639</v>
      </c>
      <c r="Z24" s="45" t="n">
        <f aca="false">Y24^2-4*X24</f>
        <v>-0.020930841725881</v>
      </c>
      <c r="AA24" s="47" t="n">
        <f aca="false">IF(Z24&gt;=0,(Y24+IF(Y24&gt;=0,1,-1)*SQRT(Z24))/2,0)</f>
        <v>0</v>
      </c>
      <c r="AB24" s="48" t="n">
        <f aca="false">IF(AND(Z24&gt;=0,AA24&lt;&gt;0),MIN(AA24,X24/AA24),-1)</f>
        <v>-1</v>
      </c>
      <c r="AC24" s="45" t="n">
        <f aca="false">AND(Z24&gt;=0,AB24&gt;F24,ABS(W24-AB24)&gt;=0.00005*MAX(W24,AB24))</f>
        <v>0</v>
      </c>
      <c r="AD24" s="45" t="n">
        <f aca="false">IF(AC24,IFERROR((((AB24+G24)*AB24+H24)*AB24+I24)/((3*AB24+2*G24)*AB24+H24),0),0)</f>
        <v>0</v>
      </c>
      <c r="AE24" s="48" t="n">
        <f aca="false">IF(ABS(AD24)&lt;0.1*ABS(AB24),AB24-AD24,AB24)</f>
        <v>-1</v>
      </c>
      <c r="AF24" s="45" t="n">
        <f aca="false">IF(AC24,IFERROR((((AE24+G24)*AE24+H24)*AE24+I24)/((3*AE24+2*G24)*AE24+H24),0),0)</f>
        <v>0</v>
      </c>
      <c r="AG24" s="48" t="n">
        <f aca="false">IF(ABS(AF24)&lt;0.1*ABS(AE24),AE24-AF24,AE24)</f>
        <v>-1</v>
      </c>
      <c r="AH24" s="45" t="n">
        <f aca="false">IF(AC24,MAX(W24,AG24),W24)</f>
        <v>0.945298406895708</v>
      </c>
      <c r="AI24" s="48" t="n">
        <f aca="false">IF(AC24,MIN(W24,AG24),-1)</f>
        <v>-1</v>
      </c>
      <c r="AJ24" s="45" t="n">
        <f aca="false">AH24-1-LN(AH24-F24)-E24/AH24</f>
        <v>-0.0560093309743477</v>
      </c>
      <c r="AK24" s="45" t="n">
        <f aca="false">IF(AC24,AI24-1-LN(AI24-F24)-E24/AI24,0)</f>
        <v>0</v>
      </c>
      <c r="AL24" s="45" t="n">
        <f aca="false">IF(AC24,AK24-AJ24,0)</f>
        <v>0</v>
      </c>
      <c r="AM24" s="45" t="n">
        <f aca="false">IF(AC24,AL24&gt;0,AH24*'EOS steps'!$D$13*'EOS steps'!$D$7/D24&gt;=$C$9)</f>
        <v>1</v>
      </c>
      <c r="AN24" s="45" t="n">
        <f aca="false">IF(AC24,IF(AH24&gt;AI24,D24*EXP(MAX(-50,MIN(50,AL24/(AH24-AI24)))),D24),IF(AM24,D24*$C$14,D24/$C$14))</f>
        <v>3670053.73391759</v>
      </c>
      <c r="AO24" s="45" t="n">
        <f aca="false">IF(AM24,D24,B24)</f>
        <v>4608847.06756022</v>
      </c>
      <c r="AP24" s="45" t="n">
        <f aca="false">IF(AM24,C24,D24)</f>
        <v>4610000</v>
      </c>
      <c r="AQ24" s="46" t="n">
        <f aca="false">IF(AC24,IF(AND(AN24&gt;=AO24*(1-0.000000001),AN24&lt;=AP24*(1+0.000000001)),AN24,SQRT(AO24*AP24)),IF(AND(AO24&gt;$C$11,AP24&lt;$C$12),SQRT(AO24*AP24),IF(AND(AN24&gt;=AO24*(1-0.000000001),AN24&lt;=AP24*(1+0.000000001)),AN24,SQRT(AO24*AP24))))</f>
        <v>4609423.49773294</v>
      </c>
    </row>
    <row r="25" customFormat="false" ht="15" hidden="false" customHeight="false" outlineLevel="0" collapsed="false">
      <c r="A25" s="44" t="n">
        <v>4</v>
      </c>
      <c r="B25" s="45" t="n">
        <f aca="false">AO24</f>
        <v>4608847.06756022</v>
      </c>
      <c r="C25" s="45" t="n">
        <f aca="false">AP24</f>
        <v>4610000</v>
      </c>
      <c r="D25" s="46" t="n">
        <f aca="false">AQ24</f>
        <v>4609423.49773294</v>
      </c>
      <c r="E25" s="45" t="n">
        <f aca="false">$C$7*D25/('EOS steps'!$D$13*'EOS steps'!$D$7)^2</f>
        <v>0.12504227765172</v>
      </c>
      <c r="F25" s="45" t="n">
        <f aca="false">$C$8*D25/('EOS steps'!$D$13*'EOS steps'!$D$7)</f>
        <v>0.0680486319900829</v>
      </c>
      <c r="G25" s="45" t="n">
        <f aca="false">-(1+F25)</f>
        <v>-1.06804863199008</v>
      </c>
      <c r="H25" s="45" t="n">
        <f aca="false">E25</f>
        <v>0.12504227765172</v>
      </c>
      <c r="I25" s="45" t="n">
        <f aca="false">-E25*F25</f>
        <v>-0.00850895593512364</v>
      </c>
      <c r="J25" s="45" t="n">
        <f aca="false">H25-G25^2/3</f>
        <v>-0.255200349113576</v>
      </c>
      <c r="K25" s="45" t="n">
        <f aca="false">2*G25^3/27-G25*H25/3+I25</f>
        <v>-0.0542402374819514</v>
      </c>
      <c r="L25" s="45" t="n">
        <f aca="false">K25^2/4+J25^3/27</f>
        <v>0.000119927180587775</v>
      </c>
      <c r="M25" s="45" t="n">
        <f aca="false">-K25/2-IF(K25&gt;=0,1,-1)*SQRT(MAX(L25,0))</f>
        <v>0.0380712456504666</v>
      </c>
      <c r="N25" s="45" t="n">
        <f aca="false">SIGN(M25)*ABS(M25)^(1/3)</f>
        <v>0.336407520141079</v>
      </c>
      <c r="O25" s="45" t="n">
        <f aca="false">IF(N25=0,0,N25-J25/(3*N25))</f>
        <v>0.589275776481438</v>
      </c>
      <c r="P25" s="45" t="n">
        <f aca="false">2*SQRT(MAX(-J25,0)/3)</f>
        <v>0.583324208439385</v>
      </c>
      <c r="Q25" s="45" t="n">
        <f aca="false">ACOS(IF(P25=0,0,MAX(-1,MIN(1,3*K25/(J25*P25)))))</f>
        <v>0</v>
      </c>
      <c r="R25" s="45" t="n">
        <f aca="false">P25*COS(Q25/3)</f>
        <v>0.583324208439385</v>
      </c>
      <c r="S25" s="45" t="n">
        <f aca="false">IF(L25&lt;0,R25,O25)-G25/3</f>
        <v>0.945291987144799</v>
      </c>
      <c r="T25" s="45" t="n">
        <f aca="false">IFERROR((((S25+G25)*S25+H25)*S25+I25)/((3*S25+2*G25)*S25+H25),0)</f>
        <v>-1.45564265309418E-016</v>
      </c>
      <c r="U25" s="45" t="n">
        <f aca="false">IF(ABS(T25)&lt;0.1*ABS(S25),S25-T25,S25)</f>
        <v>0.945291987144799</v>
      </c>
      <c r="V25" s="45" t="n">
        <f aca="false">IFERROR((((U25+G25)*U25+H25)*U25+I25)/((3*U25+2*G25)*U25+H25),0)</f>
        <v>0</v>
      </c>
      <c r="W25" s="45" t="n">
        <f aca="false">IF(ABS(V25)&lt;0.1*ABS(U25),U25-V25,U25)</f>
        <v>0.945291987144799</v>
      </c>
      <c r="X25" s="45" t="n">
        <f aca="false">-I25/W25</f>
        <v>0.00900140491069269</v>
      </c>
      <c r="Y25" s="45" t="n">
        <f aca="false">(H25-X25)/W25</f>
        <v>0.122756644845284</v>
      </c>
      <c r="Z25" s="45" t="n">
        <f aca="false">Y25^2-4*X25</f>
        <v>-0.0209364257890995</v>
      </c>
      <c r="AA25" s="47" t="n">
        <f aca="false">IF(Z25&gt;=0,(Y25+IF(Y25&gt;=0,1,-1)*SQRT(Z25))/2,0)</f>
        <v>0</v>
      </c>
      <c r="AB25" s="48" t="n">
        <f aca="false">IF(AND(Z25&gt;=0,AA25&lt;&gt;0),MIN(AA25,X25/AA25),-1)</f>
        <v>-1</v>
      </c>
      <c r="AC25" s="45" t="n">
        <f aca="false">AND(Z25&gt;=0,AB25&gt;F25,ABS(W25-AB25)&gt;=0.00005*MAX(W25,AB25))</f>
        <v>0</v>
      </c>
      <c r="AD25" s="45" t="n">
        <f aca="false">IF(AC25,IFERROR((((AB25+G25)*AB25+H25)*AB25+I25)/((3*AB25+2*G25)*AB25+H25),0),0)</f>
        <v>0</v>
      </c>
      <c r="AE25" s="48" t="n">
        <f aca="false">IF(ABS(AD25)&lt;0.1*ABS(AB25),AB25-AD25,AB25)</f>
        <v>-1</v>
      </c>
      <c r="AF25" s="45" t="n">
        <f aca="false">IF(AC25,IFERROR((((AE25+G25)*AE25+H25)*AE25+I25)/((3*AE25+2*G25)*AE25+H25),0),0)</f>
        <v>0</v>
      </c>
      <c r="AG25" s="48" t="n">
        <f aca="false">IF(ABS(AF25)&lt;0.1*ABS(AE25),AE25-AF25,AE25)</f>
        <v>-1</v>
      </c>
      <c r="AH25" s="45" t="n">
        <f aca="false">IF(AC25,MAX(W25,AG25),W25)</f>
        <v>0.945291987144799</v>
      </c>
      <c r="AI25" s="48" t="n">
        <f aca="false">IF(AC25,MIN(W25,AG25),-1)</f>
        <v>-1</v>
      </c>
      <c r="AJ25" s="45" t="n">
        <f aca="false">AH25-1-LN(AH25-F25)-E25/AH25</f>
        <v>-0.0560161724960445</v>
      </c>
      <c r="AK25" s="45" t="n">
        <f aca="false">IF(AC25,AI25-1-LN(AI25-F25)-E25/AI25,0)</f>
        <v>0</v>
      </c>
      <c r="AL25" s="45" t="n">
        <f aca="false">IF(AC25,AK25-AJ25,0)</f>
        <v>0</v>
      </c>
      <c r="AM25" s="45" t="n">
        <f aca="false">IF(AC25,AL25&gt;0,AH25*'EOS steps'!$D$13*'EOS steps'!$D$7/D25&gt;=$C$9)</f>
        <v>1</v>
      </c>
      <c r="AN25" s="45" t="n">
        <f aca="false">IF(AC25,IF(AH25&gt;AI25,D25*EXP(MAX(-50,MIN(50,AL25/(AH25-AI25)))),D25),IF(AM25,D25*$C$14,D25/$C$14))</f>
        <v>3670512.74886791</v>
      </c>
      <c r="AO25" s="45" t="n">
        <f aca="false">IF(AM25,D25,B25)</f>
        <v>4609423.49773294</v>
      </c>
      <c r="AP25" s="45" t="n">
        <f aca="false">IF(AM25,C25,D25)</f>
        <v>4610000</v>
      </c>
      <c r="AQ25" s="46" t="n">
        <f aca="false">IF(AC25,IF(AND(AN25&gt;=AO25*(1-0.000000001),AN25&lt;=AP25*(1+0.000000001)),AN25,SQRT(AO25*AP25)),IF(AND(AO25&gt;$C$11,AP25&lt;$C$12),SQRT(AO25*AP25),IF(AND(AN25&gt;=AO25*(1-0.000000001),AN25&lt;=AP25*(1+0.000000001)),AN25,SQRT(AO25*AP25))))</f>
        <v>4609711.73985412</v>
      </c>
    </row>
    <row r="26" customFormat="false" ht="15" hidden="false" customHeight="false" outlineLevel="0" collapsed="false">
      <c r="A26" s="44" t="n">
        <v>5</v>
      </c>
      <c r="B26" s="45" t="n">
        <f aca="false">AO25</f>
        <v>4609423.49773294</v>
      </c>
      <c r="C26" s="45" t="n">
        <f aca="false">AP25</f>
        <v>4610000</v>
      </c>
      <c r="D26" s="46" t="n">
        <f aca="false">AQ25</f>
        <v>4609711.73985412</v>
      </c>
      <c r="E26" s="45" t="n">
        <f aca="false">$C$7*D26/('EOS steps'!$D$13*'EOS steps'!$D$7)^2</f>
        <v>0.125050096948724</v>
      </c>
      <c r="F26" s="45" t="n">
        <f aca="false">$C$8*D26/('EOS steps'!$D$13*'EOS steps'!$D$7)</f>
        <v>0.068052887290564</v>
      </c>
      <c r="G26" s="45" t="n">
        <f aca="false">-(1+F26)</f>
        <v>-1.06805288729056</v>
      </c>
      <c r="H26" s="45" t="n">
        <f aca="false">E26</f>
        <v>0.125050096948724</v>
      </c>
      <c r="I26" s="45" t="n">
        <f aca="false">-E26*F26</f>
        <v>-0.00851002015332561</v>
      </c>
      <c r="J26" s="45" t="n">
        <f aca="false">H26-G26^2/3</f>
        <v>-0.255195559734513</v>
      </c>
      <c r="K26" s="45" t="n">
        <f aca="false">2*G26^3/27-G26*H26/3+I26</f>
        <v>-0.0542394192304708</v>
      </c>
      <c r="L26" s="45" t="n">
        <f aca="false">K26^2/4+J26^3/27</f>
        <v>0.000119939646686896</v>
      </c>
      <c r="M26" s="45" t="n">
        <f aca="false">-K26/2-IF(K26&gt;=0,1,-1)*SQRT(MAX(L26,0))</f>
        <v>0.0380714056796309</v>
      </c>
      <c r="N26" s="45" t="n">
        <f aca="false">SIGN(M26)*ABS(M26)^(1/3)</f>
        <v>0.336407991493653</v>
      </c>
      <c r="O26" s="45" t="n">
        <f aca="false">IF(N26=0,0,N26-J26/(3*N26))</f>
        <v>0.589271147926059</v>
      </c>
      <c r="P26" s="45" t="n">
        <f aca="false">2*SQRT(MAX(-J26,0)/3)</f>
        <v>0.583318734752008</v>
      </c>
      <c r="Q26" s="45" t="n">
        <f aca="false">ACOS(IF(P26=0,0,MAX(-1,MIN(1,3*K26/(J26*P26)))))</f>
        <v>0</v>
      </c>
      <c r="R26" s="45" t="n">
        <f aca="false">P26*COS(Q26/3)</f>
        <v>0.583318734752008</v>
      </c>
      <c r="S26" s="45" t="n">
        <f aca="false">IF(L26&lt;0,R26,O26)-G26/3</f>
        <v>0.945288777022914</v>
      </c>
      <c r="T26" s="45" t="n">
        <f aca="false">IFERROR((((S26+G26)*S26+H26)*S26+I26)/((3*S26+2*G26)*S26+H26),0)</f>
        <v>0</v>
      </c>
      <c r="U26" s="45" t="n">
        <f aca="false">IF(ABS(T26)&lt;0.1*ABS(S26),S26-T26,S26)</f>
        <v>0.945288777022914</v>
      </c>
      <c r="V26" s="45" t="n">
        <f aca="false">IFERROR((((U26+G26)*U26+H26)*U26+I26)/((3*U26+2*G26)*U26+H26),0)</f>
        <v>0</v>
      </c>
      <c r="W26" s="45" t="n">
        <f aca="false">IF(ABS(V26)&lt;0.1*ABS(U26),U26-V26,U26)</f>
        <v>0.945288777022914</v>
      </c>
      <c r="X26" s="45" t="n">
        <f aca="false">-I26/W26</f>
        <v>0.00900256129151032</v>
      </c>
      <c r="Y26" s="45" t="n">
        <f aca="false">(H26-X26)/W26</f>
        <v>0.122764110267651</v>
      </c>
      <c r="Z26" s="45" t="n">
        <f aca="false">Y26^2-4*X26</f>
        <v>-0.0209392183962334</v>
      </c>
      <c r="AA26" s="47" t="n">
        <f aca="false">IF(Z26&gt;=0,(Y26+IF(Y26&gt;=0,1,-1)*SQRT(Z26))/2,0)</f>
        <v>0</v>
      </c>
      <c r="AB26" s="48" t="n">
        <f aca="false">IF(AND(Z26&gt;=0,AA26&lt;&gt;0),MIN(AA26,X26/AA26),-1)</f>
        <v>-1</v>
      </c>
      <c r="AC26" s="45" t="n">
        <f aca="false">AND(Z26&gt;=0,AB26&gt;F26,ABS(W26-AB26)&gt;=0.00005*MAX(W26,AB26))</f>
        <v>0</v>
      </c>
      <c r="AD26" s="45" t="n">
        <f aca="false">IF(AC26,IFERROR((((AB26+G26)*AB26+H26)*AB26+I26)/((3*AB26+2*G26)*AB26+H26),0),0)</f>
        <v>0</v>
      </c>
      <c r="AE26" s="48" t="n">
        <f aca="false">IF(ABS(AD26)&lt;0.1*ABS(AB26),AB26-AD26,AB26)</f>
        <v>-1</v>
      </c>
      <c r="AF26" s="45" t="n">
        <f aca="false">IF(AC26,IFERROR((((AE26+G26)*AE26+H26)*AE26+I26)/((3*AE26+2*G26)*AE26+H26),0),0)</f>
        <v>0</v>
      </c>
      <c r="AG26" s="48" t="n">
        <f aca="false">IF(ABS(AF26)&lt;0.1*ABS(AE26),AE26-AF26,AE26)</f>
        <v>-1</v>
      </c>
      <c r="AH26" s="45" t="n">
        <f aca="false">IF(AC26,MAX(W26,AG26),W26)</f>
        <v>0.945288777022914</v>
      </c>
      <c r="AI26" s="48" t="n">
        <f aca="false">IF(AC26,MIN(W26,AG26),-1)</f>
        <v>-1</v>
      </c>
      <c r="AJ26" s="45" t="n">
        <f aca="false">AH26-1-LN(AH26-F26)-E26/AH26</f>
        <v>-0.0560195935579797</v>
      </c>
      <c r="AK26" s="45" t="n">
        <f aca="false">IF(AC26,AI26-1-LN(AI26-F26)-E26/AI26,0)</f>
        <v>0</v>
      </c>
      <c r="AL26" s="45" t="n">
        <f aca="false">IF(AC26,AK26-AJ26,0)</f>
        <v>0</v>
      </c>
      <c r="AM26" s="45" t="n">
        <f aca="false">IF(AC26,AL26&gt;0,AH26*'EOS steps'!$D$13*'EOS steps'!$D$7/D26&gt;=$C$9)</f>
        <v>1</v>
      </c>
      <c r="AN26" s="45" t="n">
        <f aca="false">IF(AC26,IF(AH26&gt;AI26,D26*EXP(MAX(-50,MIN(50,AL26/(AH26-AI26)))),D26),IF(AM26,D26*$C$14,D26/$C$14))</f>
        <v>3670742.27787106</v>
      </c>
      <c r="AO26" s="45" t="n">
        <f aca="false">IF(AM26,D26,B26)</f>
        <v>4609711.73985412</v>
      </c>
      <c r="AP26" s="45" t="n">
        <f aca="false">IF(AM26,C26,D26)</f>
        <v>4610000</v>
      </c>
      <c r="AQ26" s="46" t="n">
        <f aca="false">IF(AC26,IF(AND(AN26&gt;=AO26*(1-0.000000001),AN26&lt;=AP26*(1+0.000000001)),AN26,SQRT(AO26*AP26)),IF(AND(AO26&gt;$C$11,AP26&lt;$C$12),SQRT(AO26*AP26),IF(AND(AN26&gt;=AO26*(1-0.000000001),AN26&lt;=AP26*(1+0.000000001)),AN26,SQRT(AO26*AP26))))</f>
        <v>4609855.8676739</v>
      </c>
    </row>
    <row r="27" customFormat="false" ht="15" hidden="false" customHeight="false" outlineLevel="0" collapsed="false">
      <c r="A27" s="44" t="n">
        <v>6</v>
      </c>
      <c r="B27" s="45" t="n">
        <f aca="false">AO26</f>
        <v>4609711.73985412</v>
      </c>
      <c r="C27" s="45" t="n">
        <f aca="false">AP26</f>
        <v>4610000</v>
      </c>
      <c r="D27" s="46" t="n">
        <f aca="false">AQ26</f>
        <v>4609855.8676739</v>
      </c>
      <c r="E27" s="45" t="n">
        <f aca="false">$C$7*D27/('EOS steps'!$D$13*'EOS steps'!$D$7)^2</f>
        <v>0.125054006780586</v>
      </c>
      <c r="F27" s="45" t="n">
        <f aca="false">$C$8*D27/('EOS steps'!$D$13*'EOS steps'!$D$7)</f>
        <v>0.0680550150405902</v>
      </c>
      <c r="G27" s="45" t="n">
        <f aca="false">-(1+F27)</f>
        <v>-1.06805501504059</v>
      </c>
      <c r="H27" s="45" t="n">
        <f aca="false">E27</f>
        <v>0.125054006780586</v>
      </c>
      <c r="I27" s="45" t="n">
        <f aca="false">-E27*F27</f>
        <v>-0.00851055231233886</v>
      </c>
      <c r="J27" s="45" t="n">
        <f aca="false">H27-G27^2/3</f>
        <v>-0.255193164937199</v>
      </c>
      <c r="K27" s="45" t="n">
        <f aca="false">2*G27^3/27-G27*H27/3+I27</f>
        <v>-0.0542390101054041</v>
      </c>
      <c r="L27" s="45" t="n">
        <f aca="false">K27^2/4+J27^3/27</f>
        <v>0.000119945880172357</v>
      </c>
      <c r="M27" s="45" t="n">
        <f aca="false">-K27/2-IF(K27&gt;=0,1,-1)*SQRT(MAX(L27,0))</f>
        <v>0.0380714857033586</v>
      </c>
      <c r="N27" s="45" t="n">
        <f aca="false">SIGN(M27)*ABS(M27)^(1/3)</f>
        <v>0.336408227196382</v>
      </c>
      <c r="O27" s="45" t="n">
        <f aca="false">IF(N27=0,0,N27-J27/(3*N27))</f>
        <v>0.589268833553498</v>
      </c>
      <c r="P27" s="45" t="n">
        <f aca="false">2*SQRT(MAX(-J27,0)/3)</f>
        <v>0.583315997765875</v>
      </c>
      <c r="Q27" s="45" t="n">
        <f aca="false">ACOS(IF(P27=0,0,MAX(-1,MIN(1,3*K27/(J27*P27)))))</f>
        <v>0</v>
      </c>
      <c r="R27" s="45" t="n">
        <f aca="false">P27*COS(Q27/3)</f>
        <v>0.583315997765875</v>
      </c>
      <c r="S27" s="45" t="n">
        <f aca="false">IF(L27&lt;0,R27,O27)-G27/3</f>
        <v>0.945287171900362</v>
      </c>
      <c r="T27" s="45" t="n">
        <f aca="false">IFERROR((((S27+G27)*S27+H27)*S27+I27)/((3*S27+2*G27)*S27+H27),0)</f>
        <v>0</v>
      </c>
      <c r="U27" s="45" t="n">
        <f aca="false">IF(ABS(T27)&lt;0.1*ABS(S27),S27-T27,S27)</f>
        <v>0.945287171900362</v>
      </c>
      <c r="V27" s="45" t="n">
        <f aca="false">IFERROR((((U27+G27)*U27+H27)*U27+I27)/((3*U27+2*G27)*U27+H27),0)</f>
        <v>0</v>
      </c>
      <c r="W27" s="45" t="n">
        <f aca="false">IF(ABS(V27)&lt;0.1*ABS(U27),U27-V27,U27)</f>
        <v>0.945287171900362</v>
      </c>
      <c r="X27" s="45" t="n">
        <f aca="false">-I27/W27</f>
        <v>0.00900313953825232</v>
      </c>
      <c r="Y27" s="45" t="n">
        <f aca="false">(H27-X27)/W27</f>
        <v>0.122767843140229</v>
      </c>
      <c r="Z27" s="45" t="n">
        <f aca="false">Y27^2-4*X27</f>
        <v>-0.0209406148437055</v>
      </c>
      <c r="AA27" s="47" t="n">
        <f aca="false">IF(Z27&gt;=0,(Y27+IF(Y27&gt;=0,1,-1)*SQRT(Z27))/2,0)</f>
        <v>0</v>
      </c>
      <c r="AB27" s="48" t="n">
        <f aca="false">IF(AND(Z27&gt;=0,AA27&lt;&gt;0),MIN(AA27,X27/AA27),-1)</f>
        <v>-1</v>
      </c>
      <c r="AC27" s="45" t="n">
        <f aca="false">AND(Z27&gt;=0,AB27&gt;F27,ABS(W27-AB27)&gt;=0.00005*MAX(W27,AB27))</f>
        <v>0</v>
      </c>
      <c r="AD27" s="45" t="n">
        <f aca="false">IF(AC27,IFERROR((((AB27+G27)*AB27+H27)*AB27+I27)/((3*AB27+2*G27)*AB27+H27),0),0)</f>
        <v>0</v>
      </c>
      <c r="AE27" s="48" t="n">
        <f aca="false">IF(ABS(AD27)&lt;0.1*ABS(AB27),AB27-AD27,AB27)</f>
        <v>-1</v>
      </c>
      <c r="AF27" s="45" t="n">
        <f aca="false">IF(AC27,IFERROR((((AE27+G27)*AE27+H27)*AE27+I27)/((3*AE27+2*G27)*AE27+H27),0),0)</f>
        <v>0</v>
      </c>
      <c r="AG27" s="48" t="n">
        <f aca="false">IF(ABS(AF27)&lt;0.1*ABS(AE27),AE27-AF27,AE27)</f>
        <v>-1</v>
      </c>
      <c r="AH27" s="45" t="n">
        <f aca="false">IF(AC27,MAX(W27,AG27),W27)</f>
        <v>0.945287171900362</v>
      </c>
      <c r="AI27" s="48" t="n">
        <f aca="false">IF(AC27,MIN(W27,AG27),-1)</f>
        <v>-1</v>
      </c>
      <c r="AJ27" s="45" t="n">
        <f aca="false">AH27-1-LN(AH27-F27)-E27/AH27</f>
        <v>-0.0560213041642234</v>
      </c>
      <c r="AK27" s="45" t="n">
        <f aca="false">IF(AC27,AI27-1-LN(AI27-F27)-E27/AI27,0)</f>
        <v>0</v>
      </c>
      <c r="AL27" s="45" t="n">
        <f aca="false">IF(AC27,AK27-AJ27,0)</f>
        <v>0</v>
      </c>
      <c r="AM27" s="45" t="n">
        <f aca="false">IF(AC27,AL27&gt;0,AH27*'EOS steps'!$D$13*'EOS steps'!$D$7/D27&gt;=$C$9)</f>
        <v>1</v>
      </c>
      <c r="AN27" s="45" t="n">
        <f aca="false">IF(AC27,IF(AH27&gt;AI27,D27*EXP(MAX(-50,MIN(50,AL27/(AH27-AI27)))),D27),IF(AM27,D27*$C$14,D27/$C$14))</f>
        <v>3670857.04775502</v>
      </c>
      <c r="AO27" s="45" t="n">
        <f aca="false">IF(AM27,D27,B27)</f>
        <v>4609855.8676739</v>
      </c>
      <c r="AP27" s="45" t="n">
        <f aca="false">IF(AM27,C27,D27)</f>
        <v>4610000</v>
      </c>
      <c r="AQ27" s="46" t="n">
        <f aca="false">IF(AC27,IF(AND(AN27&gt;=AO27*(1-0.000000001),AN27&lt;=AP27*(1+0.000000001)),AN27,SQRT(AO27*AP27)),IF(AND(AO27&gt;$C$11,AP27&lt;$C$12),SQRT(AO27*AP27),IF(AND(AN27&gt;=AO27*(1-0.000000001),AN27&lt;=AP27*(1+0.000000001)),AN27,SQRT(AO27*AP27))))</f>
        <v>4609927.93327365</v>
      </c>
    </row>
    <row r="28" customFormat="false" ht="15" hidden="false" customHeight="false" outlineLevel="0" collapsed="false">
      <c r="A28" s="44" t="n">
        <v>7</v>
      </c>
      <c r="B28" s="45" t="n">
        <f aca="false">AO27</f>
        <v>4609855.8676739</v>
      </c>
      <c r="C28" s="45" t="n">
        <f aca="false">AP27</f>
        <v>4610000</v>
      </c>
      <c r="D28" s="46" t="n">
        <f aca="false">AQ27</f>
        <v>4609927.93327365</v>
      </c>
      <c r="E28" s="45" t="n">
        <f aca="false">$C$7*D28/('EOS steps'!$D$13*'EOS steps'!$D$7)^2</f>
        <v>0.125055961742359</v>
      </c>
      <c r="F28" s="45" t="n">
        <f aca="false">$C$8*D28/('EOS steps'!$D$13*'EOS steps'!$D$7)</f>
        <v>0.0680560789405506</v>
      </c>
      <c r="G28" s="45" t="n">
        <f aca="false">-(1+F28)</f>
        <v>-1.06805607894055</v>
      </c>
      <c r="H28" s="45" t="n">
        <f aca="false">E28</f>
        <v>0.125055961742359</v>
      </c>
      <c r="I28" s="45" t="n">
        <f aca="false">-E28*F28</f>
        <v>-0.00851081840432447</v>
      </c>
      <c r="J28" s="45" t="n">
        <f aca="false">H28-G28^2/3</f>
        <v>-0.255191967511595</v>
      </c>
      <c r="K28" s="45" t="n">
        <f aca="false">2*G28^3/27-G28*H28/3+I28</f>
        <v>-0.0542388055430394</v>
      </c>
      <c r="L28" s="45" t="n">
        <f aca="false">K28^2/4+J28^3/27</f>
        <v>0.000119948997024066</v>
      </c>
      <c r="M28" s="45" t="n">
        <f aca="false">-K28/2-IF(K28&gt;=0,1,-1)*SQRT(MAX(L28,0))</f>
        <v>0.0380715257175091</v>
      </c>
      <c r="N28" s="45" t="n">
        <f aca="false">SIGN(M28)*ABS(M28)^(1/3)</f>
        <v>0.336408345054358</v>
      </c>
      <c r="O28" s="45" t="n">
        <f aca="false">IF(N28=0,0,N28-J28/(3*N28))</f>
        <v>0.5892676763435</v>
      </c>
      <c r="P28" s="45" t="n">
        <f aca="false">2*SQRT(MAX(-J28,0)/3)</f>
        <v>0.583314629237196</v>
      </c>
      <c r="Q28" s="45" t="n">
        <f aca="false">ACOS(IF(P28=0,0,MAX(-1,MIN(1,3*K28/(J28*P28)))))</f>
        <v>0</v>
      </c>
      <c r="R28" s="45" t="n">
        <f aca="false">P28*COS(Q28/3)</f>
        <v>0.583314629237196</v>
      </c>
      <c r="S28" s="45" t="n">
        <f aca="false">IF(L28&lt;0,R28,O28)-G28/3</f>
        <v>0.945286369323683</v>
      </c>
      <c r="T28" s="45" t="n">
        <f aca="false">IFERROR((((S28+G28)*S28+H28)*S28+I28)/((3*S28+2*G28)*S28+H28),0)</f>
        <v>0</v>
      </c>
      <c r="U28" s="45" t="n">
        <f aca="false">IF(ABS(T28)&lt;0.1*ABS(S28),S28-T28,S28)</f>
        <v>0.945286369323683</v>
      </c>
      <c r="V28" s="45" t="n">
        <f aca="false">IFERROR((((U28+G28)*U28+H28)*U28+I28)/((3*U28+2*G28)*U28+H28),0)</f>
        <v>0</v>
      </c>
      <c r="W28" s="45" t="n">
        <f aca="false">IF(ABS(V28)&lt;0.1*ABS(U28),U28-V28,U28)</f>
        <v>0.945286369323683</v>
      </c>
      <c r="X28" s="45" t="n">
        <f aca="false">-I28/W28</f>
        <v>0.0090034286757077</v>
      </c>
      <c r="Y28" s="45" t="n">
        <f aca="false">(H28-X28)/W28</f>
        <v>0.122769709616867</v>
      </c>
      <c r="Z28" s="45" t="n">
        <f aca="false">Y28^2-4*X28</f>
        <v>-0.0209413131034209</v>
      </c>
      <c r="AA28" s="47" t="n">
        <f aca="false">IF(Z28&gt;=0,(Y28+IF(Y28&gt;=0,1,-1)*SQRT(Z28))/2,0)</f>
        <v>0</v>
      </c>
      <c r="AB28" s="48" t="n">
        <f aca="false">IF(AND(Z28&gt;=0,AA28&lt;&gt;0),MIN(AA28,X28/AA28),-1)</f>
        <v>-1</v>
      </c>
      <c r="AC28" s="45" t="n">
        <f aca="false">AND(Z28&gt;=0,AB28&gt;F28,ABS(W28-AB28)&gt;=0.00005*MAX(W28,AB28))</f>
        <v>0</v>
      </c>
      <c r="AD28" s="45" t="n">
        <f aca="false">IF(AC28,IFERROR((((AB28+G28)*AB28+H28)*AB28+I28)/((3*AB28+2*G28)*AB28+H28),0),0)</f>
        <v>0</v>
      </c>
      <c r="AE28" s="48" t="n">
        <f aca="false">IF(ABS(AD28)&lt;0.1*ABS(AB28),AB28-AD28,AB28)</f>
        <v>-1</v>
      </c>
      <c r="AF28" s="45" t="n">
        <f aca="false">IF(AC28,IFERROR((((AE28+G28)*AE28+H28)*AE28+I28)/((3*AE28+2*G28)*AE28+H28),0),0)</f>
        <v>0</v>
      </c>
      <c r="AG28" s="48" t="n">
        <f aca="false">IF(ABS(AF28)&lt;0.1*ABS(AE28),AE28-AF28,AE28)</f>
        <v>-1</v>
      </c>
      <c r="AH28" s="45" t="n">
        <f aca="false">IF(AC28,MAX(W28,AG28),W28)</f>
        <v>0.945286369323683</v>
      </c>
      <c r="AI28" s="48" t="n">
        <f aca="false">IF(AC28,MIN(W28,AG28),-1)</f>
        <v>-1</v>
      </c>
      <c r="AJ28" s="45" t="n">
        <f aca="false">AH28-1-LN(AH28-F28)-E28/AH28</f>
        <v>-0.0560221594861649</v>
      </c>
      <c r="AK28" s="45" t="n">
        <f aca="false">IF(AC28,AI28-1-LN(AI28-F28)-E28/AI28,0)</f>
        <v>0</v>
      </c>
      <c r="AL28" s="45" t="n">
        <f aca="false">IF(AC28,AK28-AJ28,0)</f>
        <v>0</v>
      </c>
      <c r="AM28" s="45" t="n">
        <f aca="false">IF(AC28,AL28&gt;0,AH28*'EOS steps'!$D$13*'EOS steps'!$D$7/D28&gt;=$C$9)</f>
        <v>1</v>
      </c>
      <c r="AN28" s="45" t="n">
        <f aca="false">IF(AC28,IF(AH28&gt;AI28,D28*EXP(MAX(-50,MIN(50,AL28/(AH28-AI28)))),D28),IF(AM28,D28*$C$14,D28/$C$14))</f>
        <v>3670914.43404265</v>
      </c>
      <c r="AO28" s="45" t="n">
        <f aca="false">IF(AM28,D28,B28)</f>
        <v>4609927.93327365</v>
      </c>
      <c r="AP28" s="45" t="n">
        <f aca="false">IF(AM28,C28,D28)</f>
        <v>4610000</v>
      </c>
      <c r="AQ28" s="46" t="n">
        <f aca="false">IF(AC28,IF(AND(AN28&gt;=AO28*(1-0.000000001),AN28&lt;=AP28*(1+0.000000001)),AN28,SQRT(AO28*AP28)),IF(AND(AO28&gt;$C$11,AP28&lt;$C$12),SQRT(AO28*AP28),IF(AND(AN28&gt;=AO28*(1-0.000000001),AN28&lt;=AP28*(1+0.000000001)),AN28,SQRT(AO28*AP28))))</f>
        <v>4609963.966496</v>
      </c>
    </row>
    <row r="29" customFormat="false" ht="15" hidden="false" customHeight="false" outlineLevel="0" collapsed="false">
      <c r="A29" s="44" t="n">
        <v>8</v>
      </c>
      <c r="B29" s="45" t="n">
        <f aca="false">AO28</f>
        <v>4609927.93327365</v>
      </c>
      <c r="C29" s="45" t="n">
        <f aca="false">AP28</f>
        <v>4610000</v>
      </c>
      <c r="D29" s="46" t="n">
        <f aca="false">AQ28</f>
        <v>4609963.966496</v>
      </c>
      <c r="E29" s="45" t="n">
        <f aca="false">$C$7*D29/('EOS steps'!$D$13*'EOS steps'!$D$7)^2</f>
        <v>0.125056939234706</v>
      </c>
      <c r="F29" s="45" t="n">
        <f aca="false">$C$8*D29/('EOS steps'!$D$13*'EOS steps'!$D$7)</f>
        <v>0.0680566108967677</v>
      </c>
      <c r="G29" s="45" t="n">
        <f aca="false">-(1+F29)</f>
        <v>-1.06805661089677</v>
      </c>
      <c r="H29" s="45" t="n">
        <f aca="false">E29</f>
        <v>0.125056939234706</v>
      </c>
      <c r="I29" s="45" t="n">
        <f aca="false">-E29*F29</f>
        <v>-0.00851095145343713</v>
      </c>
      <c r="J29" s="45" t="n">
        <f aca="false">H29-G29^2/3</f>
        <v>-0.255191368792057</v>
      </c>
      <c r="K29" s="45" t="n">
        <f aca="false">2*G29^3/27-G29*H29/3+I29</f>
        <v>-0.0542387032618993</v>
      </c>
      <c r="L29" s="45" t="n">
        <f aca="false">K29^2/4+J29^3/27</f>
        <v>0.000119950555477167</v>
      </c>
      <c r="M29" s="45" t="n">
        <f aca="false">-K29/2-IF(K29&gt;=0,1,-1)*SQRT(MAX(L29,0))</f>
        <v>0.0380715457251559</v>
      </c>
      <c r="N29" s="45" t="n">
        <f aca="false">SIGN(M29)*ABS(M29)^(1/3)</f>
        <v>0.336408403984999</v>
      </c>
      <c r="O29" s="45" t="n">
        <f aca="false">IF(N29=0,0,N29-J29/(3*N29))</f>
        <v>0.589267097732571</v>
      </c>
      <c r="P29" s="45" t="n">
        <f aca="false">2*SQRT(MAX(-J29,0)/3)</f>
        <v>0.583313944963953</v>
      </c>
      <c r="Q29" s="45" t="n">
        <f aca="false">ACOS(IF(P29=0,0,MAX(-1,MIN(1,3*K29/(J29*P29)))))</f>
        <v>0</v>
      </c>
      <c r="R29" s="45" t="n">
        <f aca="false">P29*COS(Q29/3)</f>
        <v>0.583313944963953</v>
      </c>
      <c r="S29" s="45" t="n">
        <f aca="false">IF(L29&lt;0,R29,O29)-G29/3</f>
        <v>0.945285968031493</v>
      </c>
      <c r="T29" s="45" t="n">
        <f aca="false">IFERROR((((S29+G29)*S29+H29)*S29+I29)/((3*S29+2*G29)*S29+H29),0)</f>
        <v>0</v>
      </c>
      <c r="U29" s="45" t="n">
        <f aca="false">IF(ABS(T29)&lt;0.1*ABS(S29),S29-T29,S29)</f>
        <v>0.945285968031493</v>
      </c>
      <c r="V29" s="45" t="n">
        <f aca="false">IFERROR((((U29+G29)*U29+H29)*U29+I29)/((3*U29+2*G29)*U29+H29),0)</f>
        <v>0</v>
      </c>
      <c r="W29" s="45" t="n">
        <f aca="false">IF(ABS(V29)&lt;0.1*ABS(U29),U29-V29,U29)</f>
        <v>0.945285968031493</v>
      </c>
      <c r="X29" s="45" t="n">
        <f aca="false">-I29/W29</f>
        <v>0.00900357324795662</v>
      </c>
      <c r="Y29" s="45" t="n">
        <f aca="false">(H29-X29)/W29</f>
        <v>0.122770642865274</v>
      </c>
      <c r="Z29" s="45" t="n">
        <f aca="false">Y29^2-4*X29</f>
        <v>-0.0209416622422737</v>
      </c>
      <c r="AA29" s="47" t="n">
        <f aca="false">IF(Z29&gt;=0,(Y29+IF(Y29&gt;=0,1,-1)*SQRT(Z29))/2,0)</f>
        <v>0</v>
      </c>
      <c r="AB29" s="48" t="n">
        <f aca="false">IF(AND(Z29&gt;=0,AA29&lt;&gt;0),MIN(AA29,X29/AA29),-1)</f>
        <v>-1</v>
      </c>
      <c r="AC29" s="45" t="n">
        <f aca="false">AND(Z29&gt;=0,AB29&gt;F29,ABS(W29-AB29)&gt;=0.00005*MAX(W29,AB29))</f>
        <v>0</v>
      </c>
      <c r="AD29" s="45" t="n">
        <f aca="false">IF(AC29,IFERROR((((AB29+G29)*AB29+H29)*AB29+I29)/((3*AB29+2*G29)*AB29+H29),0),0)</f>
        <v>0</v>
      </c>
      <c r="AE29" s="48" t="n">
        <f aca="false">IF(ABS(AD29)&lt;0.1*ABS(AB29),AB29-AD29,AB29)</f>
        <v>-1</v>
      </c>
      <c r="AF29" s="45" t="n">
        <f aca="false">IF(AC29,IFERROR((((AE29+G29)*AE29+H29)*AE29+I29)/((3*AE29+2*G29)*AE29+H29),0),0)</f>
        <v>0</v>
      </c>
      <c r="AG29" s="48" t="n">
        <f aca="false">IF(ABS(AF29)&lt;0.1*ABS(AE29),AE29-AF29,AE29)</f>
        <v>-1</v>
      </c>
      <c r="AH29" s="45" t="n">
        <f aca="false">IF(AC29,MAX(W29,AG29),W29)</f>
        <v>0.945285968031493</v>
      </c>
      <c r="AI29" s="48" t="n">
        <f aca="false">IF(AC29,MIN(W29,AG29),-1)</f>
        <v>-1</v>
      </c>
      <c r="AJ29" s="45" t="n">
        <f aca="false">AH29-1-LN(AH29-F29)-E29/AH29</f>
        <v>-0.0560225871518406</v>
      </c>
      <c r="AK29" s="45" t="n">
        <f aca="false">IF(AC29,AI29-1-LN(AI29-F29)-E29/AI29,0)</f>
        <v>0</v>
      </c>
      <c r="AL29" s="45" t="n">
        <f aca="false">IF(AC29,AK29-AJ29,0)</f>
        <v>0</v>
      </c>
      <c r="AM29" s="45" t="n">
        <f aca="false">IF(AC29,AL29&gt;0,AH29*'EOS steps'!$D$13*'EOS steps'!$D$7/D29&gt;=$C$9)</f>
        <v>1</v>
      </c>
      <c r="AN29" s="45" t="n">
        <f aca="false">IF(AC29,IF(AH29&gt;AI29,D29*EXP(MAX(-50,MIN(50,AL29/(AH29-AI29)))),D29),IF(AM29,D29*$C$14,D29/$C$14))</f>
        <v>3670943.12752288</v>
      </c>
      <c r="AO29" s="45" t="n">
        <f aca="false">IF(AM29,D29,B29)</f>
        <v>4609963.966496</v>
      </c>
      <c r="AP29" s="45" t="n">
        <f aca="false">IF(AM29,C29,D29)</f>
        <v>4610000</v>
      </c>
      <c r="AQ29" s="46" t="n">
        <f aca="false">IF(AC29,IF(AND(AN29&gt;=AO29*(1-0.000000001),AN29&lt;=AP29*(1+0.000000001)),AN29,SQRT(AO29*AP29)),IF(AND(AO29&gt;$C$11,AP29&lt;$C$12),SQRT(AO29*AP29),IF(AND(AN29&gt;=AO29*(1-0.000000001),AN29&lt;=AP29*(1+0.000000001)),AN29,SQRT(AO29*AP29))))</f>
        <v>4609981.98321279</v>
      </c>
    </row>
    <row r="30" customFormat="false" ht="15" hidden="false" customHeight="false" outlineLevel="0" collapsed="false">
      <c r="A30" s="44" t="n">
        <v>9</v>
      </c>
      <c r="B30" s="45" t="n">
        <f aca="false">AO29</f>
        <v>4609963.966496</v>
      </c>
      <c r="C30" s="45" t="n">
        <f aca="false">AP29</f>
        <v>4610000</v>
      </c>
      <c r="D30" s="46" t="n">
        <f aca="false">AQ29</f>
        <v>4609981.98321279</v>
      </c>
      <c r="E30" s="45" t="n">
        <f aca="false">$C$7*D30/('EOS steps'!$D$13*'EOS steps'!$D$7)^2</f>
        <v>0.125057427983745</v>
      </c>
      <c r="F30" s="45" t="n">
        <f aca="false">$C$8*D30/('EOS steps'!$D$13*'EOS steps'!$D$7)</f>
        <v>0.0680568768764355</v>
      </c>
      <c r="G30" s="45" t="n">
        <f aca="false">-(1+F30)</f>
        <v>-1.06805687687644</v>
      </c>
      <c r="H30" s="45" t="n">
        <f aca="false">E30</f>
        <v>0.125057427983745</v>
      </c>
      <c r="I30" s="45" t="n">
        <f aca="false">-E30*F30</f>
        <v>-0.00851101797877344</v>
      </c>
      <c r="J30" s="45" t="n">
        <f aca="false">H30-G30^2/3</f>
        <v>-0.255191069430604</v>
      </c>
      <c r="K30" s="45" t="n">
        <f aca="false">2*G30^3/27-G30*H30/3+I30</f>
        <v>-0.0542386521213398</v>
      </c>
      <c r="L30" s="45" t="n">
        <f aca="false">K30^2/4+J30^3/27</f>
        <v>0.000119951334710528</v>
      </c>
      <c r="M30" s="45" t="n">
        <f aca="false">-K30/2-IF(K30&gt;=0,1,-1)*SQRT(MAX(L30,0))</f>
        <v>0.0380715557291223</v>
      </c>
      <c r="N30" s="45" t="n">
        <f aca="false">SIGN(M30)*ABS(M30)^(1/3)</f>
        <v>0.336408433450732</v>
      </c>
      <c r="O30" s="45" t="n">
        <f aca="false">IF(N30=0,0,N30-J30/(3*N30))</f>
        <v>0.589266808425624</v>
      </c>
      <c r="P30" s="45" t="n">
        <f aca="false">2*SQRT(MAX(-J30,0)/3)</f>
        <v>0.583313602825105</v>
      </c>
      <c r="Q30" s="45" t="n">
        <f aca="false">ACOS(IF(P30=0,0,MAX(-1,MIN(1,3*K30/(J30*P30)))))</f>
        <v>0</v>
      </c>
      <c r="R30" s="45" t="n">
        <f aca="false">P30*COS(Q30/3)</f>
        <v>0.583313602825105</v>
      </c>
      <c r="S30" s="45" t="n">
        <f aca="false">IF(L30&lt;0,R30,O30)-G30/3</f>
        <v>0.945285767384436</v>
      </c>
      <c r="T30" s="45" t="n">
        <f aca="false">IFERROR((((S30+G30)*S30+H30)*S30+I30)/((3*S30+2*G30)*S30+H30),0)</f>
        <v>0</v>
      </c>
      <c r="U30" s="45" t="n">
        <f aca="false">IF(ABS(T30)&lt;0.1*ABS(S30),S30-T30,S30)</f>
        <v>0.945285767384436</v>
      </c>
      <c r="V30" s="45" t="n">
        <f aca="false">IFERROR((((U30+G30)*U30+H30)*U30+I30)/((3*U30+2*G30)*U30+H30),0)</f>
        <v>0</v>
      </c>
      <c r="W30" s="45" t="n">
        <f aca="false">IF(ABS(V30)&lt;0.1*ABS(U30),U30-V30,U30)</f>
        <v>0.945285767384436</v>
      </c>
      <c r="X30" s="45" t="n">
        <f aca="false">-I30/W30</f>
        <v>0.0090036455349614</v>
      </c>
      <c r="Y30" s="45" t="n">
        <f aca="false">(H30-X30)/W30</f>
        <v>0.122771109492</v>
      </c>
      <c r="Z30" s="45" t="n">
        <f aca="false">Y30^2-4*X30</f>
        <v>-0.020941836813949</v>
      </c>
      <c r="AA30" s="47" t="n">
        <f aca="false">IF(Z30&gt;=0,(Y30+IF(Y30&gt;=0,1,-1)*SQRT(Z30))/2,0)</f>
        <v>0</v>
      </c>
      <c r="AB30" s="48" t="n">
        <f aca="false">IF(AND(Z30&gt;=0,AA30&lt;&gt;0),MIN(AA30,X30/AA30),-1)</f>
        <v>-1</v>
      </c>
      <c r="AC30" s="45" t="n">
        <f aca="false">AND(Z30&gt;=0,AB30&gt;F30,ABS(W30-AB30)&gt;=0.00005*MAX(W30,AB30))</f>
        <v>0</v>
      </c>
      <c r="AD30" s="45" t="n">
        <f aca="false">IF(AC30,IFERROR((((AB30+G30)*AB30+H30)*AB30+I30)/((3*AB30+2*G30)*AB30+H30),0),0)</f>
        <v>0</v>
      </c>
      <c r="AE30" s="48" t="n">
        <f aca="false">IF(ABS(AD30)&lt;0.1*ABS(AB30),AB30-AD30,AB30)</f>
        <v>-1</v>
      </c>
      <c r="AF30" s="45" t="n">
        <f aca="false">IF(AC30,IFERROR((((AE30+G30)*AE30+H30)*AE30+I30)/((3*AE30+2*G30)*AE30+H30),0),0)</f>
        <v>0</v>
      </c>
      <c r="AG30" s="48" t="n">
        <f aca="false">IF(ABS(AF30)&lt;0.1*ABS(AE30),AE30-AF30,AE30)</f>
        <v>-1</v>
      </c>
      <c r="AH30" s="45" t="n">
        <f aca="false">IF(AC30,MAX(W30,AG30),W30)</f>
        <v>0.945285767384436</v>
      </c>
      <c r="AI30" s="48" t="n">
        <f aca="false">IF(AC30,MIN(W30,AG30),-1)</f>
        <v>-1</v>
      </c>
      <c r="AJ30" s="45" t="n">
        <f aca="false">AH30-1-LN(AH30-F30)-E30/AH30</f>
        <v>-0.0560228009858546</v>
      </c>
      <c r="AK30" s="45" t="n">
        <f aca="false">IF(AC30,AI30-1-LN(AI30-F30)-E30/AI30,0)</f>
        <v>0</v>
      </c>
      <c r="AL30" s="45" t="n">
        <f aca="false">IF(AC30,AK30-AJ30,0)</f>
        <v>0</v>
      </c>
      <c r="AM30" s="45" t="n">
        <f aca="false">IF(AC30,AL30&gt;0,AH30*'EOS steps'!$D$13*'EOS steps'!$D$7/D30&gt;=$C$9)</f>
        <v>1</v>
      </c>
      <c r="AN30" s="45" t="n">
        <f aca="false">IF(AC30,IF(AH30&gt;AI30,D30*EXP(MAX(-50,MIN(50,AL30/(AH30-AI30)))),D30),IF(AM30,D30*$C$14,D30/$C$14))</f>
        <v>3670957.47434711</v>
      </c>
      <c r="AO30" s="45" t="n">
        <f aca="false">IF(AM30,D30,B30)</f>
        <v>4609981.98321279</v>
      </c>
      <c r="AP30" s="45" t="n">
        <f aca="false">IF(AM30,C30,D30)</f>
        <v>4610000</v>
      </c>
      <c r="AQ30" s="46" t="n">
        <f aca="false">IF(AC30,IF(AND(AN30&gt;=AO30*(1-0.000000001),AN30&lt;=AP30*(1+0.000000001)),AN30,SQRT(AO30*AP30)),IF(AND(AO30&gt;$C$11,AP30&lt;$C$12),SQRT(AO30*AP30),IF(AND(AN30&gt;=AO30*(1-0.000000001),AN30&lt;=AP30*(1+0.000000001)),AN30,SQRT(AO30*AP30))))</f>
        <v>4609990.9915976</v>
      </c>
    </row>
    <row r="31" customFormat="false" ht="15" hidden="false" customHeight="false" outlineLevel="0" collapsed="false">
      <c r="A31" s="44" t="n">
        <v>10</v>
      </c>
      <c r="B31" s="45" t="n">
        <f aca="false">AO30</f>
        <v>4609981.98321279</v>
      </c>
      <c r="C31" s="45" t="n">
        <f aca="false">AP30</f>
        <v>4610000</v>
      </c>
      <c r="D31" s="46" t="n">
        <f aca="false">AQ30</f>
        <v>4609990.9915976</v>
      </c>
      <c r="E31" s="45" t="n">
        <f aca="false">$C$7*D31/('EOS steps'!$D$13*'EOS steps'!$D$7)^2</f>
        <v>0.125057672358981</v>
      </c>
      <c r="F31" s="45" t="n">
        <f aca="false">$C$8*D31/('EOS steps'!$D$13*'EOS steps'!$D$7)</f>
        <v>0.0680570098666593</v>
      </c>
      <c r="G31" s="45" t="n">
        <f aca="false">-(1+F31)</f>
        <v>-1.06805700986666</v>
      </c>
      <c r="H31" s="45" t="n">
        <f aca="false">E31</f>
        <v>0.125057672358981</v>
      </c>
      <c r="I31" s="45" t="n">
        <f aca="false">-E31*F31</f>
        <v>-0.00851105124163659</v>
      </c>
      <c r="J31" s="45" t="n">
        <f aca="false">H31-G31^2/3</f>
        <v>-0.255190919749456</v>
      </c>
      <c r="K31" s="45" t="n">
        <f aca="false">2*G31^3/27-G31*H31/3+I31</f>
        <v>-0.0542386265510628</v>
      </c>
      <c r="L31" s="45" t="n">
        <f aca="false">K31^2/4+J31^3/27</f>
        <v>0.000119951724328913</v>
      </c>
      <c r="M31" s="45" t="n">
        <f aca="false">-K31/2-IF(K31&gt;=0,1,-1)*SQRT(MAX(L31,0))</f>
        <v>0.0380715607311413</v>
      </c>
      <c r="N31" s="45" t="n">
        <f aca="false">SIGN(M31)*ABS(M31)^(1/3)</f>
        <v>0.336408448183702</v>
      </c>
      <c r="O31" s="45" t="n">
        <f aca="false">IF(N31=0,0,N31-J31/(3*N31))</f>
        <v>0.58926666377178</v>
      </c>
      <c r="P31" s="45" t="n">
        <f aca="false">2*SQRT(MAX(-J31,0)/3)</f>
        <v>0.583313431755125</v>
      </c>
      <c r="Q31" s="45" t="n">
        <f aca="false">ACOS(IF(P31=0,0,MAX(-1,MIN(1,3*K31/(J31*P31)))))</f>
        <v>0</v>
      </c>
      <c r="R31" s="45" t="n">
        <f aca="false">P31*COS(Q31/3)</f>
        <v>0.583313431755125</v>
      </c>
      <c r="S31" s="45" t="n">
        <f aca="false">IF(L31&lt;0,R31,O31)-G31/3</f>
        <v>0.945285667060666</v>
      </c>
      <c r="T31" s="45" t="n">
        <f aca="false">IFERROR((((S31+G31)*S31+H31)*S31+I31)/((3*S31+2*G31)*S31+H31),0)</f>
        <v>6.39619092540487E-017</v>
      </c>
      <c r="U31" s="45" t="n">
        <f aca="false">IF(ABS(T31)&lt;0.1*ABS(S31),S31-T31,S31)</f>
        <v>0.945285667060666</v>
      </c>
      <c r="V31" s="45" t="n">
        <f aca="false">IFERROR((((U31+G31)*U31+H31)*U31+I31)/((3*U31+2*G31)*U31+H31),0)</f>
        <v>-5.51395769431454E-017</v>
      </c>
      <c r="W31" s="45" t="n">
        <f aca="false">IF(ABS(V31)&lt;0.1*ABS(U31),U31-V31,U31)</f>
        <v>0.945285667060666</v>
      </c>
      <c r="X31" s="45" t="n">
        <f aca="false">-I31/W31</f>
        <v>0.00900368167868388</v>
      </c>
      <c r="Y31" s="45" t="n">
        <f aca="false">(H31-X31)/W31</f>
        <v>0.122771342805993</v>
      </c>
      <c r="Z31" s="45" t="n">
        <f aca="false">Y31^2-4*X31</f>
        <v>-0.0209419241003489</v>
      </c>
      <c r="AA31" s="47" t="n">
        <f aca="false">IF(Z31&gt;=0,(Y31+IF(Y31&gt;=0,1,-1)*SQRT(Z31))/2,0)</f>
        <v>0</v>
      </c>
      <c r="AB31" s="48" t="n">
        <f aca="false">IF(AND(Z31&gt;=0,AA31&lt;&gt;0),MIN(AA31,X31/AA31),-1)</f>
        <v>-1</v>
      </c>
      <c r="AC31" s="45" t="n">
        <f aca="false">AND(Z31&gt;=0,AB31&gt;F31,ABS(W31-AB31)&gt;=0.00005*MAX(W31,AB31))</f>
        <v>0</v>
      </c>
      <c r="AD31" s="45" t="n">
        <f aca="false">IF(AC31,IFERROR((((AB31+G31)*AB31+H31)*AB31+I31)/((3*AB31+2*G31)*AB31+H31),0),0)</f>
        <v>0</v>
      </c>
      <c r="AE31" s="48" t="n">
        <f aca="false">IF(ABS(AD31)&lt;0.1*ABS(AB31),AB31-AD31,AB31)</f>
        <v>-1</v>
      </c>
      <c r="AF31" s="45" t="n">
        <f aca="false">IF(AC31,IFERROR((((AE31+G31)*AE31+H31)*AE31+I31)/((3*AE31+2*G31)*AE31+H31),0),0)</f>
        <v>0</v>
      </c>
      <c r="AG31" s="48" t="n">
        <f aca="false">IF(ABS(AF31)&lt;0.1*ABS(AE31),AE31-AF31,AE31)</f>
        <v>-1</v>
      </c>
      <c r="AH31" s="45" t="n">
        <f aca="false">IF(AC31,MAX(W31,AG31),W31)</f>
        <v>0.945285667060666</v>
      </c>
      <c r="AI31" s="48" t="n">
        <f aca="false">IF(AC31,MIN(W31,AG31),-1)</f>
        <v>-1</v>
      </c>
      <c r="AJ31" s="45" t="n">
        <f aca="false">AH31-1-LN(AH31-F31)-E31/AH31</f>
        <v>-0.0560229079031557</v>
      </c>
      <c r="AK31" s="45" t="n">
        <f aca="false">IF(AC31,AI31-1-LN(AI31-F31)-E31/AI31,0)</f>
        <v>0</v>
      </c>
      <c r="AL31" s="45" t="n">
        <f aca="false">IF(AC31,AK31-AJ31,0)</f>
        <v>0</v>
      </c>
      <c r="AM31" s="45" t="n">
        <f aca="false">IF(AC31,AL31&gt;0,AH31*'EOS steps'!$D$13*'EOS steps'!$D$7/D31&gt;=$C$9)</f>
        <v>1</v>
      </c>
      <c r="AN31" s="45" t="n">
        <f aca="false">IF(AC31,IF(AH31&gt;AI31,D31*EXP(MAX(-50,MIN(50,AL31/(AH31-AI31)))),D31),IF(AM31,D31*$C$14,D31/$C$14))</f>
        <v>3670964.64778024</v>
      </c>
      <c r="AO31" s="45" t="n">
        <f aca="false">IF(AM31,D31,B31)</f>
        <v>4609990.9915976</v>
      </c>
      <c r="AP31" s="45" t="n">
        <f aca="false">IF(AM31,C31,D31)</f>
        <v>4610000</v>
      </c>
      <c r="AQ31" s="46" t="n">
        <f aca="false">IF(AC31,IF(AND(AN31&gt;=AO31*(1-0.000000001),AN31&lt;=AP31*(1+0.000000001)),AN31,SQRT(AO31*AP31)),IF(AND(AO31&gt;$C$11,AP31&lt;$C$12),SQRT(AO31*AP31),IF(AND(AN31&gt;=AO31*(1-0.000000001),AN31&lt;=AP31*(1+0.000000001)),AN31,SQRT(AO31*AP31))))</f>
        <v>4609995.4957966</v>
      </c>
    </row>
    <row r="32" customFormat="false" ht="15" hidden="false" customHeight="false" outlineLevel="0" collapsed="false">
      <c r="A32" s="44" t="n">
        <v>11</v>
      </c>
      <c r="B32" s="45" t="n">
        <f aca="false">AO31</f>
        <v>4609990.9915976</v>
      </c>
      <c r="C32" s="45" t="n">
        <f aca="false">AP31</f>
        <v>4610000</v>
      </c>
      <c r="D32" s="46" t="n">
        <f aca="false">AQ31</f>
        <v>4609995.4957966</v>
      </c>
      <c r="E32" s="45" t="n">
        <f aca="false">$C$7*D32/('EOS steps'!$D$13*'EOS steps'!$D$7)^2</f>
        <v>0.125057794546778</v>
      </c>
      <c r="F32" s="45" t="n">
        <f aca="false">$C$8*D32/('EOS steps'!$D$13*'EOS steps'!$D$7)</f>
        <v>0.0680570763618686</v>
      </c>
      <c r="G32" s="45" t="n">
        <f aca="false">-(1+F32)</f>
        <v>-1.06805707636187</v>
      </c>
      <c r="H32" s="45" t="n">
        <f aca="false">E32</f>
        <v>0.125057794546778</v>
      </c>
      <c r="I32" s="45" t="n">
        <f aca="false">-E32*F32</f>
        <v>-0.00851106787311692</v>
      </c>
      <c r="J32" s="45" t="n">
        <f aca="false">H32-G32^2/3</f>
        <v>-0.255190844908777</v>
      </c>
      <c r="K32" s="45" t="n">
        <f aca="false">2*G32^3/27-G32*H32/3+I32</f>
        <v>-0.0542386137659248</v>
      </c>
      <c r="L32" s="45" t="n">
        <f aca="false">K32^2/4+J32^3/27</f>
        <v>0.000119951919138531</v>
      </c>
      <c r="M32" s="45" t="n">
        <f aca="false">-K32/2-IF(K32&gt;=0,1,-1)*SQRT(MAX(L32,0))</f>
        <v>0.0380715632321596</v>
      </c>
      <c r="N32" s="45" t="n">
        <f aca="false">SIGN(M32)*ABS(M32)^(1/3)</f>
        <v>0.336408455550213</v>
      </c>
      <c r="O32" s="45" t="n">
        <f aca="false">IF(N32=0,0,N32-J32/(3*N32))</f>
        <v>0.589266591444765</v>
      </c>
      <c r="P32" s="45" t="n">
        <f aca="false">2*SQRT(MAX(-J32,0)/3)</f>
        <v>0.583313346219996</v>
      </c>
      <c r="Q32" s="45" t="n">
        <f aca="false">ACOS(IF(P32=0,0,MAX(-1,MIN(1,3*K32/(J32*P32)))))</f>
        <v>0</v>
      </c>
      <c r="R32" s="45" t="n">
        <f aca="false">P32*COS(Q32/3)</f>
        <v>0.583313346219996</v>
      </c>
      <c r="S32" s="45" t="n">
        <f aca="false">IF(L32&lt;0,R32,O32)-G32/3</f>
        <v>0.945285616898721</v>
      </c>
      <c r="T32" s="45" t="n">
        <f aca="false">IFERROR((((S32+G32)*S32+H32)*S32+I32)/((3*S32+2*G32)*S32+H32),0)</f>
        <v>-9.70456777380136E-017</v>
      </c>
      <c r="U32" s="45" t="n">
        <f aca="false">IF(ABS(T32)&lt;0.1*ABS(S32),S32-T32,S32)</f>
        <v>0.945285616898722</v>
      </c>
      <c r="V32" s="45" t="n">
        <f aca="false">IFERROR((((U32+G32)*U32+H32)*U32+I32)/((3*U32+2*G32)*U32+H32),0)</f>
        <v>0</v>
      </c>
      <c r="W32" s="45" t="n">
        <f aca="false">IF(ABS(V32)&lt;0.1*ABS(U32),U32-V32,U32)</f>
        <v>0.945285616898722</v>
      </c>
      <c r="X32" s="45" t="n">
        <f aca="false">-I32/W32</f>
        <v>0.00900369975060014</v>
      </c>
      <c r="Y32" s="45" t="n">
        <f aca="false">(H32-X32)/W32</f>
        <v>0.122771459463147</v>
      </c>
      <c r="Z32" s="45" t="n">
        <f aca="false">Y32^2-4*X32</f>
        <v>-0.0209419677436894</v>
      </c>
      <c r="AA32" s="47" t="n">
        <f aca="false">IF(Z32&gt;=0,(Y32+IF(Y32&gt;=0,1,-1)*SQRT(Z32))/2,0)</f>
        <v>0</v>
      </c>
      <c r="AB32" s="48" t="n">
        <f aca="false">IF(AND(Z32&gt;=0,AA32&lt;&gt;0),MIN(AA32,X32/AA32),-1)</f>
        <v>-1</v>
      </c>
      <c r="AC32" s="45" t="n">
        <f aca="false">AND(Z32&gt;=0,AB32&gt;F32,ABS(W32-AB32)&gt;=0.00005*MAX(W32,AB32))</f>
        <v>0</v>
      </c>
      <c r="AD32" s="45" t="n">
        <f aca="false">IF(AC32,IFERROR((((AB32+G32)*AB32+H32)*AB32+I32)/((3*AB32+2*G32)*AB32+H32),0),0)</f>
        <v>0</v>
      </c>
      <c r="AE32" s="48" t="n">
        <f aca="false">IF(ABS(AD32)&lt;0.1*ABS(AB32),AB32-AD32,AB32)</f>
        <v>-1</v>
      </c>
      <c r="AF32" s="45" t="n">
        <f aca="false">IF(AC32,IFERROR((((AE32+G32)*AE32+H32)*AE32+I32)/((3*AE32+2*G32)*AE32+H32),0),0)</f>
        <v>0</v>
      </c>
      <c r="AG32" s="48" t="n">
        <f aca="false">IF(ABS(AF32)&lt;0.1*ABS(AE32),AE32-AF32,AE32)</f>
        <v>-1</v>
      </c>
      <c r="AH32" s="45" t="n">
        <f aca="false">IF(AC32,MAX(W32,AG32),W32)</f>
        <v>0.945285616898722</v>
      </c>
      <c r="AI32" s="48" t="n">
        <f aca="false">IF(AC32,MIN(W32,AG32),-1)</f>
        <v>-1</v>
      </c>
      <c r="AJ32" s="45" t="n">
        <f aca="false">AH32-1-LN(AH32-F32)-E32/AH32</f>
        <v>-0.0560229613618799</v>
      </c>
      <c r="AK32" s="45" t="n">
        <f aca="false">IF(AC32,AI32-1-LN(AI32-F32)-E32/AI32,0)</f>
        <v>0</v>
      </c>
      <c r="AL32" s="45" t="n">
        <f aca="false">IF(AC32,AK32-AJ32,0)</f>
        <v>0</v>
      </c>
      <c r="AM32" s="45" t="n">
        <f aca="false">IF(AC32,AL32&gt;0,AH32*'EOS steps'!$D$13*'EOS steps'!$D$7/D32&gt;=$C$9)</f>
        <v>1</v>
      </c>
      <c r="AN32" s="45" t="n">
        <f aca="false">IF(AC32,IF(AH32&gt;AI32,D32*EXP(MAX(-50,MIN(50,AL32/(AH32-AI32)))),D32),IF(AM32,D32*$C$14,D32/$C$14))</f>
        <v>3670968.23450207</v>
      </c>
      <c r="AO32" s="45" t="n">
        <f aca="false">IF(AM32,D32,B32)</f>
        <v>4609995.4957966</v>
      </c>
      <c r="AP32" s="45" t="n">
        <f aca="false">IF(AM32,C32,D32)</f>
        <v>4610000</v>
      </c>
      <c r="AQ32" s="46" t="n">
        <f aca="false">IF(AC32,IF(AND(AN32&gt;=AO32*(1-0.000000001),AN32&lt;=AP32*(1+0.000000001)),AN32,SQRT(AO32*AP32)),IF(AND(AO32&gt;$C$11,AP32&lt;$C$12),SQRT(AO32*AP32),IF(AND(AN32&gt;=AO32*(1-0.000000001),AN32&lt;=AP32*(1+0.000000001)),AN32,SQRT(AO32*AP32))))</f>
        <v>4609997.74789775</v>
      </c>
    </row>
    <row r="33" customFormat="false" ht="15" hidden="false" customHeight="false" outlineLevel="0" collapsed="false">
      <c r="A33" s="44" t="n">
        <v>12</v>
      </c>
      <c r="B33" s="45" t="n">
        <f aca="false">AO32</f>
        <v>4609995.4957966</v>
      </c>
      <c r="C33" s="45" t="n">
        <f aca="false">AP32</f>
        <v>4610000</v>
      </c>
      <c r="D33" s="46" t="n">
        <f aca="false">AQ32</f>
        <v>4609997.74789775</v>
      </c>
      <c r="E33" s="45" t="n">
        <f aca="false">$C$7*D33/('EOS steps'!$D$13*'EOS steps'!$D$7)^2</f>
        <v>0.125057855640721</v>
      </c>
      <c r="F33" s="45" t="n">
        <f aca="false">$C$8*D33/('EOS steps'!$D$13*'EOS steps'!$D$7)</f>
        <v>0.0680571096094976</v>
      </c>
      <c r="G33" s="45" t="n">
        <f aca="false">-(1+F33)</f>
        <v>-1.0680571096095</v>
      </c>
      <c r="H33" s="45" t="n">
        <f aca="false">E33</f>
        <v>0.125057855640721</v>
      </c>
      <c r="I33" s="45" t="n">
        <f aca="false">-E33*F33</f>
        <v>-0.00851107618886926</v>
      </c>
      <c r="J33" s="45" t="n">
        <f aca="false">H33-G33^2/3</f>
        <v>-0.255190807488411</v>
      </c>
      <c r="K33" s="45" t="n">
        <f aca="false">2*G33^3/27-G33*H33/3+I33</f>
        <v>-0.0542386073733561</v>
      </c>
      <c r="L33" s="45" t="n">
        <f aca="false">K33^2/4+J33^3/27</f>
        <v>0.000119952016543446</v>
      </c>
      <c r="M33" s="45" t="n">
        <f aca="false">-K33/2-IF(K33&gt;=0,1,-1)*SQRT(MAX(L33,0))</f>
        <v>0.0380715644826711</v>
      </c>
      <c r="N33" s="45" t="n">
        <f aca="false">SIGN(M33)*ABS(M33)^(1/3)</f>
        <v>0.336408459233475</v>
      </c>
      <c r="O33" s="45" t="n">
        <f aca="false">IF(N33=0,0,N33-J33/(3*N33))</f>
        <v>0.589266555281235</v>
      </c>
      <c r="P33" s="45" t="n">
        <f aca="false">2*SQRT(MAX(-J33,0)/3)</f>
        <v>0.583313303452396</v>
      </c>
      <c r="Q33" s="45" t="n">
        <f aca="false">ACOS(IF(P33=0,0,MAX(-1,MIN(1,3*K33/(J33*P33)))))</f>
        <v>0</v>
      </c>
      <c r="R33" s="45" t="n">
        <f aca="false">P33*COS(Q33/3)</f>
        <v>0.583313303452396</v>
      </c>
      <c r="S33" s="45" t="n">
        <f aca="false">IF(L33&lt;0,R33,O33)-G33/3</f>
        <v>0.945285591817734</v>
      </c>
      <c r="T33" s="45" t="n">
        <f aca="false">IFERROR((((S33+G33)*S33+H33)*S33+I33)/((3*S33+2*G33)*S33+H33),0)</f>
        <v>4.1906092932822E-017</v>
      </c>
      <c r="U33" s="45" t="n">
        <f aca="false">IF(ABS(T33)&lt;0.1*ABS(S33),S33-T33,S33)</f>
        <v>0.945285591817734</v>
      </c>
      <c r="V33" s="45" t="n">
        <f aca="false">IFERROR((((U33+G33)*U33+H33)*U33+I33)/((3*U33+2*G33)*U33+H33),0)</f>
        <v>4.1906092932822E-017</v>
      </c>
      <c r="W33" s="45" t="n">
        <f aca="false">IF(ABS(V33)&lt;0.1*ABS(U33),U33-V33,U33)</f>
        <v>0.945285591817734</v>
      </c>
      <c r="X33" s="45" t="n">
        <f aca="false">-I33/W33</f>
        <v>0.00900370878657202</v>
      </c>
      <c r="Y33" s="45" t="n">
        <f aca="false">(H33-X33)/W33</f>
        <v>0.122771517791764</v>
      </c>
      <c r="Z33" s="45" t="n">
        <f aca="false">Y33^2-4*X33</f>
        <v>-0.0209419895653947</v>
      </c>
      <c r="AA33" s="47" t="n">
        <f aca="false">IF(Z33&gt;=0,(Y33+IF(Y33&gt;=0,1,-1)*SQRT(Z33))/2,0)</f>
        <v>0</v>
      </c>
      <c r="AB33" s="48" t="n">
        <f aca="false">IF(AND(Z33&gt;=0,AA33&lt;&gt;0),MIN(AA33,X33/AA33),-1)</f>
        <v>-1</v>
      </c>
      <c r="AC33" s="45" t="n">
        <f aca="false">AND(Z33&gt;=0,AB33&gt;F33,ABS(W33-AB33)&gt;=0.00005*MAX(W33,AB33))</f>
        <v>0</v>
      </c>
      <c r="AD33" s="45" t="n">
        <f aca="false">IF(AC33,IFERROR((((AB33+G33)*AB33+H33)*AB33+I33)/((3*AB33+2*G33)*AB33+H33),0),0)</f>
        <v>0</v>
      </c>
      <c r="AE33" s="48" t="n">
        <f aca="false">IF(ABS(AD33)&lt;0.1*ABS(AB33),AB33-AD33,AB33)</f>
        <v>-1</v>
      </c>
      <c r="AF33" s="45" t="n">
        <f aca="false">IF(AC33,IFERROR((((AE33+G33)*AE33+H33)*AE33+I33)/((3*AE33+2*G33)*AE33+H33),0),0)</f>
        <v>0</v>
      </c>
      <c r="AG33" s="48" t="n">
        <f aca="false">IF(ABS(AF33)&lt;0.1*ABS(AE33),AE33-AF33,AE33)</f>
        <v>-1</v>
      </c>
      <c r="AH33" s="45" t="n">
        <f aca="false">IF(AC33,MAX(W33,AG33),W33)</f>
        <v>0.945285591817734</v>
      </c>
      <c r="AI33" s="48" t="n">
        <f aca="false">IF(AC33,MIN(W33,AG33),-1)</f>
        <v>-1</v>
      </c>
      <c r="AJ33" s="45" t="n">
        <f aca="false">AH33-1-LN(AH33-F33)-E33/AH33</f>
        <v>-0.0560229880912602</v>
      </c>
      <c r="AK33" s="45" t="n">
        <f aca="false">IF(AC33,AI33-1-LN(AI33-F33)-E33/AI33,0)</f>
        <v>0</v>
      </c>
      <c r="AL33" s="45" t="n">
        <f aca="false">IF(AC33,AK33-AJ33,0)</f>
        <v>0</v>
      </c>
      <c r="AM33" s="45" t="n">
        <f aca="false">IF(AC33,AL33&gt;0,AH33*'EOS steps'!$D$13*'EOS steps'!$D$7/D33&gt;=$C$9)</f>
        <v>1</v>
      </c>
      <c r="AN33" s="45" t="n">
        <f aca="false">IF(AC33,IF(AH33&gt;AI33,D33*EXP(MAX(-50,MIN(50,AL33/(AH33-AI33)))),D33),IF(AM33,D33*$C$14,D33/$C$14))</f>
        <v>3670970.02786429</v>
      </c>
      <c r="AO33" s="45" t="n">
        <f aca="false">IF(AM33,D33,B33)</f>
        <v>4609997.74789775</v>
      </c>
      <c r="AP33" s="45" t="n">
        <f aca="false">IF(AM33,C33,D33)</f>
        <v>4610000</v>
      </c>
      <c r="AQ33" s="46" t="n">
        <f aca="false">IF(AC33,IF(AND(AN33&gt;=AO33*(1-0.000000001),AN33&lt;=AP33*(1+0.000000001)),AN33,SQRT(AO33*AP33)),IF(AND(AO33&gt;$C$11,AP33&lt;$C$12),SQRT(AO33*AP33),IF(AND(AN33&gt;=AO33*(1-0.000000001),AN33&lt;=AP33*(1+0.000000001)),AN33,SQRT(AO33*AP33))))</f>
        <v>4609998.87394874</v>
      </c>
    </row>
    <row r="34" customFormat="false" ht="15" hidden="false" customHeight="false" outlineLevel="0" collapsed="false">
      <c r="A34" s="44" t="n">
        <v>13</v>
      </c>
      <c r="B34" s="45" t="n">
        <f aca="false">AO33</f>
        <v>4609997.74789775</v>
      </c>
      <c r="C34" s="45" t="n">
        <f aca="false">AP33</f>
        <v>4610000</v>
      </c>
      <c r="D34" s="46" t="n">
        <f aca="false">AQ33</f>
        <v>4609998.87394874</v>
      </c>
      <c r="E34" s="45" t="n">
        <f aca="false">$C$7*D34/('EOS steps'!$D$13*'EOS steps'!$D$7)^2</f>
        <v>0.125057886187704</v>
      </c>
      <c r="F34" s="45" t="n">
        <f aca="false">$C$8*D34/('EOS steps'!$D$13*'EOS steps'!$D$7)</f>
        <v>0.0680571262333182</v>
      </c>
      <c r="G34" s="45" t="n">
        <f aca="false">-(1+F34)</f>
        <v>-1.06805712623332</v>
      </c>
      <c r="H34" s="45" t="n">
        <f aca="false">E34</f>
        <v>0.125057886187704</v>
      </c>
      <c r="I34" s="45" t="n">
        <f aca="false">-E34*F34</f>
        <v>-0.00851108034674849</v>
      </c>
      <c r="J34" s="45" t="n">
        <f aca="false">H34-G34^2/3</f>
        <v>-0.255190788778221</v>
      </c>
      <c r="K34" s="45" t="n">
        <f aca="false">2*G34^3/27-G34*H34/3+I34</f>
        <v>-0.0542386041770717</v>
      </c>
      <c r="L34" s="45" t="n">
        <f aca="false">K34^2/4+J34^3/27</f>
        <v>0.00011995206524593</v>
      </c>
      <c r="M34" s="45" t="n">
        <f aca="false">-K34/2-IF(K34&gt;=0,1,-1)*SQRT(MAX(L34,0))</f>
        <v>0.0380715651079273</v>
      </c>
      <c r="N34" s="45" t="n">
        <f aca="false">SIGN(M34)*ABS(M34)^(1/3)</f>
        <v>0.336408461075108</v>
      </c>
      <c r="O34" s="45" t="n">
        <f aca="false">IF(N34=0,0,N34-J34/(3*N34))</f>
        <v>0.589266537199464</v>
      </c>
      <c r="P34" s="45" t="n">
        <f aca="false">2*SQRT(MAX(-J34,0)/3)</f>
        <v>0.583313282068588</v>
      </c>
      <c r="Q34" s="45" t="n">
        <f aca="false">ACOS(IF(P34=0,0,MAX(-1,MIN(1,3*K34/(J34*P34)))))</f>
        <v>0</v>
      </c>
      <c r="R34" s="45" t="n">
        <f aca="false">P34*COS(Q34/3)</f>
        <v>0.583313282068588</v>
      </c>
      <c r="S34" s="45" t="n">
        <f aca="false">IF(L34&lt;0,R34,O34)-G34/3</f>
        <v>0.945285579277237</v>
      </c>
      <c r="T34" s="45" t="n">
        <f aca="false">IFERROR((((S34+G34)*S34+H34)*S34+I34)/((3*S34+2*G34)*S34+H34),0)</f>
        <v>6.61675189613099E-017</v>
      </c>
      <c r="U34" s="45" t="n">
        <f aca="false">IF(ABS(T34)&lt;0.1*ABS(S34),S34-T34,S34)</f>
        <v>0.945285579277236</v>
      </c>
      <c r="V34" s="45" t="n">
        <f aca="false">IFERROR((((U34+G34)*U34+H34)*U34+I34)/((3*U34+2*G34)*U34+H34),0)</f>
        <v>-5.0728431203671E-017</v>
      </c>
      <c r="W34" s="45" t="n">
        <f aca="false">IF(ABS(V34)&lt;0.1*ABS(U34),U34-V34,U34)</f>
        <v>0.945285579277236</v>
      </c>
      <c r="X34" s="45" t="n">
        <f aca="false">-I34/W34</f>
        <v>0.0090037133045614</v>
      </c>
      <c r="Y34" s="45" t="n">
        <f aca="false">(H34-X34)/W34</f>
        <v>0.122771546956082</v>
      </c>
      <c r="Z34" s="45" t="n">
        <f aca="false">Y34^2-4*X34</f>
        <v>-0.0209420004762562</v>
      </c>
      <c r="AA34" s="47" t="n">
        <f aca="false">IF(Z34&gt;=0,(Y34+IF(Y34&gt;=0,1,-1)*SQRT(Z34))/2,0)</f>
        <v>0</v>
      </c>
      <c r="AB34" s="48" t="n">
        <f aca="false">IF(AND(Z34&gt;=0,AA34&lt;&gt;0),MIN(AA34,X34/AA34),-1)</f>
        <v>-1</v>
      </c>
      <c r="AC34" s="45" t="n">
        <f aca="false">AND(Z34&gt;=0,AB34&gt;F34,ABS(W34-AB34)&gt;=0.00005*MAX(W34,AB34))</f>
        <v>0</v>
      </c>
      <c r="AD34" s="45" t="n">
        <f aca="false">IF(AC34,IFERROR((((AB34+G34)*AB34+H34)*AB34+I34)/((3*AB34+2*G34)*AB34+H34),0),0)</f>
        <v>0</v>
      </c>
      <c r="AE34" s="48" t="n">
        <f aca="false">IF(ABS(AD34)&lt;0.1*ABS(AB34),AB34-AD34,AB34)</f>
        <v>-1</v>
      </c>
      <c r="AF34" s="45" t="n">
        <f aca="false">IF(AC34,IFERROR((((AE34+G34)*AE34+H34)*AE34+I34)/((3*AE34+2*G34)*AE34+H34),0),0)</f>
        <v>0</v>
      </c>
      <c r="AG34" s="48" t="n">
        <f aca="false">IF(ABS(AF34)&lt;0.1*ABS(AE34),AE34-AF34,AE34)</f>
        <v>-1</v>
      </c>
      <c r="AH34" s="45" t="n">
        <f aca="false">IF(AC34,MAX(W34,AG34),W34)</f>
        <v>0.945285579277236</v>
      </c>
      <c r="AI34" s="48" t="n">
        <f aca="false">IF(AC34,MIN(W34,AG34),-1)</f>
        <v>-1</v>
      </c>
      <c r="AJ34" s="45" t="n">
        <f aca="false">AH34-1-LN(AH34-F34)-E34/AH34</f>
        <v>-0.0560230014559551</v>
      </c>
      <c r="AK34" s="45" t="n">
        <f aca="false">IF(AC34,AI34-1-LN(AI34-F34)-E34/AI34,0)</f>
        <v>0</v>
      </c>
      <c r="AL34" s="45" t="n">
        <f aca="false">IF(AC34,AK34-AJ34,0)</f>
        <v>0</v>
      </c>
      <c r="AM34" s="45" t="n">
        <f aca="false">IF(AC34,AL34&gt;0,AH34*'EOS steps'!$D$13*'EOS steps'!$D$7/D34&gt;=$C$9)</f>
        <v>1</v>
      </c>
      <c r="AN34" s="45" t="n">
        <f aca="false">IF(AC34,IF(AH34&gt;AI34,D34*EXP(MAX(-50,MIN(50,AL34/(AH34-AI34)))),D34),IF(AM34,D34*$C$14,D34/$C$14))</f>
        <v>3670970.92454574</v>
      </c>
      <c r="AO34" s="45" t="n">
        <f aca="false">IF(AM34,D34,B34)</f>
        <v>4609998.87394874</v>
      </c>
      <c r="AP34" s="45" t="n">
        <f aca="false">IF(AM34,C34,D34)</f>
        <v>4610000</v>
      </c>
      <c r="AQ34" s="46" t="n">
        <f aca="false">IF(AC34,IF(AND(AN34&gt;=AO34*(1-0.000000001),AN34&lt;=AP34*(1+0.000000001)),AN34,SQRT(AO34*AP34)),IF(AND(AO34&gt;$C$11,AP34&lt;$C$12),SQRT(AO34*AP34),IF(AND(AN34&gt;=AO34*(1-0.000000001),AN34&lt;=AP34*(1+0.000000001)),AN34,SQRT(AO34*AP34))))</f>
        <v>4609999.43697433</v>
      </c>
    </row>
    <row r="35" customFormat="false" ht="15" hidden="false" customHeight="false" outlineLevel="0" collapsed="false">
      <c r="A35" s="44" t="n">
        <v>14</v>
      </c>
      <c r="B35" s="45" t="n">
        <f aca="false">AO34</f>
        <v>4609998.87394874</v>
      </c>
      <c r="C35" s="45" t="n">
        <f aca="false">AP34</f>
        <v>4610000</v>
      </c>
      <c r="D35" s="46" t="n">
        <f aca="false">AQ34</f>
        <v>4609999.43697433</v>
      </c>
      <c r="E35" s="45" t="n">
        <f aca="false">$C$7*D35/('EOS steps'!$D$13*'EOS steps'!$D$7)^2</f>
        <v>0.125057901461198</v>
      </c>
      <c r="F35" s="45" t="n">
        <f aca="false">$C$8*D35/('EOS steps'!$D$13*'EOS steps'!$D$7)</f>
        <v>0.06805713454523</v>
      </c>
      <c r="G35" s="45" t="n">
        <f aca="false">-(1+F35)</f>
        <v>-1.06805713454523</v>
      </c>
      <c r="H35" s="45" t="n">
        <f aca="false">E35</f>
        <v>0.125057901461198</v>
      </c>
      <c r="I35" s="45" t="n">
        <f aca="false">-E35*F35</f>
        <v>-0.00851108242568886</v>
      </c>
      <c r="J35" s="45" t="n">
        <f aca="false">H35-G35^2/3</f>
        <v>-0.255190779423125</v>
      </c>
      <c r="K35" s="45" t="n">
        <f aca="false">2*G35^3/27-G35*H35/3+I35</f>
        <v>-0.0542386025789296</v>
      </c>
      <c r="L35" s="45" t="n">
        <f aca="false">K35^2/4+J35^3/27</f>
        <v>0.000119952089597178</v>
      </c>
      <c r="M35" s="45" t="n">
        <f aca="false">-K35/2-IF(K35&gt;=0,1,-1)*SQRT(MAX(L35,0))</f>
        <v>0.0380715654205556</v>
      </c>
      <c r="N35" s="45" t="n">
        <f aca="false">SIGN(M35)*ABS(M35)^(1/3)</f>
        <v>0.336408461995924</v>
      </c>
      <c r="O35" s="45" t="n">
        <f aca="false">IF(N35=0,0,N35-J35/(3*N35))</f>
        <v>0.589266528158577</v>
      </c>
      <c r="P35" s="45" t="n">
        <f aca="false">2*SQRT(MAX(-J35,0)/3)</f>
        <v>0.583313271376682</v>
      </c>
      <c r="Q35" s="45" t="n">
        <f aca="false">ACOS(IF(P35=0,0,MAX(-1,MIN(1,3*K35/(J35*P35)))))</f>
        <v>0</v>
      </c>
      <c r="R35" s="45" t="n">
        <f aca="false">P35*COS(Q35/3)</f>
        <v>0.583313271376682</v>
      </c>
      <c r="S35" s="45" t="n">
        <f aca="false">IF(L35&lt;0,R35,O35)-G35/3</f>
        <v>0.945285573006987</v>
      </c>
      <c r="T35" s="45" t="n">
        <f aca="false">IFERROR((((S35+G35)*S35+H35)*S35+I35)/((3*S35+2*G35)*S35+H35),0)</f>
        <v>-1.08073617410255E-016</v>
      </c>
      <c r="U35" s="45" t="n">
        <f aca="false">IF(ABS(T35)&lt;0.1*ABS(S35),S35-T35,S35)</f>
        <v>0.945285573006987</v>
      </c>
      <c r="V35" s="45" t="n">
        <f aca="false">IFERROR((((U35+G35)*U35+H35)*U35+I35)/((3*U35+2*G35)*U35+H35),0)</f>
        <v>0</v>
      </c>
      <c r="W35" s="45" t="n">
        <f aca="false">IF(ABS(V35)&lt;0.1*ABS(U35),U35-V35,U35)</f>
        <v>0.945285573006987</v>
      </c>
      <c r="X35" s="45" t="n">
        <f aca="false">-I35/W35</f>
        <v>0.00900371556355695</v>
      </c>
      <c r="Y35" s="45" t="n">
        <f aca="false">(H35-X35)/W35</f>
        <v>0.122771561538243</v>
      </c>
      <c r="Z35" s="45" t="n">
        <f aca="false">Y35^2-4*X35</f>
        <v>-0.0209420059316891</v>
      </c>
      <c r="AA35" s="47" t="n">
        <f aca="false">IF(Z35&gt;=0,(Y35+IF(Y35&gt;=0,1,-1)*SQRT(Z35))/2,0)</f>
        <v>0</v>
      </c>
      <c r="AB35" s="48" t="n">
        <f aca="false">IF(AND(Z35&gt;=0,AA35&lt;&gt;0),MIN(AA35,X35/AA35),-1)</f>
        <v>-1</v>
      </c>
      <c r="AC35" s="45" t="n">
        <f aca="false">AND(Z35&gt;=0,AB35&gt;F35,ABS(W35-AB35)&gt;=0.00005*MAX(W35,AB35))</f>
        <v>0</v>
      </c>
      <c r="AD35" s="45" t="n">
        <f aca="false">IF(AC35,IFERROR((((AB35+G35)*AB35+H35)*AB35+I35)/((3*AB35+2*G35)*AB35+H35),0),0)</f>
        <v>0</v>
      </c>
      <c r="AE35" s="48" t="n">
        <f aca="false">IF(ABS(AD35)&lt;0.1*ABS(AB35),AB35-AD35,AB35)</f>
        <v>-1</v>
      </c>
      <c r="AF35" s="45" t="n">
        <f aca="false">IF(AC35,IFERROR((((AE35+G35)*AE35+H35)*AE35+I35)/((3*AE35+2*G35)*AE35+H35),0),0)</f>
        <v>0</v>
      </c>
      <c r="AG35" s="48" t="n">
        <f aca="false">IF(ABS(AF35)&lt;0.1*ABS(AE35),AE35-AF35,AE35)</f>
        <v>-1</v>
      </c>
      <c r="AH35" s="45" t="n">
        <f aca="false">IF(AC35,MAX(W35,AG35),W35)</f>
        <v>0.945285573006987</v>
      </c>
      <c r="AI35" s="48" t="n">
        <f aca="false">IF(AC35,MIN(W35,AG35),-1)</f>
        <v>-1</v>
      </c>
      <c r="AJ35" s="45" t="n">
        <f aca="false">AH35-1-LN(AH35-F35)-E35/AH35</f>
        <v>-0.0560230081383037</v>
      </c>
      <c r="AK35" s="45" t="n">
        <f aca="false">IF(AC35,AI35-1-LN(AI35-F35)-E35/AI35,0)</f>
        <v>0</v>
      </c>
      <c r="AL35" s="45" t="n">
        <f aca="false">IF(AC35,AK35-AJ35,0)</f>
        <v>0</v>
      </c>
      <c r="AM35" s="45" t="n">
        <f aca="false">IF(AC35,AL35&gt;0,AH35*'EOS steps'!$D$13*'EOS steps'!$D$7/D35&gt;=$C$9)</f>
        <v>1</v>
      </c>
      <c r="AN35" s="45" t="n">
        <f aca="false">IF(AC35,IF(AH35&gt;AI35,D35*EXP(MAX(-50,MIN(50,AL35/(AH35-AI35)))),D35),IF(AM35,D35*$C$14,D35/$C$14))</f>
        <v>3670971.37288654</v>
      </c>
      <c r="AO35" s="45" t="n">
        <f aca="false">IF(AM35,D35,B35)</f>
        <v>4609999.43697433</v>
      </c>
      <c r="AP35" s="45" t="n">
        <f aca="false">IF(AM35,C35,D35)</f>
        <v>4610000</v>
      </c>
      <c r="AQ35" s="46" t="n">
        <f aca="false">IF(AC35,IF(AND(AN35&gt;=AO35*(1-0.000000001),AN35&lt;=AP35*(1+0.000000001)),AN35,SQRT(AO35*AP35)),IF(AND(AO35&gt;$C$11,AP35&lt;$C$12),SQRT(AO35*AP35),IF(AND(AN35&gt;=AO35*(1-0.000000001),AN35&lt;=AP35*(1+0.000000001)),AN35,SQRT(AO35*AP35))))</f>
        <v>4609999.71848716</v>
      </c>
    </row>
    <row r="36" customFormat="false" ht="15" hidden="false" customHeight="false" outlineLevel="0" collapsed="false">
      <c r="A36" s="44" t="n">
        <v>15</v>
      </c>
      <c r="B36" s="45" t="n">
        <f aca="false">AO35</f>
        <v>4609999.43697433</v>
      </c>
      <c r="C36" s="45" t="n">
        <f aca="false">AP35</f>
        <v>4610000</v>
      </c>
      <c r="D36" s="46" t="n">
        <f aca="false">AQ35</f>
        <v>4609999.71848716</v>
      </c>
      <c r="E36" s="45" t="n">
        <f aca="false">$C$7*D36/('EOS steps'!$D$13*'EOS steps'!$D$7)^2</f>
        <v>0.125057909097946</v>
      </c>
      <c r="F36" s="45" t="n">
        <f aca="false">$C$8*D36/('EOS steps'!$D$13*'EOS steps'!$D$7)</f>
        <v>0.0680571387011863</v>
      </c>
      <c r="G36" s="45" t="n">
        <f aca="false">-(1+F36)</f>
        <v>-1.06805713870119</v>
      </c>
      <c r="H36" s="45" t="n">
        <f aca="false">E36</f>
        <v>0.125057909097946</v>
      </c>
      <c r="I36" s="45" t="n">
        <f aca="false">-E36*F36</f>
        <v>-0.00851108346515924</v>
      </c>
      <c r="J36" s="45" t="n">
        <f aca="false">H36-G36^2/3</f>
        <v>-0.255190774745576</v>
      </c>
      <c r="K36" s="45" t="n">
        <f aca="false">2*G36^3/27-G36*H36/3+I36</f>
        <v>-0.0542386017798585</v>
      </c>
      <c r="L36" s="45" t="n">
        <f aca="false">K36^2/4+J36^3/27</f>
        <v>0.000119952101772805</v>
      </c>
      <c r="M36" s="45" t="n">
        <f aca="false">-K36/2-IF(K36&gt;=0,1,-1)*SQRT(MAX(L36,0))</f>
        <v>0.0380715655768698</v>
      </c>
      <c r="N36" s="45" t="n">
        <f aca="false">SIGN(M36)*ABS(M36)^(1/3)</f>
        <v>0.336408462456333</v>
      </c>
      <c r="O36" s="45" t="n">
        <f aca="false">IF(N36=0,0,N36-J36/(3*N36))</f>
        <v>0.589266523638133</v>
      </c>
      <c r="P36" s="45" t="n">
        <f aca="false">2*SQRT(MAX(-J36,0)/3)</f>
        <v>0.583313266030728</v>
      </c>
      <c r="Q36" s="45" t="n">
        <f aca="false">ACOS(IF(P36=0,0,MAX(-1,MIN(1,3*K36/(J36*P36)))))</f>
        <v>0</v>
      </c>
      <c r="R36" s="45" t="n">
        <f aca="false">P36*COS(Q36/3)</f>
        <v>0.583313266030728</v>
      </c>
      <c r="S36" s="45" t="n">
        <f aca="false">IF(L36&lt;0,R36,O36)-G36/3</f>
        <v>0.945285569871862</v>
      </c>
      <c r="T36" s="45" t="n">
        <f aca="false">IFERROR((((S36+G36)*S36+H36)*S36+I36)/((3*S36+2*G36)*S36+H36),0)</f>
        <v>0</v>
      </c>
      <c r="U36" s="45" t="n">
        <f aca="false">IF(ABS(T36)&lt;0.1*ABS(S36),S36-T36,S36)</f>
        <v>0.945285569871862</v>
      </c>
      <c r="V36" s="45" t="n">
        <f aca="false">IFERROR((((U36+G36)*U36+H36)*U36+I36)/((3*U36+2*G36)*U36+H36),0)</f>
        <v>0</v>
      </c>
      <c r="W36" s="45" t="n">
        <f aca="false">IF(ABS(V36)&lt;0.1*ABS(U36),U36-V36,U36)</f>
        <v>0.945285569871862</v>
      </c>
      <c r="X36" s="45" t="n">
        <f aca="false">-I36/W36</f>
        <v>0.00900371669305494</v>
      </c>
      <c r="Y36" s="45" t="n">
        <f aca="false">(H36-X36)/W36</f>
        <v>0.122771568829325</v>
      </c>
      <c r="Z36" s="45" t="n">
        <f aca="false">Y36^2-4*X36</f>
        <v>-0.0209420086594062</v>
      </c>
      <c r="AA36" s="47" t="n">
        <f aca="false">IF(Z36&gt;=0,(Y36+IF(Y36&gt;=0,1,-1)*SQRT(Z36))/2,0)</f>
        <v>0</v>
      </c>
      <c r="AB36" s="48" t="n">
        <f aca="false">IF(AND(Z36&gt;=0,AA36&lt;&gt;0),MIN(AA36,X36/AA36),-1)</f>
        <v>-1</v>
      </c>
      <c r="AC36" s="45" t="n">
        <f aca="false">AND(Z36&gt;=0,AB36&gt;F36,ABS(W36-AB36)&gt;=0.00005*MAX(W36,AB36))</f>
        <v>0</v>
      </c>
      <c r="AD36" s="45" t="n">
        <f aca="false">IF(AC36,IFERROR((((AB36+G36)*AB36+H36)*AB36+I36)/((3*AB36+2*G36)*AB36+H36),0),0)</f>
        <v>0</v>
      </c>
      <c r="AE36" s="48" t="n">
        <f aca="false">IF(ABS(AD36)&lt;0.1*ABS(AB36),AB36-AD36,AB36)</f>
        <v>-1</v>
      </c>
      <c r="AF36" s="45" t="n">
        <f aca="false">IF(AC36,IFERROR((((AE36+G36)*AE36+H36)*AE36+I36)/((3*AE36+2*G36)*AE36+H36),0),0)</f>
        <v>0</v>
      </c>
      <c r="AG36" s="48" t="n">
        <f aca="false">IF(ABS(AF36)&lt;0.1*ABS(AE36),AE36-AF36,AE36)</f>
        <v>-1</v>
      </c>
      <c r="AH36" s="45" t="n">
        <f aca="false">IF(AC36,MAX(W36,AG36),W36)</f>
        <v>0.945285569871862</v>
      </c>
      <c r="AI36" s="48" t="n">
        <f aca="false">IF(AC36,MIN(W36,AG36),-1)</f>
        <v>-1</v>
      </c>
      <c r="AJ36" s="45" t="n">
        <f aca="false">AH36-1-LN(AH36-F36)-E36/AH36</f>
        <v>-0.0560230114794782</v>
      </c>
      <c r="AK36" s="45" t="n">
        <f aca="false">IF(AC36,AI36-1-LN(AI36-F36)-E36/AI36,0)</f>
        <v>0</v>
      </c>
      <c r="AL36" s="45" t="n">
        <f aca="false">IF(AC36,AK36-AJ36,0)</f>
        <v>0</v>
      </c>
      <c r="AM36" s="45" t="n">
        <f aca="false">IF(AC36,AL36&gt;0,AH36*'EOS steps'!$D$13*'EOS steps'!$D$7/D36&gt;=$C$9)</f>
        <v>1</v>
      </c>
      <c r="AN36" s="45" t="n">
        <f aca="false">IF(AC36,IF(AH36&gt;AI36,D36*EXP(MAX(-50,MIN(50,AL36/(AH36-AI36)))),D36),IF(AM36,D36*$C$14,D36/$C$14))</f>
        <v>3670971.59705696</v>
      </c>
      <c r="AO36" s="45" t="n">
        <f aca="false">IF(AM36,D36,B36)</f>
        <v>4609999.71848716</v>
      </c>
      <c r="AP36" s="45" t="n">
        <f aca="false">IF(AM36,C36,D36)</f>
        <v>4610000</v>
      </c>
      <c r="AQ36" s="46" t="n">
        <f aca="false">IF(AC36,IF(AND(AN36&gt;=AO36*(1-0.000000001),AN36&lt;=AP36*(1+0.000000001)),AN36,SQRT(AO36*AP36)),IF(AND(AO36&gt;$C$11,AP36&lt;$C$12),SQRT(AO36*AP36),IF(AND(AN36&gt;=AO36*(1-0.000000001),AN36&lt;=AP36*(1+0.000000001)),AN36,SQRT(AO36*AP36))))</f>
        <v>4609999.85924358</v>
      </c>
    </row>
    <row r="37" customFormat="false" ht="15" hidden="false" customHeight="false" outlineLevel="0" collapsed="false">
      <c r="A37" s="44" t="n">
        <v>16</v>
      </c>
      <c r="B37" s="45" t="n">
        <f aca="false">AO36</f>
        <v>4609999.71848716</v>
      </c>
      <c r="C37" s="45" t="n">
        <f aca="false">AP36</f>
        <v>4610000</v>
      </c>
      <c r="D37" s="46" t="n">
        <f aca="false">AQ36</f>
        <v>4609999.85924358</v>
      </c>
      <c r="E37" s="45" t="n">
        <f aca="false">$C$7*D37/('EOS steps'!$D$13*'EOS steps'!$D$7)^2</f>
        <v>0.12505791291632</v>
      </c>
      <c r="F37" s="45" t="n">
        <f aca="false">$C$8*D37/('EOS steps'!$D$13*'EOS steps'!$D$7)</f>
        <v>0.0680571407791646</v>
      </c>
      <c r="G37" s="45" t="n">
        <f aca="false">-(1+F37)</f>
        <v>-1.06805714077916</v>
      </c>
      <c r="H37" s="45" t="n">
        <f aca="false">E37</f>
        <v>0.12505791291632</v>
      </c>
      <c r="I37" s="45" t="n">
        <f aca="false">-E37*F37</f>
        <v>-0.00851108398489447</v>
      </c>
      <c r="J37" s="45" t="n">
        <f aca="false">H37-G37^2/3</f>
        <v>-0.255190772406802</v>
      </c>
      <c r="K37" s="45" t="n">
        <f aca="false">2*G37^3/27-G37*H37/3+I37</f>
        <v>-0.0542386013803229</v>
      </c>
      <c r="L37" s="45" t="n">
        <f aca="false">K37^2/4+J37^3/27</f>
        <v>0.000119952107860618</v>
      </c>
      <c r="M37" s="45" t="n">
        <f aca="false">-K37/2-IF(K37&gt;=0,1,-1)*SQRT(MAX(L37,0))</f>
        <v>0.0380715656550268</v>
      </c>
      <c r="N37" s="45" t="n">
        <f aca="false">SIGN(M37)*ABS(M37)^(1/3)</f>
        <v>0.336408462686537</v>
      </c>
      <c r="O37" s="45" t="n">
        <f aca="false">IF(N37=0,0,N37-J37/(3*N37))</f>
        <v>0.589266521377911</v>
      </c>
      <c r="P37" s="45" t="n">
        <f aca="false">2*SQRT(MAX(-J37,0)/3)</f>
        <v>0.583313263357751</v>
      </c>
      <c r="Q37" s="45" t="n">
        <f aca="false">ACOS(IF(P37=0,0,MAX(-1,MIN(1,3*K37/(J37*P37)))))</f>
        <v>0</v>
      </c>
      <c r="R37" s="45" t="n">
        <f aca="false">P37*COS(Q37/3)</f>
        <v>0.583313263357751</v>
      </c>
      <c r="S37" s="45" t="n">
        <f aca="false">IF(L37&lt;0,R37,O37)-G37/3</f>
        <v>0.945285568304299</v>
      </c>
      <c r="T37" s="45" t="n">
        <f aca="false">IFERROR((((S37+G37)*S37+H37)*S37+I37)/((3*S37+2*G37)*S37+H37),0)</f>
        <v>6.8373106366339E-017</v>
      </c>
      <c r="U37" s="45" t="n">
        <f aca="false">IF(ABS(T37)&lt;0.1*ABS(S37),S37-T37,S37)</f>
        <v>0.945285568304299</v>
      </c>
      <c r="V37" s="45" t="n">
        <f aca="false">IFERROR((((U37+G37)*U37+H37)*U37+I37)/((3*U37+2*G37)*U37+H37),0)</f>
        <v>-5.07284337556709E-017</v>
      </c>
      <c r="W37" s="45" t="n">
        <f aca="false">IF(ABS(V37)&lt;0.1*ABS(U37),U37-V37,U37)</f>
        <v>0.945285568304299</v>
      </c>
      <c r="X37" s="45" t="n">
        <f aca="false">-I37/W37</f>
        <v>0.009003717257804</v>
      </c>
      <c r="Y37" s="45" t="n">
        <f aca="false">(H37-X37)/W37</f>
        <v>0.122771572474866</v>
      </c>
      <c r="Z37" s="45" t="n">
        <f aca="false">Y37^2-4*X37</f>
        <v>-0.0209420100232648</v>
      </c>
      <c r="AA37" s="47" t="n">
        <f aca="false">IF(Z37&gt;=0,(Y37+IF(Y37&gt;=0,1,-1)*SQRT(Z37))/2,0)</f>
        <v>0</v>
      </c>
      <c r="AB37" s="48" t="n">
        <f aca="false">IF(AND(Z37&gt;=0,AA37&lt;&gt;0),MIN(AA37,X37/AA37),-1)</f>
        <v>-1</v>
      </c>
      <c r="AC37" s="45" t="n">
        <f aca="false">AND(Z37&gt;=0,AB37&gt;F37,ABS(W37-AB37)&gt;=0.00005*MAX(W37,AB37))</f>
        <v>0</v>
      </c>
      <c r="AD37" s="45" t="n">
        <f aca="false">IF(AC37,IFERROR((((AB37+G37)*AB37+H37)*AB37+I37)/((3*AB37+2*G37)*AB37+H37),0),0)</f>
        <v>0</v>
      </c>
      <c r="AE37" s="48" t="n">
        <f aca="false">IF(ABS(AD37)&lt;0.1*ABS(AB37),AB37-AD37,AB37)</f>
        <v>-1</v>
      </c>
      <c r="AF37" s="45" t="n">
        <f aca="false">IF(AC37,IFERROR((((AE37+G37)*AE37+H37)*AE37+I37)/((3*AE37+2*G37)*AE37+H37),0),0)</f>
        <v>0</v>
      </c>
      <c r="AG37" s="48" t="n">
        <f aca="false">IF(ABS(AF37)&lt;0.1*ABS(AE37),AE37-AF37,AE37)</f>
        <v>-1</v>
      </c>
      <c r="AH37" s="45" t="n">
        <f aca="false">IF(AC37,MAX(W37,AG37),W37)</f>
        <v>0.945285568304299</v>
      </c>
      <c r="AI37" s="48" t="n">
        <f aca="false">IF(AC37,MIN(W37,AG37),-1)</f>
        <v>-1</v>
      </c>
      <c r="AJ37" s="45" t="n">
        <f aca="false">AH37-1-LN(AH37-F37)-E37/AH37</f>
        <v>-0.0560230131500655</v>
      </c>
      <c r="AK37" s="45" t="n">
        <f aca="false">IF(AC37,AI37-1-LN(AI37-F37)-E37/AI37,0)</f>
        <v>0</v>
      </c>
      <c r="AL37" s="45" t="n">
        <f aca="false">IF(AC37,AK37-AJ37,0)</f>
        <v>0</v>
      </c>
      <c r="AM37" s="45" t="n">
        <f aca="false">IF(AC37,AL37&gt;0,AH37*'EOS steps'!$D$13*'EOS steps'!$D$7/D37&gt;=$C$9)</f>
        <v>1</v>
      </c>
      <c r="AN37" s="45" t="n">
        <f aca="false">IF(AC37,IF(AH37&gt;AI37,D37*EXP(MAX(-50,MIN(50,AL37/(AH37-AI37)))),D37),IF(AM37,D37*$C$14,D37/$C$14))</f>
        <v>3670971.70914218</v>
      </c>
      <c r="AO37" s="45" t="n">
        <f aca="false">IF(AM37,D37,B37)</f>
        <v>4609999.85924358</v>
      </c>
      <c r="AP37" s="45" t="n">
        <f aca="false">IF(AM37,C37,D37)</f>
        <v>4610000</v>
      </c>
      <c r="AQ37" s="46" t="n">
        <f aca="false">IF(AC37,IF(AND(AN37&gt;=AO37*(1-0.000000001),AN37&lt;=AP37*(1+0.000000001)),AN37,SQRT(AO37*AP37)),IF(AND(AO37&gt;$C$11,AP37&lt;$C$12),SQRT(AO37*AP37),IF(AND(AN37&gt;=AO37*(1-0.000000001),AN37&lt;=AP37*(1+0.000000001)),AN37,SQRT(AO37*AP37))))</f>
        <v>4609999.92962179</v>
      </c>
    </row>
    <row r="38" customFormat="false" ht="15" hidden="false" customHeight="false" outlineLevel="0" collapsed="false">
      <c r="A38" s="44" t="n">
        <v>17</v>
      </c>
      <c r="B38" s="45" t="n">
        <f aca="false">AO37</f>
        <v>4609999.85924358</v>
      </c>
      <c r="C38" s="45" t="n">
        <f aca="false">AP37</f>
        <v>4610000</v>
      </c>
      <c r="D38" s="46" t="n">
        <f aca="false">AQ37</f>
        <v>4609999.92962179</v>
      </c>
      <c r="E38" s="45" t="n">
        <f aca="false">$C$7*D38/('EOS steps'!$D$13*'EOS steps'!$D$7)^2</f>
        <v>0.125057914825507</v>
      </c>
      <c r="F38" s="45" t="n">
        <f aca="false">$C$8*D38/('EOS steps'!$D$13*'EOS steps'!$D$7)</f>
        <v>0.0680571418181537</v>
      </c>
      <c r="G38" s="45" t="n">
        <f aca="false">-(1+F38)</f>
        <v>-1.06805714181815</v>
      </c>
      <c r="H38" s="45" t="n">
        <f aca="false">E38</f>
        <v>0.125057914825507</v>
      </c>
      <c r="I38" s="45" t="n">
        <f aca="false">-E38*F38</f>
        <v>-0.0085110842447621</v>
      </c>
      <c r="J38" s="45" t="n">
        <f aca="false">H38-G38^2/3</f>
        <v>-0.255190771237414</v>
      </c>
      <c r="K38" s="45" t="n">
        <f aca="false">2*G38^3/27-G38*H38/3+I38</f>
        <v>-0.0542386011805552</v>
      </c>
      <c r="L38" s="45" t="n">
        <f aca="false">K38^2/4+J38^3/27</f>
        <v>0.000119952110904525</v>
      </c>
      <c r="M38" s="45" t="n">
        <f aca="false">-K38/2-IF(K38&gt;=0,1,-1)*SQRT(MAX(L38,0))</f>
        <v>0.0380715656941054</v>
      </c>
      <c r="N38" s="45" t="n">
        <f aca="false">SIGN(M38)*ABS(M38)^(1/3)</f>
        <v>0.336408462801639</v>
      </c>
      <c r="O38" s="45" t="n">
        <f aca="false">IF(N38=0,0,N38-J38/(3*N38))</f>
        <v>0.5892665202478</v>
      </c>
      <c r="P38" s="45" t="n">
        <f aca="false">2*SQRT(MAX(-J38,0)/3)</f>
        <v>0.583313262021262</v>
      </c>
      <c r="Q38" s="45" t="n">
        <f aca="false">ACOS(IF(P38=0,0,MAX(-1,MIN(1,3*K38/(J38*P38)))))</f>
        <v>0</v>
      </c>
      <c r="R38" s="45" t="n">
        <f aca="false">P38*COS(Q38/3)</f>
        <v>0.583313262021262</v>
      </c>
      <c r="S38" s="45" t="n">
        <f aca="false">IF(L38&lt;0,R38,O38)-G38/3</f>
        <v>0.945285567520518</v>
      </c>
      <c r="T38" s="45" t="n">
        <f aca="false">IFERROR((((S38+G38)*S38+H38)*S38+I38)/((3*S38+2*G38)*S38+H38),0)</f>
        <v>-9.26345315388774E-017</v>
      </c>
      <c r="U38" s="45" t="n">
        <f aca="false">IF(ABS(T38)&lt;0.1*ABS(S38),S38-T38,S38)</f>
        <v>0.945285567520518</v>
      </c>
      <c r="V38" s="45" t="n">
        <f aca="false">IFERROR((((U38+G38)*U38+H38)*U38+I38)/((3*U38+2*G38)*U38+H38),0)</f>
        <v>0</v>
      </c>
      <c r="W38" s="45" t="n">
        <f aca="false">IF(ABS(V38)&lt;0.1*ABS(U38),U38-V38,U38)</f>
        <v>0.945285567520518</v>
      </c>
      <c r="X38" s="45" t="n">
        <f aca="false">-I38/W38</f>
        <v>0.00900371754017853</v>
      </c>
      <c r="Y38" s="45" t="n">
        <f aca="false">(H38-X38)/W38</f>
        <v>0.122771574297636</v>
      </c>
      <c r="Z38" s="45" t="n">
        <f aca="false">Y38^2-4*X38</f>
        <v>-0.0209420107051942</v>
      </c>
      <c r="AA38" s="47" t="n">
        <f aca="false">IF(Z38&gt;=0,(Y38+IF(Y38&gt;=0,1,-1)*SQRT(Z38))/2,0)</f>
        <v>0</v>
      </c>
      <c r="AB38" s="48" t="n">
        <f aca="false">IF(AND(Z38&gt;=0,AA38&lt;&gt;0),MIN(AA38,X38/AA38),-1)</f>
        <v>-1</v>
      </c>
      <c r="AC38" s="45" t="n">
        <f aca="false">AND(Z38&gt;=0,AB38&gt;F38,ABS(W38-AB38)&gt;=0.00005*MAX(W38,AB38))</f>
        <v>0</v>
      </c>
      <c r="AD38" s="45" t="n">
        <f aca="false">IF(AC38,IFERROR((((AB38+G38)*AB38+H38)*AB38+I38)/((3*AB38+2*G38)*AB38+H38),0),0)</f>
        <v>0</v>
      </c>
      <c r="AE38" s="48" t="n">
        <f aca="false">IF(ABS(AD38)&lt;0.1*ABS(AB38),AB38-AD38,AB38)</f>
        <v>-1</v>
      </c>
      <c r="AF38" s="45" t="n">
        <f aca="false">IF(AC38,IFERROR((((AE38+G38)*AE38+H38)*AE38+I38)/((3*AE38+2*G38)*AE38+H38),0),0)</f>
        <v>0</v>
      </c>
      <c r="AG38" s="48" t="n">
        <f aca="false">IF(ABS(AF38)&lt;0.1*ABS(AE38),AE38-AF38,AE38)</f>
        <v>-1</v>
      </c>
      <c r="AH38" s="45" t="n">
        <f aca="false">IF(AC38,MAX(W38,AG38),W38)</f>
        <v>0.945285567520518</v>
      </c>
      <c r="AI38" s="48" t="n">
        <f aca="false">IF(AC38,MIN(W38,AG38),-1)</f>
        <v>-1</v>
      </c>
      <c r="AJ38" s="45" t="n">
        <f aca="false">AH38-1-LN(AH38-F38)-E38/AH38</f>
        <v>-0.0560230139853593</v>
      </c>
      <c r="AK38" s="45" t="n">
        <f aca="false">IF(AC38,AI38-1-LN(AI38-F38)-E38/AI38,0)</f>
        <v>0</v>
      </c>
      <c r="AL38" s="45" t="n">
        <f aca="false">IF(AC38,AK38-AJ38,0)</f>
        <v>0</v>
      </c>
      <c r="AM38" s="45" t="n">
        <f aca="false">IF(AC38,AL38&gt;0,AH38*'EOS steps'!$D$13*'EOS steps'!$D$7/D38&gt;=$C$9)</f>
        <v>1</v>
      </c>
      <c r="AN38" s="45" t="n">
        <f aca="false">IF(AC38,IF(AH38&gt;AI38,D38*EXP(MAX(-50,MIN(50,AL38/(AH38-AI38)))),D38),IF(AM38,D38*$C$14,D38/$C$14))</f>
        <v>3670971.76518479</v>
      </c>
      <c r="AO38" s="45" t="n">
        <f aca="false">IF(AM38,D38,B38)</f>
        <v>4609999.92962179</v>
      </c>
      <c r="AP38" s="45" t="n">
        <f aca="false">IF(AM38,C38,D38)</f>
        <v>4610000</v>
      </c>
      <c r="AQ38" s="46" t="n">
        <f aca="false">IF(AC38,IF(AND(AN38&gt;=AO38*(1-0.000000001),AN38&lt;=AP38*(1+0.000000001)),AN38,SQRT(AO38*AP38)),IF(AND(AO38&gt;$C$11,AP38&lt;$C$12),SQRT(AO38*AP38),IF(AND(AN38&gt;=AO38*(1-0.000000001),AN38&lt;=AP38*(1+0.000000001)),AN38,SQRT(AO38*AP38))))</f>
        <v>4609999.96481089</v>
      </c>
    </row>
    <row r="39" customFormat="false" ht="15" hidden="false" customHeight="false" outlineLevel="0" collapsed="false">
      <c r="A39" s="44" t="n">
        <v>18</v>
      </c>
      <c r="B39" s="45" t="n">
        <f aca="false">AO38</f>
        <v>4609999.92962179</v>
      </c>
      <c r="C39" s="45" t="n">
        <f aca="false">AP38</f>
        <v>4610000</v>
      </c>
      <c r="D39" s="46" t="n">
        <f aca="false">AQ38</f>
        <v>4609999.96481089</v>
      </c>
      <c r="E39" s="45" t="n">
        <f aca="false">$C$7*D39/('EOS steps'!$D$13*'EOS steps'!$D$7)^2</f>
        <v>0.1250579157801</v>
      </c>
      <c r="F39" s="45" t="n">
        <f aca="false">$C$8*D39/('EOS steps'!$D$13*'EOS steps'!$D$7)</f>
        <v>0.0680571423376483</v>
      </c>
      <c r="G39" s="45" t="n">
        <f aca="false">-(1+F39)</f>
        <v>-1.06805714233765</v>
      </c>
      <c r="H39" s="45" t="n">
        <f aca="false">E39</f>
        <v>0.1250579157801</v>
      </c>
      <c r="I39" s="45" t="n">
        <f aca="false">-E39*F39</f>
        <v>-0.00851108437469592</v>
      </c>
      <c r="J39" s="45" t="n">
        <f aca="false">H39-G39^2/3</f>
        <v>-0.255190770652721</v>
      </c>
      <c r="K39" s="45" t="n">
        <f aca="false">2*G39^3/27-G39*H39/3+I39</f>
        <v>-0.0542386010806713</v>
      </c>
      <c r="L39" s="45" t="n">
        <f aca="false">K39^2/4+J39^3/27</f>
        <v>0.000119952112426479</v>
      </c>
      <c r="M39" s="45" t="n">
        <f aca="false">-K39/2-IF(K39&gt;=0,1,-1)*SQRT(MAX(L39,0))</f>
        <v>0.0380715657136447</v>
      </c>
      <c r="N39" s="45" t="n">
        <f aca="false">SIGN(M39)*ABS(M39)^(1/3)</f>
        <v>0.33640846285919</v>
      </c>
      <c r="O39" s="45" t="n">
        <f aca="false">IF(N39=0,0,N39-J39/(3*N39))</f>
        <v>0.589266519682744</v>
      </c>
      <c r="P39" s="45" t="n">
        <f aca="false">2*SQRT(MAX(-J39,0)/3)</f>
        <v>0.583313261353018</v>
      </c>
      <c r="Q39" s="45" t="n">
        <f aca="false">ACOS(IF(P39=0,0,MAX(-1,MIN(1,3*K39/(J39*P39)))))</f>
        <v>0</v>
      </c>
      <c r="R39" s="45" t="n">
        <f aca="false">P39*COS(Q39/3)</f>
        <v>0.583313261353018</v>
      </c>
      <c r="S39" s="45" t="n">
        <f aca="false">IF(L39&lt;0,R39,O39)-G39/3</f>
        <v>0.945285567128627</v>
      </c>
      <c r="T39" s="45" t="n">
        <f aca="false">IFERROR((((S39+G39)*S39+H39)*S39+I39)/((3*S39+2*G39)*S39+H39),0)</f>
        <v>-6.17563544702081E-017</v>
      </c>
      <c r="U39" s="45" t="n">
        <f aca="false">IF(ABS(T39)&lt;0.1*ABS(S39),S39-T39,S39)</f>
        <v>0.945285567128627</v>
      </c>
      <c r="V39" s="45" t="n">
        <f aca="false">IFERROR((((U39+G39)*U39+H39)*U39+I39)/((3*U39+2*G39)*U39+H39),0)</f>
        <v>3.97005135879909E-017</v>
      </c>
      <c r="W39" s="45" t="n">
        <f aca="false">IF(ABS(V39)&lt;0.1*ABS(U39),U39-V39,U39)</f>
        <v>0.945285567128627</v>
      </c>
      <c r="X39" s="45" t="n">
        <f aca="false">-I39/W39</f>
        <v>0.0090037176813658</v>
      </c>
      <c r="Y39" s="45" t="n">
        <f aca="false">(H39-X39)/W39</f>
        <v>0.122771575209021</v>
      </c>
      <c r="Z39" s="45" t="n">
        <f aca="false">Y39^2-4*X39</f>
        <v>-0.0209420110461589</v>
      </c>
      <c r="AA39" s="47" t="n">
        <f aca="false">IF(Z39&gt;=0,(Y39+IF(Y39&gt;=0,1,-1)*SQRT(Z39))/2,0)</f>
        <v>0</v>
      </c>
      <c r="AB39" s="48" t="n">
        <f aca="false">IF(AND(Z39&gt;=0,AA39&lt;&gt;0),MIN(AA39,X39/AA39),-1)</f>
        <v>-1</v>
      </c>
      <c r="AC39" s="45" t="n">
        <f aca="false">AND(Z39&gt;=0,AB39&gt;F39,ABS(W39-AB39)&gt;=0.00005*MAX(W39,AB39))</f>
        <v>0</v>
      </c>
      <c r="AD39" s="45" t="n">
        <f aca="false">IF(AC39,IFERROR((((AB39+G39)*AB39+H39)*AB39+I39)/((3*AB39+2*G39)*AB39+H39),0),0)</f>
        <v>0</v>
      </c>
      <c r="AE39" s="48" t="n">
        <f aca="false">IF(ABS(AD39)&lt;0.1*ABS(AB39),AB39-AD39,AB39)</f>
        <v>-1</v>
      </c>
      <c r="AF39" s="45" t="n">
        <f aca="false">IF(AC39,IFERROR((((AE39+G39)*AE39+H39)*AE39+I39)/((3*AE39+2*G39)*AE39+H39),0),0)</f>
        <v>0</v>
      </c>
      <c r="AG39" s="48" t="n">
        <f aca="false">IF(ABS(AF39)&lt;0.1*ABS(AE39),AE39-AF39,AE39)</f>
        <v>-1</v>
      </c>
      <c r="AH39" s="45" t="n">
        <f aca="false">IF(AC39,MAX(W39,AG39),W39)</f>
        <v>0.945285567128627</v>
      </c>
      <c r="AI39" s="48" t="n">
        <f aca="false">IF(AC39,MIN(W39,AG39),-1)</f>
        <v>-1</v>
      </c>
      <c r="AJ39" s="45" t="n">
        <f aca="false">AH39-1-LN(AH39-F39)-E39/AH39</f>
        <v>-0.0560230144030061</v>
      </c>
      <c r="AK39" s="45" t="n">
        <f aca="false">IF(AC39,AI39-1-LN(AI39-F39)-E39/AI39,0)</f>
        <v>0</v>
      </c>
      <c r="AL39" s="45" t="n">
        <f aca="false">IF(AC39,AK39-AJ39,0)</f>
        <v>0</v>
      </c>
      <c r="AM39" s="45" t="n">
        <f aca="false">IF(AC39,AL39&gt;0,AH39*'EOS steps'!$D$13*'EOS steps'!$D$7/D39&gt;=$C$9)</f>
        <v>1</v>
      </c>
      <c r="AN39" s="45" t="n">
        <f aca="false">IF(AC39,IF(AH39&gt;AI39,D39*EXP(MAX(-50,MIN(50,AL39/(AH39-AI39)))),D39),IF(AM39,D39*$C$14,D39/$C$14))</f>
        <v>3670971.79320609</v>
      </c>
      <c r="AO39" s="45" t="n">
        <f aca="false">IF(AM39,D39,B39)</f>
        <v>4609999.96481089</v>
      </c>
      <c r="AP39" s="45" t="n">
        <f aca="false">IF(AM39,C39,D39)</f>
        <v>4610000</v>
      </c>
      <c r="AQ39" s="46" t="n">
        <f aca="false">IF(AC39,IF(AND(AN39&gt;=AO39*(1-0.000000001),AN39&lt;=AP39*(1+0.000000001)),AN39,SQRT(AO39*AP39)),IF(AND(AO39&gt;$C$11,AP39&lt;$C$12),SQRT(AO39*AP39),IF(AND(AN39&gt;=AO39*(1-0.000000001),AN39&lt;=AP39*(1+0.000000001)),AN39,SQRT(AO39*AP39))))</f>
        <v>4609999.98240545</v>
      </c>
    </row>
    <row r="40" customFormat="false" ht="15" hidden="false" customHeight="false" outlineLevel="0" collapsed="false">
      <c r="A40" s="44" t="n">
        <v>19</v>
      </c>
      <c r="B40" s="45" t="n">
        <f aca="false">AO39</f>
        <v>4609999.96481089</v>
      </c>
      <c r="C40" s="45" t="n">
        <f aca="false">AP39</f>
        <v>4610000</v>
      </c>
      <c r="D40" s="46" t="n">
        <f aca="false">AQ39</f>
        <v>4609999.98240545</v>
      </c>
      <c r="E40" s="45" t="n">
        <f aca="false">$C$7*D40/('EOS steps'!$D$13*'EOS steps'!$D$7)^2</f>
        <v>0.125057916257397</v>
      </c>
      <c r="F40" s="45" t="n">
        <f aca="false">$C$8*D40/('EOS steps'!$D$13*'EOS steps'!$D$7)</f>
        <v>0.0680571425973956</v>
      </c>
      <c r="G40" s="45" t="n">
        <f aca="false">-(1+F40)</f>
        <v>-1.0680571425974</v>
      </c>
      <c r="H40" s="45" t="n">
        <f aca="false">E40</f>
        <v>0.125057916257397</v>
      </c>
      <c r="I40" s="45" t="n">
        <f aca="false">-E40*F40</f>
        <v>-0.00851108443966283</v>
      </c>
      <c r="J40" s="45" t="n">
        <f aca="false">H40-G40^2/3</f>
        <v>-0.255190770360374</v>
      </c>
      <c r="K40" s="45" t="n">
        <f aca="false">2*G40^3/27-G40*H40/3+I40</f>
        <v>-0.0542386010307293</v>
      </c>
      <c r="L40" s="45" t="n">
        <f aca="false">K40^2/4+J40^3/27</f>
        <v>0.000119952113187455</v>
      </c>
      <c r="M40" s="45" t="n">
        <f aca="false">-K40/2-IF(K40&gt;=0,1,-1)*SQRT(MAX(L40,0))</f>
        <v>0.0380715657234143</v>
      </c>
      <c r="N40" s="45" t="n">
        <f aca="false">SIGN(M40)*ABS(M40)^(1/3)</f>
        <v>0.336408462887966</v>
      </c>
      <c r="O40" s="45" t="n">
        <f aca="false">IF(N40=0,0,N40-J40/(3*N40))</f>
        <v>0.589266519400217</v>
      </c>
      <c r="P40" s="45" t="n">
        <f aca="false">2*SQRT(MAX(-J40,0)/3)</f>
        <v>0.583313261018896</v>
      </c>
      <c r="Q40" s="45" t="n">
        <f aca="false">ACOS(IF(P40=0,0,MAX(-1,MIN(1,3*K40/(J40*P40)))))</f>
        <v>0</v>
      </c>
      <c r="R40" s="45" t="n">
        <f aca="false">P40*COS(Q40/3)</f>
        <v>0.583313261018896</v>
      </c>
      <c r="S40" s="45" t="n">
        <f aca="false">IF(L40&lt;0,R40,O40)-G40/3</f>
        <v>0.945285566932682</v>
      </c>
      <c r="T40" s="45" t="n">
        <f aca="false">IFERROR((((S40+G40)*S40+H40)*S40+I40)/((3*S40+2*G40)*S40+H40),0)</f>
        <v>0</v>
      </c>
      <c r="U40" s="45" t="n">
        <f aca="false">IF(ABS(T40)&lt;0.1*ABS(S40),S40-T40,S40)</f>
        <v>0.945285566932682</v>
      </c>
      <c r="V40" s="45" t="n">
        <f aca="false">IFERROR((((U40+G40)*U40+H40)*U40+I40)/((3*U40+2*G40)*U40+H40),0)</f>
        <v>0</v>
      </c>
      <c r="W40" s="45" t="n">
        <f aca="false">IF(ABS(V40)&lt;0.1*ABS(U40),U40-V40,U40)</f>
        <v>0.945285566932682</v>
      </c>
      <c r="X40" s="45" t="n">
        <f aca="false">-I40/W40</f>
        <v>0.00900371775195944</v>
      </c>
      <c r="Y40" s="45" t="n">
        <f aca="false">(H40-X40)/W40</f>
        <v>0.122771575664714</v>
      </c>
      <c r="Z40" s="45" t="n">
        <f aca="false">Y40^2-4*X40</f>
        <v>-0.0209420112166412</v>
      </c>
      <c r="AA40" s="47" t="n">
        <f aca="false">IF(Z40&gt;=0,(Y40+IF(Y40&gt;=0,1,-1)*SQRT(Z40))/2,0)</f>
        <v>0</v>
      </c>
      <c r="AB40" s="48" t="n">
        <f aca="false">IF(AND(Z40&gt;=0,AA40&lt;&gt;0),MIN(AA40,X40/AA40),-1)</f>
        <v>-1</v>
      </c>
      <c r="AC40" s="45" t="n">
        <f aca="false">AND(Z40&gt;=0,AB40&gt;F40,ABS(W40-AB40)&gt;=0.00005*MAX(W40,AB40))</f>
        <v>0</v>
      </c>
      <c r="AD40" s="45" t="n">
        <f aca="false">IF(AC40,IFERROR((((AB40+G40)*AB40+H40)*AB40+I40)/((3*AB40+2*G40)*AB40+H40),0),0)</f>
        <v>0</v>
      </c>
      <c r="AE40" s="48" t="n">
        <f aca="false">IF(ABS(AD40)&lt;0.1*ABS(AB40),AB40-AD40,AB40)</f>
        <v>-1</v>
      </c>
      <c r="AF40" s="45" t="n">
        <f aca="false">IF(AC40,IFERROR((((AE40+G40)*AE40+H40)*AE40+I40)/((3*AE40+2*G40)*AE40+H40),0),0)</f>
        <v>0</v>
      </c>
      <c r="AG40" s="48" t="n">
        <f aca="false">IF(ABS(AF40)&lt;0.1*ABS(AE40),AE40-AF40,AE40)</f>
        <v>-1</v>
      </c>
      <c r="AH40" s="45" t="n">
        <f aca="false">IF(AC40,MAX(W40,AG40),W40)</f>
        <v>0.945285566932682</v>
      </c>
      <c r="AI40" s="48" t="n">
        <f aca="false">IF(AC40,MIN(W40,AG40),-1)</f>
        <v>-1</v>
      </c>
      <c r="AJ40" s="45" t="n">
        <f aca="false">AH40-1-LN(AH40-F40)-E40/AH40</f>
        <v>-0.0560230146118295</v>
      </c>
      <c r="AK40" s="45" t="n">
        <f aca="false">IF(AC40,AI40-1-LN(AI40-F40)-E40/AI40,0)</f>
        <v>0</v>
      </c>
      <c r="AL40" s="45" t="n">
        <f aca="false">IF(AC40,AK40-AJ40,0)</f>
        <v>0</v>
      </c>
      <c r="AM40" s="45" t="n">
        <f aca="false">IF(AC40,AL40&gt;0,AH40*'EOS steps'!$D$13*'EOS steps'!$D$7/D40&gt;=$C$9)</f>
        <v>1</v>
      </c>
      <c r="AN40" s="45" t="n">
        <f aca="false">IF(AC40,IF(AH40&gt;AI40,D40*EXP(MAX(-50,MIN(50,AL40/(AH40-AI40)))),D40),IF(AM40,D40*$C$14,D40/$C$14))</f>
        <v>3670971.80721674</v>
      </c>
      <c r="AO40" s="45" t="n">
        <f aca="false">IF(AM40,D40,B40)</f>
        <v>4609999.98240545</v>
      </c>
      <c r="AP40" s="45" t="n">
        <f aca="false">IF(AM40,C40,D40)</f>
        <v>4610000</v>
      </c>
      <c r="AQ40" s="46" t="n">
        <f aca="false">IF(AC40,IF(AND(AN40&gt;=AO40*(1-0.000000001),AN40&lt;=AP40*(1+0.000000001)),AN40,SQRT(AO40*AP40)),IF(AND(AO40&gt;$C$11,AP40&lt;$C$12),SQRT(AO40*AP40),IF(AND(AN40&gt;=AO40*(1-0.000000001),AN40&lt;=AP40*(1+0.000000001)),AN40,SQRT(AO40*AP40))))</f>
        <v>4609999.99120272</v>
      </c>
    </row>
    <row r="41" customFormat="false" ht="15" hidden="false" customHeight="false" outlineLevel="0" collapsed="false">
      <c r="A41" s="44" t="n">
        <v>20</v>
      </c>
      <c r="B41" s="45" t="n">
        <f aca="false">AO40</f>
        <v>4609999.98240545</v>
      </c>
      <c r="C41" s="45" t="n">
        <f aca="false">AP40</f>
        <v>4610000</v>
      </c>
      <c r="D41" s="46" t="n">
        <f aca="false">AQ40</f>
        <v>4609999.99120272</v>
      </c>
      <c r="E41" s="45" t="n">
        <f aca="false">$C$7*D41/('EOS steps'!$D$13*'EOS steps'!$D$7)^2</f>
        <v>0.125057916496046</v>
      </c>
      <c r="F41" s="45" t="n">
        <f aca="false">$C$8*D41/('EOS steps'!$D$13*'EOS steps'!$D$7)</f>
        <v>0.0680571427272692</v>
      </c>
      <c r="G41" s="45" t="n">
        <f aca="false">-(1+F41)</f>
        <v>-1.06805714272727</v>
      </c>
      <c r="H41" s="45" t="n">
        <f aca="false">E41</f>
        <v>0.125057916496046</v>
      </c>
      <c r="I41" s="45" t="n">
        <f aca="false">-E41*F41</f>
        <v>-0.00851108447214629</v>
      </c>
      <c r="J41" s="45" t="n">
        <f aca="false">H41-G41^2/3</f>
        <v>-0.255190770214201</v>
      </c>
      <c r="K41" s="45" t="n">
        <f aca="false">2*G41^3/27-G41*H41/3+I41</f>
        <v>-0.0542386010057584</v>
      </c>
      <c r="L41" s="45" t="n">
        <f aca="false">K41^2/4+J41^3/27</f>
        <v>0.000119952113567944</v>
      </c>
      <c r="M41" s="45" t="n">
        <f aca="false">-K41/2-IF(K41&gt;=0,1,-1)*SQRT(MAX(L41,0))</f>
        <v>0.0380715657282991</v>
      </c>
      <c r="N41" s="45" t="n">
        <f aca="false">SIGN(M41)*ABS(M41)^(1/3)</f>
        <v>0.336408462902353</v>
      </c>
      <c r="O41" s="45" t="n">
        <f aca="false">IF(N41=0,0,N41-J41/(3*N41))</f>
        <v>0.589266519258953</v>
      </c>
      <c r="P41" s="45" t="n">
        <f aca="false">2*SQRT(MAX(-J41,0)/3)</f>
        <v>0.583313260851835</v>
      </c>
      <c r="Q41" s="45" t="n">
        <f aca="false">ACOS(IF(P41=0,0,MAX(-1,MIN(1,3*K41/(J41*P41)))))</f>
        <v>0</v>
      </c>
      <c r="R41" s="45" t="n">
        <f aca="false">P41*COS(Q41/3)</f>
        <v>0.583313260851835</v>
      </c>
      <c r="S41" s="45" t="n">
        <f aca="false">IF(L41&lt;0,R41,O41)-G41/3</f>
        <v>0.945285566834709</v>
      </c>
      <c r="T41" s="45" t="n">
        <f aca="false">IFERROR((((S41+G41)*S41+H41)*S41+I41)/((3*S41+2*G41)*S41+H41),0)</f>
        <v>-9.26345318301383E-017</v>
      </c>
      <c r="U41" s="45" t="n">
        <f aca="false">IF(ABS(T41)&lt;0.1*ABS(S41),S41-T41,S41)</f>
        <v>0.945285566834709</v>
      </c>
      <c r="V41" s="45" t="n">
        <f aca="false">IFERROR((((U41+G41)*U41+H41)*U41+I41)/((3*U41+2*G41)*U41+H41),0)</f>
        <v>0</v>
      </c>
      <c r="W41" s="45" t="n">
        <f aca="false">IF(ABS(V41)&lt;0.1*ABS(U41),U41-V41,U41)</f>
        <v>0.945285566834709</v>
      </c>
      <c r="X41" s="45" t="n">
        <f aca="false">-I41/W41</f>
        <v>0.00900371778725626</v>
      </c>
      <c r="Y41" s="45" t="n">
        <f aca="false">(H41-X41)/W41</f>
        <v>0.12277157589256</v>
      </c>
      <c r="Z41" s="45" t="n">
        <f aca="false">Y41^2-4*X41</f>
        <v>-0.0209420113018824</v>
      </c>
      <c r="AA41" s="47" t="n">
        <f aca="false">IF(Z41&gt;=0,(Y41+IF(Y41&gt;=0,1,-1)*SQRT(Z41))/2,0)</f>
        <v>0</v>
      </c>
      <c r="AB41" s="48" t="n">
        <f aca="false">IF(AND(Z41&gt;=0,AA41&lt;&gt;0),MIN(AA41,X41/AA41),-1)</f>
        <v>-1</v>
      </c>
      <c r="AC41" s="45" t="n">
        <f aca="false">AND(Z41&gt;=0,AB41&gt;F41,ABS(W41-AB41)&gt;=0.00005*MAX(W41,AB41))</f>
        <v>0</v>
      </c>
      <c r="AD41" s="45" t="n">
        <f aca="false">IF(AC41,IFERROR((((AB41+G41)*AB41+H41)*AB41+I41)/((3*AB41+2*G41)*AB41+H41),0),0)</f>
        <v>0</v>
      </c>
      <c r="AE41" s="48" t="n">
        <f aca="false">IF(ABS(AD41)&lt;0.1*ABS(AB41),AB41-AD41,AB41)</f>
        <v>-1</v>
      </c>
      <c r="AF41" s="45" t="n">
        <f aca="false">IF(AC41,IFERROR((((AE41+G41)*AE41+H41)*AE41+I41)/((3*AE41+2*G41)*AE41+H41),0),0)</f>
        <v>0</v>
      </c>
      <c r="AG41" s="48" t="n">
        <f aca="false">IF(ABS(AF41)&lt;0.1*ABS(AE41),AE41-AF41,AE41)</f>
        <v>-1</v>
      </c>
      <c r="AH41" s="45" t="n">
        <f aca="false">IF(AC41,MAX(W41,AG41),W41)</f>
        <v>0.945285566834709</v>
      </c>
      <c r="AI41" s="48" t="n">
        <f aca="false">IF(AC41,MIN(W41,AG41),-1)</f>
        <v>-1</v>
      </c>
      <c r="AJ41" s="45" t="n">
        <f aca="false">AH41-1-LN(AH41-F41)-E41/AH41</f>
        <v>-0.0560230147162412</v>
      </c>
      <c r="AK41" s="45" t="n">
        <f aca="false">IF(AC41,AI41-1-LN(AI41-F41)-E41/AI41,0)</f>
        <v>0</v>
      </c>
      <c r="AL41" s="45" t="n">
        <f aca="false">IF(AC41,AK41-AJ41,0)</f>
        <v>0</v>
      </c>
      <c r="AM41" s="45" t="n">
        <f aca="false">IF(AC41,AL41&gt;0,AH41*'EOS steps'!$D$13*'EOS steps'!$D$7/D41&gt;=$C$9)</f>
        <v>1</v>
      </c>
      <c r="AN41" s="45" t="n">
        <f aca="false">IF(AC41,IF(AH41&gt;AI41,D41*EXP(MAX(-50,MIN(50,AL41/(AH41-AI41)))),D41),IF(AM41,D41*$C$14,D41/$C$14))</f>
        <v>3670971.81422207</v>
      </c>
      <c r="AO41" s="45" t="n">
        <f aca="false">IF(AM41,D41,B41)</f>
        <v>4609999.99120272</v>
      </c>
      <c r="AP41" s="45" t="n">
        <f aca="false">IF(AM41,C41,D41)</f>
        <v>4610000</v>
      </c>
      <c r="AQ41" s="46" t="n">
        <f aca="false">IF(AC41,IF(AND(AN41&gt;=AO41*(1-0.000000001),AN41&lt;=AP41*(1+0.000000001)),AN41,SQRT(AO41*AP41)),IF(AND(AO41&gt;$C$11,AP41&lt;$C$12),SQRT(AO41*AP41),IF(AND(AN41&gt;=AO41*(1-0.000000001),AN41&lt;=AP41*(1+0.000000001)),AN41,SQRT(AO41*AP41))))</f>
        <v>4609999.99560136</v>
      </c>
    </row>
    <row r="42" customFormat="false" ht="15" hidden="false" customHeight="false" outlineLevel="0" collapsed="false">
      <c r="A42" s="44" t="n">
        <v>21</v>
      </c>
      <c r="B42" s="45" t="n">
        <f aca="false">AO41</f>
        <v>4609999.99120272</v>
      </c>
      <c r="C42" s="45" t="n">
        <f aca="false">AP41</f>
        <v>4610000</v>
      </c>
      <c r="D42" s="46" t="n">
        <f aca="false">AQ41</f>
        <v>4609999.99560136</v>
      </c>
      <c r="E42" s="45" t="n">
        <f aca="false">$C$7*D42/('EOS steps'!$D$13*'EOS steps'!$D$7)^2</f>
        <v>0.12505791661537</v>
      </c>
      <c r="F42" s="45" t="n">
        <f aca="false">$C$8*D42/('EOS steps'!$D$13*'EOS steps'!$D$7)</f>
        <v>0.0680571427922061</v>
      </c>
      <c r="G42" s="45" t="n">
        <f aca="false">-(1+F42)</f>
        <v>-1.06805714279221</v>
      </c>
      <c r="H42" s="45" t="n">
        <f aca="false">E42</f>
        <v>0.12505791661537</v>
      </c>
      <c r="I42" s="45" t="n">
        <f aca="false">-E42*F42</f>
        <v>-0.00851108448838801</v>
      </c>
      <c r="J42" s="45" t="n">
        <f aca="false">H42-G42^2/3</f>
        <v>-0.255190770141114</v>
      </c>
      <c r="K42" s="45" t="n">
        <f aca="false">2*G42^3/27-G42*H42/3+I42</f>
        <v>-0.0542386009932729</v>
      </c>
      <c r="L42" s="45" t="n">
        <f aca="false">K42^2/4+J42^3/27</f>
        <v>0.000119952113758188</v>
      </c>
      <c r="M42" s="45" t="n">
        <f aca="false">-K42/2-IF(K42&gt;=0,1,-1)*SQRT(MAX(L42,0))</f>
        <v>0.0380715657307416</v>
      </c>
      <c r="N42" s="45" t="n">
        <f aca="false">SIGN(M42)*ABS(M42)^(1/3)</f>
        <v>0.336408462909547</v>
      </c>
      <c r="O42" s="45" t="n">
        <f aca="false">IF(N42=0,0,N42-J42/(3*N42))</f>
        <v>0.589266519188321</v>
      </c>
      <c r="P42" s="45" t="n">
        <f aca="false">2*SQRT(MAX(-J42,0)/3)</f>
        <v>0.583313260768304</v>
      </c>
      <c r="Q42" s="45" t="n">
        <f aca="false">ACOS(IF(P42=0,0,MAX(-1,MIN(1,3*K42/(J42*P42)))))</f>
        <v>0</v>
      </c>
      <c r="R42" s="45" t="n">
        <f aca="false">P42*COS(Q42/3)</f>
        <v>0.583313260768304</v>
      </c>
      <c r="S42" s="45" t="n">
        <f aca="false">IF(L42&lt;0,R42,O42)-G42/3</f>
        <v>0.945285566785723</v>
      </c>
      <c r="T42" s="45" t="n">
        <f aca="false">IFERROR((((S42+G42)*S42+H42)*S42+I42)/((3*S42+2*G42)*S42+H42),0)</f>
        <v>0</v>
      </c>
      <c r="U42" s="45" t="n">
        <f aca="false">IF(ABS(T42)&lt;0.1*ABS(S42),S42-T42,S42)</f>
        <v>0.945285566785723</v>
      </c>
      <c r="V42" s="45" t="n">
        <f aca="false">IFERROR((((U42+G42)*U42+H42)*U42+I42)/((3*U42+2*G42)*U42+H42),0)</f>
        <v>0</v>
      </c>
      <c r="W42" s="45" t="n">
        <f aca="false">IF(ABS(V42)&lt;0.1*ABS(U42),U42-V42,U42)</f>
        <v>0.945285566785723</v>
      </c>
      <c r="X42" s="45" t="n">
        <f aca="false">-I42/W42</f>
        <v>0.00900371780490467</v>
      </c>
      <c r="Y42" s="45" t="n">
        <f aca="false">(H42-X42)/W42</f>
        <v>0.122771576006483</v>
      </c>
      <c r="Z42" s="45" t="n">
        <f aca="false">Y42^2-4*X42</f>
        <v>-0.020942011344503</v>
      </c>
      <c r="AA42" s="47" t="n">
        <f aca="false">IF(Z42&gt;=0,(Y42+IF(Y42&gt;=0,1,-1)*SQRT(Z42))/2,0)</f>
        <v>0</v>
      </c>
      <c r="AB42" s="48" t="n">
        <f aca="false">IF(AND(Z42&gt;=0,AA42&lt;&gt;0),MIN(AA42,X42/AA42),-1)</f>
        <v>-1</v>
      </c>
      <c r="AC42" s="45" t="n">
        <f aca="false">AND(Z42&gt;=0,AB42&gt;F42,ABS(W42-AB42)&gt;=0.00005*MAX(W42,AB42))</f>
        <v>0</v>
      </c>
      <c r="AD42" s="45" t="n">
        <f aca="false">IF(AC42,IFERROR((((AB42+G42)*AB42+H42)*AB42+I42)/((3*AB42+2*G42)*AB42+H42),0),0)</f>
        <v>0</v>
      </c>
      <c r="AE42" s="48" t="n">
        <f aca="false">IF(ABS(AD42)&lt;0.1*ABS(AB42),AB42-AD42,AB42)</f>
        <v>-1</v>
      </c>
      <c r="AF42" s="45" t="n">
        <f aca="false">IF(AC42,IFERROR((((AE42+G42)*AE42+H42)*AE42+I42)/((3*AE42+2*G42)*AE42+H42),0),0)</f>
        <v>0</v>
      </c>
      <c r="AG42" s="48" t="n">
        <f aca="false">IF(ABS(AF42)&lt;0.1*ABS(AE42),AE42-AF42,AE42)</f>
        <v>-1</v>
      </c>
      <c r="AH42" s="45" t="n">
        <f aca="false">IF(AC42,MAX(W42,AG42),W42)</f>
        <v>0.945285566785723</v>
      </c>
      <c r="AI42" s="48" t="n">
        <f aca="false">IF(AC42,MIN(W42,AG42),-1)</f>
        <v>-1</v>
      </c>
      <c r="AJ42" s="45" t="n">
        <f aca="false">AH42-1-LN(AH42-F42)-E42/AH42</f>
        <v>-0.0560230147684471</v>
      </c>
      <c r="AK42" s="45" t="n">
        <f aca="false">IF(AC42,AI42-1-LN(AI42-F42)-E42/AI42,0)</f>
        <v>0</v>
      </c>
      <c r="AL42" s="45" t="n">
        <f aca="false">IF(AC42,AK42-AJ42,0)</f>
        <v>0</v>
      </c>
      <c r="AM42" s="45" t="n">
        <f aca="false">IF(AC42,AL42&gt;0,AH42*'EOS steps'!$D$13*'EOS steps'!$D$7/D42&gt;=$C$9)</f>
        <v>1</v>
      </c>
      <c r="AN42" s="45" t="n">
        <f aca="false">IF(AC42,IF(AH42&gt;AI42,D42*EXP(MAX(-50,MIN(50,AL42/(AH42-AI42)))),D42),IF(AM42,D42*$C$14,D42/$C$14))</f>
        <v>3670971.81772473</v>
      </c>
      <c r="AO42" s="45" t="n">
        <f aca="false">IF(AM42,D42,B42)</f>
        <v>4609999.99560136</v>
      </c>
      <c r="AP42" s="45" t="n">
        <f aca="false">IF(AM42,C42,D42)</f>
        <v>4610000</v>
      </c>
      <c r="AQ42" s="46" t="n">
        <f aca="false">IF(AC42,IF(AND(AN42&gt;=AO42*(1-0.000000001),AN42&lt;=AP42*(1+0.000000001)),AN42,SQRT(AO42*AP42)),IF(AND(AO42&gt;$C$11,AP42&lt;$C$12),SQRT(AO42*AP42),IF(AND(AN42&gt;=AO42*(1-0.000000001),AN42&lt;=AP42*(1+0.000000001)),AN42,SQRT(AO42*AP42))))</f>
        <v>4609999.99780068</v>
      </c>
    </row>
    <row r="43" customFormat="false" ht="15" hidden="false" customHeight="false" outlineLevel="0" collapsed="false">
      <c r="A43" s="44" t="n">
        <v>22</v>
      </c>
      <c r="B43" s="45" t="n">
        <f aca="false">AO42</f>
        <v>4609999.99560136</v>
      </c>
      <c r="C43" s="45" t="n">
        <f aca="false">AP42</f>
        <v>4610000</v>
      </c>
      <c r="D43" s="46" t="n">
        <f aca="false">AQ42</f>
        <v>4609999.99780068</v>
      </c>
      <c r="E43" s="45" t="n">
        <f aca="false">$C$7*D43/('EOS steps'!$D$13*'EOS steps'!$D$7)^2</f>
        <v>0.125057916675032</v>
      </c>
      <c r="F43" s="45" t="n">
        <f aca="false">$C$8*D43/('EOS steps'!$D$13*'EOS steps'!$D$7)</f>
        <v>0.0680571428246745</v>
      </c>
      <c r="G43" s="45" t="n">
        <f aca="false">-(1+F43)</f>
        <v>-1.06805714282467</v>
      </c>
      <c r="H43" s="45" t="n">
        <f aca="false">E43</f>
        <v>0.125057916675032</v>
      </c>
      <c r="I43" s="45" t="n">
        <f aca="false">-E43*F43</f>
        <v>-0.00851108449650888</v>
      </c>
      <c r="J43" s="45" t="n">
        <f aca="false">H43-G43^2/3</f>
        <v>-0.255190770104571</v>
      </c>
      <c r="K43" s="45" t="n">
        <f aca="false">2*G43^3/27-G43*H43/3+I43</f>
        <v>-0.0542386009870301</v>
      </c>
      <c r="L43" s="45" t="n">
        <f aca="false">K43^2/4+J43^3/27</f>
        <v>0.00011995211385331</v>
      </c>
      <c r="M43" s="45" t="n">
        <f aca="false">-K43/2-IF(K43&gt;=0,1,-1)*SQRT(MAX(L43,0))</f>
        <v>0.0380715657319627</v>
      </c>
      <c r="N43" s="45" t="n">
        <f aca="false">SIGN(M43)*ABS(M43)^(1/3)</f>
        <v>0.336408462913144</v>
      </c>
      <c r="O43" s="45" t="n">
        <f aca="false">IF(N43=0,0,N43-J43/(3*N43))</f>
        <v>0.589266519153005</v>
      </c>
      <c r="P43" s="45" t="n">
        <f aca="false">2*SQRT(MAX(-J43,0)/3)</f>
        <v>0.583313260726539</v>
      </c>
      <c r="Q43" s="45" t="n">
        <f aca="false">ACOS(IF(P43=0,0,MAX(-1,MIN(1,3*K43/(J43*P43)))))</f>
        <v>0</v>
      </c>
      <c r="R43" s="45" t="n">
        <f aca="false">P43*COS(Q43/3)</f>
        <v>0.583313260726539</v>
      </c>
      <c r="S43" s="45" t="n">
        <f aca="false">IF(L43&lt;0,R43,O43)-G43/3</f>
        <v>0.945285566761229</v>
      </c>
      <c r="T43" s="45" t="n">
        <f aca="false">IFERROR((((S43+G43)*S43+H43)*S43+I43)/((3*S43+2*G43)*S43+H43),0)</f>
        <v>0</v>
      </c>
      <c r="U43" s="45" t="n">
        <f aca="false">IF(ABS(T43)&lt;0.1*ABS(S43),S43-T43,S43)</f>
        <v>0.945285566761229</v>
      </c>
      <c r="V43" s="45" t="n">
        <f aca="false">IFERROR((((U43+G43)*U43+H43)*U43+I43)/((3*U43+2*G43)*U43+H43),0)</f>
        <v>0</v>
      </c>
      <c r="W43" s="45" t="n">
        <f aca="false">IF(ABS(V43)&lt;0.1*ABS(U43),U43-V43,U43)</f>
        <v>0.945285566761229</v>
      </c>
      <c r="X43" s="45" t="n">
        <f aca="false">-I43/W43</f>
        <v>0.00900371781372887</v>
      </c>
      <c r="Y43" s="45" t="n">
        <f aca="false">(H43-X43)/W43</f>
        <v>0.122771576063445</v>
      </c>
      <c r="Z43" s="45" t="n">
        <f aca="false">Y43^2-4*X43</f>
        <v>-0.0209420113658133</v>
      </c>
      <c r="AA43" s="47" t="n">
        <f aca="false">IF(Z43&gt;=0,(Y43+IF(Y43&gt;=0,1,-1)*SQRT(Z43))/2,0)</f>
        <v>0</v>
      </c>
      <c r="AB43" s="48" t="n">
        <f aca="false">IF(AND(Z43&gt;=0,AA43&lt;&gt;0),MIN(AA43,X43/AA43),-1)</f>
        <v>-1</v>
      </c>
      <c r="AC43" s="45" t="n">
        <f aca="false">AND(Z43&gt;=0,AB43&gt;F43,ABS(W43-AB43)&gt;=0.00005*MAX(W43,AB43))</f>
        <v>0</v>
      </c>
      <c r="AD43" s="45" t="n">
        <f aca="false">IF(AC43,IFERROR((((AB43+G43)*AB43+H43)*AB43+I43)/((3*AB43+2*G43)*AB43+H43),0),0)</f>
        <v>0</v>
      </c>
      <c r="AE43" s="48" t="n">
        <f aca="false">IF(ABS(AD43)&lt;0.1*ABS(AB43),AB43-AD43,AB43)</f>
        <v>-1</v>
      </c>
      <c r="AF43" s="45" t="n">
        <f aca="false">IF(AC43,IFERROR((((AE43+G43)*AE43+H43)*AE43+I43)/((3*AE43+2*G43)*AE43+H43),0),0)</f>
        <v>0</v>
      </c>
      <c r="AG43" s="48" t="n">
        <f aca="false">IF(ABS(AF43)&lt;0.1*ABS(AE43),AE43-AF43,AE43)</f>
        <v>-1</v>
      </c>
      <c r="AH43" s="45" t="n">
        <f aca="false">IF(AC43,MAX(W43,AG43),W43)</f>
        <v>0.945285566761229</v>
      </c>
      <c r="AI43" s="48" t="n">
        <f aca="false">IF(AC43,MIN(W43,AG43),-1)</f>
        <v>-1</v>
      </c>
      <c r="AJ43" s="45" t="n">
        <f aca="false">AH43-1-LN(AH43-F43)-E43/AH43</f>
        <v>-0.05602301479455</v>
      </c>
      <c r="AK43" s="45" t="n">
        <f aca="false">IF(AC43,AI43-1-LN(AI43-F43)-E43/AI43,0)</f>
        <v>0</v>
      </c>
      <c r="AL43" s="45" t="n">
        <f aca="false">IF(AC43,AK43-AJ43,0)</f>
        <v>0</v>
      </c>
      <c r="AM43" s="45" t="n">
        <f aca="false">IF(AC43,AL43&gt;0,AH43*'EOS steps'!$D$13*'EOS steps'!$D$7/D43&gt;=$C$9)</f>
        <v>1</v>
      </c>
      <c r="AN43" s="45" t="n">
        <f aca="false">IF(AC43,IF(AH43&gt;AI43,D43*EXP(MAX(-50,MIN(50,AL43/(AH43-AI43)))),D43),IF(AM43,D43*$C$14,D43/$C$14))</f>
        <v>3670971.81947607</v>
      </c>
      <c r="AO43" s="45" t="n">
        <f aca="false">IF(AM43,D43,B43)</f>
        <v>4609999.99780068</v>
      </c>
      <c r="AP43" s="45" t="n">
        <f aca="false">IF(AM43,C43,D43)</f>
        <v>4610000</v>
      </c>
      <c r="AQ43" s="46" t="n">
        <f aca="false">IF(AC43,IF(AND(AN43&gt;=AO43*(1-0.000000001),AN43&lt;=AP43*(1+0.000000001)),AN43,SQRT(AO43*AP43)),IF(AND(AO43&gt;$C$11,AP43&lt;$C$12),SQRT(AO43*AP43),IF(AND(AN43&gt;=AO43*(1-0.000000001),AN43&lt;=AP43*(1+0.000000001)),AN43,SQRT(AO43*AP43))))</f>
        <v>4609999.99890034</v>
      </c>
    </row>
    <row r="44" customFormat="false" ht="15" hidden="false" customHeight="false" outlineLevel="0" collapsed="false">
      <c r="A44" s="44" t="n">
        <v>23</v>
      </c>
      <c r="B44" s="45" t="n">
        <f aca="false">AO43</f>
        <v>4609999.99780068</v>
      </c>
      <c r="C44" s="45" t="n">
        <f aca="false">AP43</f>
        <v>4610000</v>
      </c>
      <c r="D44" s="46" t="n">
        <f aca="false">AQ43</f>
        <v>4609999.99890034</v>
      </c>
      <c r="E44" s="45" t="n">
        <f aca="false">$C$7*D44/('EOS steps'!$D$13*'EOS steps'!$D$7)^2</f>
        <v>0.125057916704863</v>
      </c>
      <c r="F44" s="45" t="n">
        <f aca="false">$C$8*D44/('EOS steps'!$D$13*'EOS steps'!$D$7)</f>
        <v>0.0680571428409087</v>
      </c>
      <c r="G44" s="45" t="n">
        <f aca="false">-(1+F44)</f>
        <v>-1.06805714284091</v>
      </c>
      <c r="H44" s="45" t="n">
        <f aca="false">E44</f>
        <v>0.125057916704863</v>
      </c>
      <c r="I44" s="45" t="n">
        <f aca="false">-E44*F44</f>
        <v>-0.00851108450056931</v>
      </c>
      <c r="J44" s="45" t="n">
        <f aca="false">H44-G44^2/3</f>
        <v>-0.255190770086299</v>
      </c>
      <c r="K44" s="45" t="n">
        <f aca="false">2*G44^3/27-G44*H44/3+I44</f>
        <v>-0.0542386009839088</v>
      </c>
      <c r="L44" s="45" t="n">
        <f aca="false">K44^2/4+J44^3/27</f>
        <v>0.000119952113900871</v>
      </c>
      <c r="M44" s="45" t="n">
        <f aca="false">-K44/2-IF(K44&gt;=0,1,-1)*SQRT(MAX(L44,0))</f>
        <v>0.0380715657325734</v>
      </c>
      <c r="N44" s="45" t="n">
        <f aca="false">SIGN(M44)*ABS(M44)^(1/3)</f>
        <v>0.336408462914943</v>
      </c>
      <c r="O44" s="45" t="n">
        <f aca="false">IF(N44=0,0,N44-J44/(3*N44))</f>
        <v>0.589266519135347</v>
      </c>
      <c r="P44" s="45" t="n">
        <f aca="false">2*SQRT(MAX(-J44,0)/3)</f>
        <v>0.583313260705657</v>
      </c>
      <c r="Q44" s="45" t="n">
        <f aca="false">ACOS(IF(P44=0,0,MAX(-1,MIN(1,3*K44/(J44*P44)))))</f>
        <v>0</v>
      </c>
      <c r="R44" s="45" t="n">
        <f aca="false">P44*COS(Q44/3)</f>
        <v>0.583313260705657</v>
      </c>
      <c r="S44" s="45" t="n">
        <f aca="false">IF(L44&lt;0,R44,O44)-G44/3</f>
        <v>0.945285566748983</v>
      </c>
      <c r="T44" s="45" t="n">
        <f aca="false">IFERROR((((S44+G44)*S44+H44)*S44+I44)/((3*S44+2*G44)*S44+H44),0)</f>
        <v>0</v>
      </c>
      <c r="U44" s="45" t="n">
        <f aca="false">IF(ABS(T44)&lt;0.1*ABS(S44),S44-T44,S44)</f>
        <v>0.945285566748983</v>
      </c>
      <c r="V44" s="45" t="n">
        <f aca="false">IFERROR((((U44+G44)*U44+H44)*U44+I44)/((3*U44+2*G44)*U44+H44),0)</f>
        <v>0</v>
      </c>
      <c r="W44" s="45" t="n">
        <f aca="false">IF(ABS(V44)&lt;0.1*ABS(U44),U44-V44,U44)</f>
        <v>0.945285566748983</v>
      </c>
      <c r="X44" s="45" t="n">
        <f aca="false">-I44/W44</f>
        <v>0.00900371781814097</v>
      </c>
      <c r="Y44" s="45" t="n">
        <f aca="false">(H44-X44)/W44</f>
        <v>0.122771576091926</v>
      </c>
      <c r="Z44" s="45" t="n">
        <f aca="false">Y44^2-4*X44</f>
        <v>-0.0209420113764684</v>
      </c>
      <c r="AA44" s="47" t="n">
        <f aca="false">IF(Z44&gt;=0,(Y44+IF(Y44&gt;=0,1,-1)*SQRT(Z44))/2,0)</f>
        <v>0</v>
      </c>
      <c r="AB44" s="48" t="n">
        <f aca="false">IF(AND(Z44&gt;=0,AA44&lt;&gt;0),MIN(AA44,X44/AA44),-1)</f>
        <v>-1</v>
      </c>
      <c r="AC44" s="45" t="n">
        <f aca="false">AND(Z44&gt;=0,AB44&gt;F44,ABS(W44-AB44)&gt;=0.00005*MAX(W44,AB44))</f>
        <v>0</v>
      </c>
      <c r="AD44" s="45" t="n">
        <f aca="false">IF(AC44,IFERROR((((AB44+G44)*AB44+H44)*AB44+I44)/((3*AB44+2*G44)*AB44+H44),0),0)</f>
        <v>0</v>
      </c>
      <c r="AE44" s="48" t="n">
        <f aca="false">IF(ABS(AD44)&lt;0.1*ABS(AB44),AB44-AD44,AB44)</f>
        <v>-1</v>
      </c>
      <c r="AF44" s="45" t="n">
        <f aca="false">IF(AC44,IFERROR((((AE44+G44)*AE44+H44)*AE44+I44)/((3*AE44+2*G44)*AE44+H44),0),0)</f>
        <v>0</v>
      </c>
      <c r="AG44" s="48" t="n">
        <f aca="false">IF(ABS(AF44)&lt;0.1*ABS(AE44),AE44-AF44,AE44)</f>
        <v>-1</v>
      </c>
      <c r="AH44" s="45" t="n">
        <f aca="false">IF(AC44,MAX(W44,AG44),W44)</f>
        <v>0.945285566748983</v>
      </c>
      <c r="AI44" s="48" t="n">
        <f aca="false">IF(AC44,MIN(W44,AG44),-1)</f>
        <v>-1</v>
      </c>
      <c r="AJ44" s="45" t="n">
        <f aca="false">AH44-1-LN(AH44-F44)-E44/AH44</f>
        <v>-0.0560230148076014</v>
      </c>
      <c r="AK44" s="45" t="n">
        <f aca="false">IF(AC44,AI44-1-LN(AI44-F44)-E44/AI44,0)</f>
        <v>0</v>
      </c>
      <c r="AL44" s="45" t="n">
        <f aca="false">IF(AC44,AK44-AJ44,0)</f>
        <v>0</v>
      </c>
      <c r="AM44" s="45" t="n">
        <f aca="false">IF(AC44,AL44&gt;0,AH44*'EOS steps'!$D$13*'EOS steps'!$D$7/D44&gt;=$C$9)</f>
        <v>1</v>
      </c>
      <c r="AN44" s="45" t="n">
        <f aca="false">IF(AC44,IF(AH44&gt;AI44,D44*EXP(MAX(-50,MIN(50,AL44/(AH44-AI44)))),D44),IF(AM44,D44*$C$14,D44/$C$14))</f>
        <v>3670971.82035173</v>
      </c>
      <c r="AO44" s="45" t="n">
        <f aca="false">IF(AM44,D44,B44)</f>
        <v>4609999.99890034</v>
      </c>
      <c r="AP44" s="45" t="n">
        <f aca="false">IF(AM44,C44,D44)</f>
        <v>4610000</v>
      </c>
      <c r="AQ44" s="46" t="n">
        <f aca="false">IF(AC44,IF(AND(AN44&gt;=AO44*(1-0.000000001),AN44&lt;=AP44*(1+0.000000001)),AN44,SQRT(AO44*AP44)),IF(AND(AO44&gt;$C$11,AP44&lt;$C$12),SQRT(AO44*AP44),IF(AND(AN44&gt;=AO44*(1-0.000000001),AN44&lt;=AP44*(1+0.000000001)),AN44,SQRT(AO44*AP44))))</f>
        <v>4609999.99945017</v>
      </c>
    </row>
    <row r="45" customFormat="false" ht="15" hidden="false" customHeight="false" outlineLevel="0" collapsed="false">
      <c r="A45" s="44" t="n">
        <v>24</v>
      </c>
      <c r="B45" s="45" t="n">
        <f aca="false">AO44</f>
        <v>4609999.99890034</v>
      </c>
      <c r="C45" s="45" t="n">
        <f aca="false">AP44</f>
        <v>4610000</v>
      </c>
      <c r="D45" s="46" t="n">
        <f aca="false">AQ44</f>
        <v>4609999.99945017</v>
      </c>
      <c r="E45" s="45" t="n">
        <f aca="false">$C$7*D45/('EOS steps'!$D$13*'EOS steps'!$D$7)^2</f>
        <v>0.125057916719778</v>
      </c>
      <c r="F45" s="45" t="n">
        <f aca="false">$C$8*D45/('EOS steps'!$D$13*'EOS steps'!$D$7)</f>
        <v>0.0680571428490258</v>
      </c>
      <c r="G45" s="45" t="n">
        <f aca="false">-(1+F45)</f>
        <v>-1.06805714284903</v>
      </c>
      <c r="H45" s="45" t="n">
        <f aca="false">E45</f>
        <v>0.125057916719778</v>
      </c>
      <c r="I45" s="45" t="n">
        <f aca="false">-E45*F45</f>
        <v>-0.00851108450259952</v>
      </c>
      <c r="J45" s="45" t="n">
        <f aca="false">H45-G45^2/3</f>
        <v>-0.255190770077163</v>
      </c>
      <c r="K45" s="45" t="n">
        <f aca="false">2*G45^3/27-G45*H45/3+I45</f>
        <v>-0.0542386009823481</v>
      </c>
      <c r="L45" s="45" t="n">
        <f aca="false">K45^2/4+J45^3/27</f>
        <v>0.000119952113924651</v>
      </c>
      <c r="M45" s="45" t="n">
        <f aca="false">-K45/2-IF(K45&gt;=0,1,-1)*SQRT(MAX(L45,0))</f>
        <v>0.0380715657328787</v>
      </c>
      <c r="N45" s="45" t="n">
        <f aca="false">SIGN(M45)*ABS(M45)^(1/3)</f>
        <v>0.336408462915842</v>
      </c>
      <c r="O45" s="45" t="n">
        <f aca="false">IF(N45=0,0,N45-J45/(3*N45))</f>
        <v>0.589266519126518</v>
      </c>
      <c r="P45" s="45" t="n">
        <f aca="false">2*SQRT(MAX(-J45,0)/3)</f>
        <v>0.583313260695215</v>
      </c>
      <c r="Q45" s="45" t="n">
        <f aca="false">ACOS(IF(P45=0,0,MAX(-1,MIN(1,3*K45/(J45*P45)))))</f>
        <v>0</v>
      </c>
      <c r="R45" s="45" t="n">
        <f aca="false">P45*COS(Q45/3)</f>
        <v>0.583313260695215</v>
      </c>
      <c r="S45" s="45" t="n">
        <f aca="false">IF(L45&lt;0,R45,O45)-G45/3</f>
        <v>0.94528556674286</v>
      </c>
      <c r="T45" s="45" t="n">
        <f aca="false">IFERROR((((S45+G45)*S45+H45)*S45+I45)/((3*S45+2*G45)*S45+H45),0)</f>
        <v>0</v>
      </c>
      <c r="U45" s="45" t="n">
        <f aca="false">IF(ABS(T45)&lt;0.1*ABS(S45),S45-T45,S45)</f>
        <v>0.94528556674286</v>
      </c>
      <c r="V45" s="45" t="n">
        <f aca="false">IFERROR((((U45+G45)*U45+H45)*U45+I45)/((3*U45+2*G45)*U45+H45),0)</f>
        <v>0</v>
      </c>
      <c r="W45" s="45" t="n">
        <f aca="false">IF(ABS(V45)&lt;0.1*ABS(U45),U45-V45,U45)</f>
        <v>0.94528556674286</v>
      </c>
      <c r="X45" s="45" t="n">
        <f aca="false">-I45/W45</f>
        <v>0.00900371782034703</v>
      </c>
      <c r="Y45" s="45" t="n">
        <f aca="false">(H45-X45)/W45</f>
        <v>0.122771576106166</v>
      </c>
      <c r="Z45" s="45" t="n">
        <f aca="false">Y45^2-4*X45</f>
        <v>-0.020942011381796</v>
      </c>
      <c r="AA45" s="47" t="n">
        <f aca="false">IF(Z45&gt;=0,(Y45+IF(Y45&gt;=0,1,-1)*SQRT(Z45))/2,0)</f>
        <v>0</v>
      </c>
      <c r="AB45" s="48" t="n">
        <f aca="false">IF(AND(Z45&gt;=0,AA45&lt;&gt;0),MIN(AA45,X45/AA45),-1)</f>
        <v>-1</v>
      </c>
      <c r="AC45" s="45" t="n">
        <f aca="false">AND(Z45&gt;=0,AB45&gt;F45,ABS(W45-AB45)&gt;=0.00005*MAX(W45,AB45))</f>
        <v>0</v>
      </c>
      <c r="AD45" s="45" t="n">
        <f aca="false">IF(AC45,IFERROR((((AB45+G45)*AB45+H45)*AB45+I45)/((3*AB45+2*G45)*AB45+H45),0),0)</f>
        <v>0</v>
      </c>
      <c r="AE45" s="48" t="n">
        <f aca="false">IF(ABS(AD45)&lt;0.1*ABS(AB45),AB45-AD45,AB45)</f>
        <v>-1</v>
      </c>
      <c r="AF45" s="45" t="n">
        <f aca="false">IF(AC45,IFERROR((((AE45+G45)*AE45+H45)*AE45+I45)/((3*AE45+2*G45)*AE45+H45),0),0)</f>
        <v>0</v>
      </c>
      <c r="AG45" s="48" t="n">
        <f aca="false">IF(ABS(AF45)&lt;0.1*ABS(AE45),AE45-AF45,AE45)</f>
        <v>-1</v>
      </c>
      <c r="AH45" s="45" t="n">
        <f aca="false">IF(AC45,MAX(W45,AG45),W45)</f>
        <v>0.94528556674286</v>
      </c>
      <c r="AI45" s="48" t="n">
        <f aca="false">IF(AC45,MIN(W45,AG45),-1)</f>
        <v>-1</v>
      </c>
      <c r="AJ45" s="45" t="n">
        <f aca="false">AH45-1-LN(AH45-F45)-E45/AH45</f>
        <v>-0.0560230148141272</v>
      </c>
      <c r="AK45" s="45" t="n">
        <f aca="false">IF(AC45,AI45-1-LN(AI45-F45)-E45/AI45,0)</f>
        <v>0</v>
      </c>
      <c r="AL45" s="45" t="n">
        <f aca="false">IF(AC45,AK45-AJ45,0)</f>
        <v>0</v>
      </c>
      <c r="AM45" s="45" t="n">
        <f aca="false">IF(AC45,AL45&gt;0,AH45*'EOS steps'!$D$13*'EOS steps'!$D$7/D45&gt;=$C$9)</f>
        <v>1</v>
      </c>
      <c r="AN45" s="45" t="n">
        <f aca="false">IF(AC45,IF(AH45&gt;AI45,D45*EXP(MAX(-50,MIN(50,AL45/(AH45-AI45)))),D45),IF(AM45,D45*$C$14,D45/$C$14))</f>
        <v>3670971.82078956</v>
      </c>
      <c r="AO45" s="45" t="n">
        <f aca="false">IF(AM45,D45,B45)</f>
        <v>4609999.99945017</v>
      </c>
      <c r="AP45" s="45" t="n">
        <f aca="false">IF(AM45,C45,D45)</f>
        <v>4610000</v>
      </c>
      <c r="AQ45" s="46" t="n">
        <f aca="false">IF(AC45,IF(AND(AN45&gt;=AO45*(1-0.000000001),AN45&lt;=AP45*(1+0.000000001)),AN45,SQRT(AO45*AP45)),IF(AND(AO45&gt;$C$11,AP45&lt;$C$12),SQRT(AO45*AP45),IF(AND(AN45&gt;=AO45*(1-0.000000001),AN45&lt;=AP45*(1+0.000000001)),AN45,SQRT(AO45*AP45))))</f>
        <v>4609999.99972509</v>
      </c>
    </row>
    <row r="46" customFormat="false" ht="15" hidden="false" customHeight="false" outlineLevel="0" collapsed="false">
      <c r="A46" s="44" t="n">
        <v>25</v>
      </c>
      <c r="B46" s="45" t="n">
        <f aca="false">AO45</f>
        <v>4609999.99945017</v>
      </c>
      <c r="C46" s="45" t="n">
        <f aca="false">AP45</f>
        <v>4610000</v>
      </c>
      <c r="D46" s="46" t="n">
        <f aca="false">AQ45</f>
        <v>4609999.99972509</v>
      </c>
      <c r="E46" s="45" t="n">
        <f aca="false">$C$7*D46/('EOS steps'!$D$13*'EOS steps'!$D$7)^2</f>
        <v>0.125057916727236</v>
      </c>
      <c r="F46" s="45" t="n">
        <f aca="false">$C$8*D46/('EOS steps'!$D$13*'EOS steps'!$D$7)</f>
        <v>0.0680571428530843</v>
      </c>
      <c r="G46" s="45" t="n">
        <f aca="false">-(1+F46)</f>
        <v>-1.06805714285308</v>
      </c>
      <c r="H46" s="45" t="n">
        <f aca="false">E46</f>
        <v>0.125057916727236</v>
      </c>
      <c r="I46" s="45" t="n">
        <f aca="false">-E46*F46</f>
        <v>-0.00851108450361463</v>
      </c>
      <c r="J46" s="45" t="n">
        <f aca="false">H46-G46^2/3</f>
        <v>-0.255190770072595</v>
      </c>
      <c r="K46" s="45" t="n">
        <f aca="false">2*G46^3/27-G46*H46/3+I46</f>
        <v>-0.0542386009815677</v>
      </c>
      <c r="L46" s="45" t="n">
        <f aca="false">K46^2/4+J46^3/27</f>
        <v>0.000119952113936542</v>
      </c>
      <c r="M46" s="45" t="n">
        <f aca="false">-K46/2-IF(K46&gt;=0,1,-1)*SQRT(MAX(L46,0))</f>
        <v>0.0380715657330313</v>
      </c>
      <c r="N46" s="45" t="n">
        <f aca="false">SIGN(M46)*ABS(M46)^(1/3)</f>
        <v>0.336408462916292</v>
      </c>
      <c r="O46" s="45" t="n">
        <f aca="false">IF(N46=0,0,N46-J46/(3*N46))</f>
        <v>0.589266519122103</v>
      </c>
      <c r="P46" s="45" t="n">
        <f aca="false">2*SQRT(MAX(-J46,0)/3)</f>
        <v>0.583313260689995</v>
      </c>
      <c r="Q46" s="45" t="n">
        <f aca="false">ACOS(IF(P46=0,0,MAX(-1,MIN(1,3*K46/(J46*P46)))))</f>
        <v>0</v>
      </c>
      <c r="R46" s="45" t="n">
        <f aca="false">P46*COS(Q46/3)</f>
        <v>0.583313260689995</v>
      </c>
      <c r="S46" s="45" t="n">
        <f aca="false">IF(L46&lt;0,R46,O46)-G46/3</f>
        <v>0.945285566739798</v>
      </c>
      <c r="T46" s="45" t="n">
        <f aca="false">IFERROR((((S46+G46)*S46+H46)*S46+I46)/((3*S46+2*G46)*S46+H46),0)</f>
        <v>-9.70457000547537E-017</v>
      </c>
      <c r="U46" s="45" t="n">
        <f aca="false">IF(ABS(T46)&lt;0.1*ABS(S46),S46-T46,S46)</f>
        <v>0.945285566739798</v>
      </c>
      <c r="V46" s="45" t="n">
        <f aca="false">IFERROR((((U46+G46)*U46+H46)*U46+I46)/((3*U46+2*G46)*U46+H46),0)</f>
        <v>0</v>
      </c>
      <c r="W46" s="45" t="n">
        <f aca="false">IF(ABS(V46)&lt;0.1*ABS(U46),U46-V46,U46)</f>
        <v>0.945285566739798</v>
      </c>
      <c r="X46" s="45" t="n">
        <f aca="false">-I46/W46</f>
        <v>0.00900371782145005</v>
      </c>
      <c r="Y46" s="45" t="n">
        <f aca="false">(H46-X46)/W46</f>
        <v>0.122771576113286</v>
      </c>
      <c r="Z46" s="45" t="n">
        <f aca="false">Y46^2-4*X46</f>
        <v>-0.0209420113844598</v>
      </c>
      <c r="AA46" s="47" t="n">
        <f aca="false">IF(Z46&gt;=0,(Y46+IF(Y46&gt;=0,1,-1)*SQRT(Z46))/2,0)</f>
        <v>0</v>
      </c>
      <c r="AB46" s="48" t="n">
        <f aca="false">IF(AND(Z46&gt;=0,AA46&lt;&gt;0),MIN(AA46,X46/AA46),-1)</f>
        <v>-1</v>
      </c>
      <c r="AC46" s="45" t="n">
        <f aca="false">AND(Z46&gt;=0,AB46&gt;F46,ABS(W46-AB46)&gt;=0.00005*MAX(W46,AB46))</f>
        <v>0</v>
      </c>
      <c r="AD46" s="45" t="n">
        <f aca="false">IF(AC46,IFERROR((((AB46+G46)*AB46+H46)*AB46+I46)/((3*AB46+2*G46)*AB46+H46),0),0)</f>
        <v>0</v>
      </c>
      <c r="AE46" s="48" t="n">
        <f aca="false">IF(ABS(AD46)&lt;0.1*ABS(AB46),AB46-AD46,AB46)</f>
        <v>-1</v>
      </c>
      <c r="AF46" s="45" t="n">
        <f aca="false">IF(AC46,IFERROR((((AE46+G46)*AE46+H46)*AE46+I46)/((3*AE46+2*G46)*AE46+H46),0),0)</f>
        <v>0</v>
      </c>
      <c r="AG46" s="48" t="n">
        <f aca="false">IF(ABS(AF46)&lt;0.1*ABS(AE46),AE46-AF46,AE46)</f>
        <v>-1</v>
      </c>
      <c r="AH46" s="45" t="n">
        <f aca="false">IF(AC46,MAX(W46,AG46),W46)</f>
        <v>0.945285566739798</v>
      </c>
      <c r="AI46" s="48" t="n">
        <f aca="false">IF(AC46,MIN(W46,AG46),-1)</f>
        <v>-1</v>
      </c>
      <c r="AJ46" s="45" t="n">
        <f aca="false">AH46-1-LN(AH46-F46)-E46/AH46</f>
        <v>-0.0560230148173901</v>
      </c>
      <c r="AK46" s="45" t="n">
        <f aca="false">IF(AC46,AI46-1-LN(AI46-F46)-E46/AI46,0)</f>
        <v>0</v>
      </c>
      <c r="AL46" s="45" t="n">
        <f aca="false">IF(AC46,AK46-AJ46,0)</f>
        <v>0</v>
      </c>
      <c r="AM46" s="45" t="n">
        <f aca="false">IF(AC46,AL46&gt;0,AH46*'EOS steps'!$D$13*'EOS steps'!$D$7/D46&gt;=$C$9)</f>
        <v>1</v>
      </c>
      <c r="AN46" s="45" t="n">
        <f aca="false">IF(AC46,IF(AH46&gt;AI46,D46*EXP(MAX(-50,MIN(50,AL46/(AH46-AI46)))),D46),IF(AM46,D46*$C$14,D46/$C$14))</f>
        <v>3670971.82100848</v>
      </c>
      <c r="AO46" s="45" t="n">
        <f aca="false">IF(AM46,D46,B46)</f>
        <v>4609999.99972509</v>
      </c>
      <c r="AP46" s="45" t="n">
        <f aca="false">IF(AM46,C46,D46)</f>
        <v>4610000</v>
      </c>
      <c r="AQ46" s="46" t="n">
        <f aca="false">IF(AC46,IF(AND(AN46&gt;=AO46*(1-0.000000001),AN46&lt;=AP46*(1+0.000000001)),AN46,SQRT(AO46*AP46)),IF(AND(AO46&gt;$C$11,AP46&lt;$C$12),SQRT(AO46*AP46),IF(AND(AN46&gt;=AO46*(1-0.000000001),AN46&lt;=AP46*(1+0.000000001)),AN46,SQRT(AO46*AP46))))</f>
        <v>4609999.99986254</v>
      </c>
    </row>
    <row r="49" customFormat="false" ht="15" hidden="false" customHeight="false" outlineLevel="0" collapsed="false">
      <c r="A49" s="4" t="s">
        <v>315</v>
      </c>
    </row>
    <row r="50" customFormat="false" ht="15" hidden="false" customHeight="false" outlineLevel="0" collapsed="false">
      <c r="A50" s="8" t="s">
        <v>300</v>
      </c>
      <c r="B50" s="8" t="s">
        <v>301</v>
      </c>
      <c r="C50" s="8" t="s">
        <v>302</v>
      </c>
      <c r="D50" s="8" t="s">
        <v>303</v>
      </c>
      <c r="E50" s="8" t="s">
        <v>158</v>
      </c>
      <c r="F50" s="8" t="s">
        <v>161</v>
      </c>
      <c r="G50" s="8" t="s">
        <v>165</v>
      </c>
      <c r="H50" s="8" t="s">
        <v>168</v>
      </c>
      <c r="I50" s="8" t="s">
        <v>171</v>
      </c>
      <c r="J50" s="8" t="s">
        <v>175</v>
      </c>
      <c r="K50" s="8" t="s">
        <v>177</v>
      </c>
      <c r="L50" s="8" t="s">
        <v>180</v>
      </c>
      <c r="M50" s="8" t="s">
        <v>183</v>
      </c>
      <c r="N50" s="8" t="s">
        <v>185</v>
      </c>
      <c r="O50" s="8" t="s">
        <v>304</v>
      </c>
      <c r="P50" s="8" t="s">
        <v>190</v>
      </c>
      <c r="Q50" s="8" t="s">
        <v>192</v>
      </c>
      <c r="R50" s="8" t="s">
        <v>305</v>
      </c>
      <c r="S50" s="8" t="s">
        <v>197</v>
      </c>
      <c r="T50" s="8" t="s">
        <v>200</v>
      </c>
      <c r="U50" s="8" t="s">
        <v>197</v>
      </c>
      <c r="V50" s="8" t="s">
        <v>200</v>
      </c>
      <c r="W50" s="8" t="s">
        <v>306</v>
      </c>
      <c r="X50" s="8" t="s">
        <v>209</v>
      </c>
      <c r="Y50" s="8" t="s">
        <v>212</v>
      </c>
      <c r="Z50" s="8" t="s">
        <v>215</v>
      </c>
      <c r="AA50" s="8" t="s">
        <v>218</v>
      </c>
      <c r="AB50" s="8" t="s">
        <v>221</v>
      </c>
      <c r="AC50" s="8" t="s">
        <v>307</v>
      </c>
      <c r="AD50" s="8" t="s">
        <v>200</v>
      </c>
      <c r="AE50" s="8" t="s">
        <v>221</v>
      </c>
      <c r="AF50" s="8" t="s">
        <v>200</v>
      </c>
      <c r="AG50" s="8" t="s">
        <v>308</v>
      </c>
      <c r="AH50" s="8" t="s">
        <v>232</v>
      </c>
      <c r="AI50" s="8" t="s">
        <v>238</v>
      </c>
      <c r="AJ50" s="8" t="s">
        <v>242</v>
      </c>
      <c r="AK50" s="8" t="s">
        <v>245</v>
      </c>
      <c r="AL50" s="8" t="s">
        <v>309</v>
      </c>
      <c r="AM50" s="8" t="s">
        <v>310</v>
      </c>
      <c r="AN50" s="8" t="s">
        <v>311</v>
      </c>
      <c r="AO50" s="8" t="s">
        <v>312</v>
      </c>
      <c r="AP50" s="8" t="s">
        <v>313</v>
      </c>
      <c r="AQ50" s="8" t="s">
        <v>314</v>
      </c>
    </row>
    <row r="51" customFormat="false" ht="15" hidden="false" customHeight="false" outlineLevel="0" collapsed="false">
      <c r="A51" s="44" t="n">
        <v>1</v>
      </c>
      <c r="B51" s="45" t="n">
        <f aca="false">$D$11</f>
        <v>4.61E-094</v>
      </c>
      <c r="C51" s="45" t="n">
        <f aca="false">$D$12</f>
        <v>4610000</v>
      </c>
      <c r="D51" s="46" t="n">
        <f aca="false">$D$13</f>
        <v>4605390</v>
      </c>
      <c r="E51" s="45" t="n">
        <f aca="false">$D$7*D51/('EOS steps'!$D$13*'EOS steps'!$D$7)^2</f>
        <v>0.0857573847479992</v>
      </c>
      <c r="F51" s="45" t="n">
        <f aca="false">$D$8*D51/('EOS steps'!$D$13*'EOS steps'!$D$7)</f>
        <v>0.0471245950902857</v>
      </c>
      <c r="G51" s="45" t="n">
        <f aca="false">-1</f>
        <v>-1</v>
      </c>
      <c r="H51" s="45" t="n">
        <f aca="false">E51-F51-F51^2</f>
        <v>0.0364120621952901</v>
      </c>
      <c r="I51" s="45" t="n">
        <f aca="false">-E51*F51</f>
        <v>-0.00404128203225131</v>
      </c>
      <c r="J51" s="45" t="n">
        <f aca="false">H51-G51^2/3</f>
        <v>-0.296921271138043</v>
      </c>
      <c r="K51" s="45" t="n">
        <f aca="false">2*G51^3/27-G51*H51/3+I51</f>
        <v>-0.0659780020412287</v>
      </c>
      <c r="L51" s="45" t="n">
        <f aca="false">K51^2/4+J51^3/27</f>
        <v>0.000118746605390493</v>
      </c>
      <c r="M51" s="45" t="n">
        <f aca="false">-K51/2-IF(K51&gt;=0,1,-1)*SQRT(MAX(L51,0))</f>
        <v>0.0438860926229866</v>
      </c>
      <c r="N51" s="45" t="n">
        <f aca="false">SIGN(M51)*ABS(M51)^(1/3)</f>
        <v>0.352729924265156</v>
      </c>
      <c r="O51" s="45" t="n">
        <f aca="false">IF(N51=0,0,N51-J51/(3*N51))</f>
        <v>0.633323517939429</v>
      </c>
      <c r="P51" s="45" t="n">
        <f aca="false">2*SQRT(MAX(-J51,0)/3)</f>
        <v>0.629201897791208</v>
      </c>
      <c r="Q51" s="45" t="n">
        <f aca="false">ACOS(IF(P51=0,0,MAX(-1,MIN(1,3*K51/(J51*P51)))))</f>
        <v>0</v>
      </c>
      <c r="R51" s="45" t="n">
        <f aca="false">P51*COS(Q51/3)</f>
        <v>0.629201897791208</v>
      </c>
      <c r="S51" s="45" t="n">
        <f aca="false">IF(L51&lt;0,R51,O51)-G51/3</f>
        <v>0.966656851272763</v>
      </c>
      <c r="T51" s="45" t="n">
        <f aca="false">IFERROR((((S51+G51)*S51+H51)*S51+I51)/((3*S51+2*G51)*S51+H51),0)</f>
        <v>-2.10530555283735E-017</v>
      </c>
      <c r="U51" s="45" t="n">
        <f aca="false">IF(ABS(T51)&lt;0.1*ABS(S51),S51-T51,S51)</f>
        <v>0.966656851272763</v>
      </c>
      <c r="V51" s="45" t="n">
        <f aca="false">IFERROR((((U51+G51)*U51+H51)*U51+I51)/((3*U51+2*G51)*U51+H51),0)</f>
        <v>-2.10530555283735E-017</v>
      </c>
      <c r="W51" s="45" t="n">
        <f aca="false">IF(ABS(V51)&lt;0.1*ABS(U51),U51-V51,U51)</f>
        <v>0.966656851272763</v>
      </c>
      <c r="X51" s="45" t="n">
        <f aca="false">-I51/W51</f>
        <v>0.00418067903509947</v>
      </c>
      <c r="Y51" s="45" t="n">
        <f aca="false">(H51-X51)/W51</f>
        <v>0.0333431487272373</v>
      </c>
      <c r="Z51" s="45" t="n">
        <f aca="false">Y51^2-4*X51</f>
        <v>-0.0156109505733512</v>
      </c>
      <c r="AA51" s="47" t="n">
        <f aca="false">IF(Z51&gt;=0,(Y51+IF(Y51&gt;=0,1,-1)*SQRT(Z51))/2,0)</f>
        <v>0</v>
      </c>
      <c r="AB51" s="48" t="n">
        <f aca="false">IF(AND(Z51&gt;=0,AA51&lt;&gt;0),MIN(AA51,X51/AA51),-1)</f>
        <v>-1</v>
      </c>
      <c r="AC51" s="45" t="n">
        <f aca="false">AND(Z51&gt;=0,AB51&gt;F51,ABS(W51-AB51)&gt;=0.00005*MAX(W51,AB51))</f>
        <v>0</v>
      </c>
      <c r="AD51" s="45" t="n">
        <f aca="false">IF(AC51,IFERROR((((AB51+G51)*AB51+H51)*AB51+I51)/((3*AB51+2*G51)*AB51+H51),0),0)</f>
        <v>0</v>
      </c>
      <c r="AE51" s="48" t="n">
        <f aca="false">IF(ABS(AD51)&lt;0.1*ABS(AB51),AB51-AD51,AB51)</f>
        <v>-1</v>
      </c>
      <c r="AF51" s="45" t="n">
        <f aca="false">IF(AC51,IFERROR((((AE51+G51)*AE51+H51)*AE51+I51)/((3*AE51+2*G51)*AE51+H51),0),0)</f>
        <v>0</v>
      </c>
      <c r="AG51" s="48" t="n">
        <f aca="false">IF(ABS(AF51)&lt;0.1*ABS(AE51),AE51-AF51,AE51)</f>
        <v>-1</v>
      </c>
      <c r="AH51" s="45" t="n">
        <f aca="false">IF(AC51,MAX(W51,AG51),W51)</f>
        <v>0.966656851272763</v>
      </c>
      <c r="AI51" s="48" t="n">
        <f aca="false">IF(AC51,MIN(W51,AG51),-1)</f>
        <v>-1</v>
      </c>
      <c r="AJ51" s="45" t="n">
        <f aca="false">AH51-1-LN(AH51-F51)-E51/F51*LN(1+F51/AH51)</f>
        <v>-0.0360737940981122</v>
      </c>
      <c r="AK51" s="45" t="n">
        <f aca="false">IF(AC51,AI51-1-LN(AI51-F51)-E51/F51*LN(1+F51/AI51),0)</f>
        <v>0</v>
      </c>
      <c r="AL51" s="45" t="n">
        <f aca="false">IF(AC51,AK51-AJ51,0)</f>
        <v>0</v>
      </c>
      <c r="AM51" s="45" t="n">
        <f aca="false">IF(AC51,AL51&gt;0,AH51*'EOS steps'!$D$13*'EOS steps'!$D$7/D51&gt;=$D$9)</f>
        <v>1</v>
      </c>
      <c r="AN51" s="45" t="n">
        <f aca="false">IF(AC51,IF(AH51&gt;AI51,D51*EXP(MAX(-50,MIN(50,AL51/(AH51-AI51)))),D51),IF(AM51,D51*$D$14,D51/$D$14))</f>
        <v>3667300.84940617</v>
      </c>
      <c r="AO51" s="45" t="n">
        <f aca="false">IF(AM51,D51,B51)</f>
        <v>4605390</v>
      </c>
      <c r="AP51" s="45" t="n">
        <f aca="false">IF(AM51,C51,D51)</f>
        <v>4610000</v>
      </c>
      <c r="AQ51" s="46" t="n">
        <f aca="false">IF(AC51,IF(AND(AN51&gt;=AO51*(1-0.000000001),AN51&lt;=AP51*(1+0.000000001)),AN51,SQRT(AO51*AP51)),IF(AND(AO51&gt;$D$11,AP51&lt;$D$12),SQRT(AO51*AP51),IF(AND(AN51&gt;=AO51*(1-0.000000001),AN51&lt;=AP51*(1+0.000000001)),AN51,SQRT(AO51*AP51))))</f>
        <v>4607694.4234617</v>
      </c>
    </row>
    <row r="52" customFormat="false" ht="15" hidden="false" customHeight="false" outlineLevel="0" collapsed="false">
      <c r="A52" s="44" t="n">
        <v>2</v>
      </c>
      <c r="B52" s="45" t="n">
        <f aca="false">AO51</f>
        <v>4605390</v>
      </c>
      <c r="C52" s="45" t="n">
        <f aca="false">AP51</f>
        <v>4610000</v>
      </c>
      <c r="D52" s="46" t="n">
        <f aca="false">AQ51</f>
        <v>4607694.4234617</v>
      </c>
      <c r="E52" s="45" t="n">
        <f aca="false">$D$7*D52/('EOS steps'!$D$13*'EOS steps'!$D$7)^2</f>
        <v>0.0858002956262152</v>
      </c>
      <c r="F52" s="45" t="n">
        <f aca="false">$D$8*D52/('EOS steps'!$D$13*'EOS steps'!$D$7)</f>
        <v>0.0471481750742934</v>
      </c>
      <c r="G52" s="45" t="n">
        <f aca="false">-1</f>
        <v>-1</v>
      </c>
      <c r="H52" s="45" t="n">
        <f aca="false">E52-F52-F52^2</f>
        <v>0.0364291701390856</v>
      </c>
      <c r="I52" s="45" t="n">
        <f aca="false">-E52*F52</f>
        <v>-0.00404532735961092</v>
      </c>
      <c r="J52" s="45" t="n">
        <f aca="false">H52-G52^2/3</f>
        <v>-0.296904163194248</v>
      </c>
      <c r="K52" s="45" t="n">
        <f aca="false">2*G52^3/27-G52*H52/3+I52</f>
        <v>-0.0659763447206565</v>
      </c>
      <c r="L52" s="45" t="n">
        <f aca="false">K52^2/4+J52^3/27</f>
        <v>0.000118859509145623</v>
      </c>
      <c r="M52" s="45" t="n">
        <f aca="false">-K52/2-IF(K52&gt;=0,1,-1)*SQRT(MAX(L52,0))</f>
        <v>0.0438904431855106</v>
      </c>
      <c r="N52" s="45" t="n">
        <f aca="false">SIGN(M52)*ABS(M52)^(1/3)</f>
        <v>0.352741579611924</v>
      </c>
      <c r="O52" s="45" t="n">
        <f aca="false">IF(N52=0,0,N52-J52/(3*N52))</f>
        <v>0.633309735220243</v>
      </c>
      <c r="P52" s="45" t="n">
        <f aca="false">2*SQRT(MAX(-J52,0)/3)</f>
        <v>0.629183770922558</v>
      </c>
      <c r="Q52" s="45" t="n">
        <f aca="false">ACOS(IF(P52=0,0,MAX(-1,MIN(1,3*K52/(J52*P52)))))</f>
        <v>0</v>
      </c>
      <c r="R52" s="45" t="n">
        <f aca="false">P52*COS(Q52/3)</f>
        <v>0.629183770922558</v>
      </c>
      <c r="S52" s="45" t="n">
        <f aca="false">IF(L52&lt;0,R52,O52)-G52/3</f>
        <v>0.966643068553576</v>
      </c>
      <c r="T52" s="45" t="n">
        <f aca="false">IFERROR((((S52+G52)*S52+H52)*S52+I52)/((3*S52+2*G52)*S52+H52),0)</f>
        <v>-6.6032606974049E-017</v>
      </c>
      <c r="U52" s="45" t="n">
        <f aca="false">IF(ABS(T52)&lt;0.1*ABS(S52),S52-T52,S52)</f>
        <v>0.966643068553576</v>
      </c>
      <c r="V52" s="45" t="n">
        <f aca="false">IFERROR((((U52+G52)*U52+H52)*U52+I52)/((3*U52+2*G52)*U52+H52),0)</f>
        <v>4.59357265906428E-017</v>
      </c>
      <c r="W52" s="45" t="n">
        <f aca="false">IF(ABS(V52)&lt;0.1*ABS(U52),U52-V52,U52)</f>
        <v>0.966643068553576</v>
      </c>
      <c r="X52" s="45" t="n">
        <f aca="false">-I52/W52</f>
        <v>0.00418492356818333</v>
      </c>
      <c r="Y52" s="45" t="n">
        <f aca="false">(H52-X52)/W52</f>
        <v>0.0333569314464237</v>
      </c>
      <c r="Z52" s="45" t="n">
        <f aca="false">Y52^2-4*X52</f>
        <v>-0.0156270093972119</v>
      </c>
      <c r="AA52" s="47" t="n">
        <f aca="false">IF(Z52&gt;=0,(Y52+IF(Y52&gt;=0,1,-1)*SQRT(Z52))/2,0)</f>
        <v>0</v>
      </c>
      <c r="AB52" s="48" t="n">
        <f aca="false">IF(AND(Z52&gt;=0,AA52&lt;&gt;0),MIN(AA52,X52/AA52),-1)</f>
        <v>-1</v>
      </c>
      <c r="AC52" s="45" t="n">
        <f aca="false">AND(Z52&gt;=0,AB52&gt;F52,ABS(W52-AB52)&gt;=0.00005*MAX(W52,AB52))</f>
        <v>0</v>
      </c>
      <c r="AD52" s="45" t="n">
        <f aca="false">IF(AC52,IFERROR((((AB52+G52)*AB52+H52)*AB52+I52)/((3*AB52+2*G52)*AB52+H52),0),0)</f>
        <v>0</v>
      </c>
      <c r="AE52" s="48" t="n">
        <f aca="false">IF(ABS(AD52)&lt;0.1*ABS(AB52),AB52-AD52,AB52)</f>
        <v>-1</v>
      </c>
      <c r="AF52" s="45" t="n">
        <f aca="false">IF(AC52,IFERROR((((AE52+G52)*AE52+H52)*AE52+I52)/((3*AE52+2*G52)*AE52+H52),0),0)</f>
        <v>0</v>
      </c>
      <c r="AG52" s="48" t="n">
        <f aca="false">IF(ABS(AF52)&lt;0.1*ABS(AE52),AE52-AF52,AE52)</f>
        <v>-1</v>
      </c>
      <c r="AH52" s="45" t="n">
        <f aca="false">IF(AC52,MAX(W52,AG52),W52)</f>
        <v>0.966643068553576</v>
      </c>
      <c r="AI52" s="48" t="n">
        <f aca="false">IF(AC52,MIN(W52,AG52),-1)</f>
        <v>-1</v>
      </c>
      <c r="AJ52" s="45" t="n">
        <f aca="false">AH52-1-LN(AH52-F52)-E52/F52*LN(1+F52/AH52)</f>
        <v>-0.0360904774610713</v>
      </c>
      <c r="AK52" s="45" t="n">
        <f aca="false">IF(AC52,AI52-1-LN(AI52-F52)-E52/F52*LN(1+F52/AI52),0)</f>
        <v>0</v>
      </c>
      <c r="AL52" s="45" t="n">
        <f aca="false">IF(AC52,AK52-AJ52,0)</f>
        <v>0</v>
      </c>
      <c r="AM52" s="45" t="n">
        <f aca="false">IF(AC52,AL52&gt;0,AH52*'EOS steps'!$D$13*'EOS steps'!$D$7/D52&gt;=$D$9)</f>
        <v>1</v>
      </c>
      <c r="AN52" s="45" t="n">
        <f aca="false">IF(AC52,IF(AH52&gt;AI52,D52*EXP(MAX(-50,MIN(50,AL52/(AH52-AI52)))),D52),IF(AM52,D52*$D$14,D52/$D$14))</f>
        <v>3669135.87621573</v>
      </c>
      <c r="AO52" s="45" t="n">
        <f aca="false">IF(AM52,D52,B52)</f>
        <v>4607694.4234617</v>
      </c>
      <c r="AP52" s="45" t="n">
        <f aca="false">IF(AM52,C52,D52)</f>
        <v>4610000</v>
      </c>
      <c r="AQ52" s="46" t="n">
        <f aca="false">IF(AC52,IF(AND(AN52&gt;=AO52*(1-0.000000001),AN52&lt;=AP52*(1+0.000000001)),AN52,SQRT(AO52*AP52)),IF(AND(AO52&gt;$D$11,AP52&lt;$D$12),SQRT(AO52*AP52),IF(AND(AN52&gt;=AO52*(1-0.000000001),AN52&lt;=AP52*(1+0.000000001)),AN52,SQRT(AO52*AP52))))</f>
        <v>4608847.06756022</v>
      </c>
    </row>
    <row r="53" customFormat="false" ht="15" hidden="false" customHeight="false" outlineLevel="0" collapsed="false">
      <c r="A53" s="44" t="n">
        <v>3</v>
      </c>
      <c r="B53" s="45" t="n">
        <f aca="false">AO52</f>
        <v>4607694.4234617</v>
      </c>
      <c r="C53" s="45" t="n">
        <f aca="false">AP52</f>
        <v>4610000</v>
      </c>
      <c r="D53" s="46" t="n">
        <f aca="false">AQ52</f>
        <v>4608847.06756022</v>
      </c>
      <c r="E53" s="45" t="n">
        <f aca="false">$D$7*D53/('EOS steps'!$D$13*'EOS steps'!$D$7)^2</f>
        <v>0.0858217591164808</v>
      </c>
      <c r="F53" s="45" t="n">
        <f aca="false">$D$8*D53/('EOS steps'!$D$13*'EOS steps'!$D$7)</f>
        <v>0.047159969490494</v>
      </c>
      <c r="G53" s="45" t="n">
        <f aca="false">-1</f>
        <v>-1</v>
      </c>
      <c r="H53" s="45" t="n">
        <f aca="false">E53-F53-F53^2</f>
        <v>0.0364377269036425</v>
      </c>
      <c r="I53" s="45" t="n">
        <f aca="false">-E53*F53</f>
        <v>-0.00404735154155376</v>
      </c>
      <c r="J53" s="45" t="n">
        <f aca="false">H53-G53^2/3</f>
        <v>-0.296895606429691</v>
      </c>
      <c r="K53" s="45" t="n">
        <f aca="false">2*G53^3/27-G53*H53/3+I53</f>
        <v>-0.065975516647747</v>
      </c>
      <c r="L53" s="45" t="n">
        <f aca="false">K53^2/4+J53^3/27</f>
        <v>0.000118916001024443</v>
      </c>
      <c r="M53" s="45" t="n">
        <f aca="false">-K53/2-IF(K53&gt;=0,1,-1)*SQRT(MAX(L53,0))</f>
        <v>0.0438926196721183</v>
      </c>
      <c r="N53" s="45" t="n">
        <f aca="false">SIGN(M53)*ABS(M53)^(1/3)</f>
        <v>0.35274741022544</v>
      </c>
      <c r="O53" s="45" t="n">
        <f aca="false">IF(N53=0,0,N53-J53/(3*N53))</f>
        <v>0.633302842453793</v>
      </c>
      <c r="P53" s="45" t="n">
        <f aca="false">2*SQRT(MAX(-J53,0)/3)</f>
        <v>0.62917470433332</v>
      </c>
      <c r="Q53" s="45" t="n">
        <f aca="false">ACOS(IF(P53=0,0,MAX(-1,MIN(1,3*K53/(J53*P53)))))</f>
        <v>0</v>
      </c>
      <c r="R53" s="45" t="n">
        <f aca="false">P53*COS(Q53/3)</f>
        <v>0.62917470433332</v>
      </c>
      <c r="S53" s="45" t="n">
        <f aca="false">IF(L53&lt;0,R53,O53)-G53/3</f>
        <v>0.966636175787126</v>
      </c>
      <c r="T53" s="45" t="n">
        <f aca="false">IFERROR((((S53+G53)*S53+H53)*S53+I53)/((3*S53+2*G53)*S53+H53),0)</f>
        <v>-3.73235040575685E-017</v>
      </c>
      <c r="U53" s="45" t="n">
        <f aca="false">IF(ABS(T53)&lt;0.1*ABS(S53),S53-T53,S53)</f>
        <v>0.966636175787126</v>
      </c>
      <c r="V53" s="45" t="n">
        <f aca="false">IFERROR((((U53+G53)*U53+H53)*U53+I53)/((3*U53+2*G53)*U53+H53),0)</f>
        <v>-3.73235040575685E-017</v>
      </c>
      <c r="W53" s="45" t="n">
        <f aca="false">IF(ABS(V53)&lt;0.1*ABS(U53),U53-V53,U53)</f>
        <v>0.966636175787126</v>
      </c>
      <c r="X53" s="45" t="n">
        <f aca="false">-I53/W53</f>
        <v>0.00418704745687593</v>
      </c>
      <c r="Y53" s="45" t="n">
        <f aca="false">(H53-X53)/W53</f>
        <v>0.0333638242128742</v>
      </c>
      <c r="Z53" s="45" t="n">
        <f aca="false">Y53^2-4*X53</f>
        <v>-0.0156350450613961</v>
      </c>
      <c r="AA53" s="47" t="n">
        <f aca="false">IF(Z53&gt;=0,(Y53+IF(Y53&gt;=0,1,-1)*SQRT(Z53))/2,0)</f>
        <v>0</v>
      </c>
      <c r="AB53" s="48" t="n">
        <f aca="false">IF(AND(Z53&gt;=0,AA53&lt;&gt;0),MIN(AA53,X53/AA53),-1)</f>
        <v>-1</v>
      </c>
      <c r="AC53" s="45" t="n">
        <f aca="false">AND(Z53&gt;=0,AB53&gt;F53,ABS(W53-AB53)&gt;=0.00005*MAX(W53,AB53))</f>
        <v>0</v>
      </c>
      <c r="AD53" s="45" t="n">
        <f aca="false">IF(AC53,IFERROR((((AB53+G53)*AB53+H53)*AB53+I53)/((3*AB53+2*G53)*AB53+H53),0),0)</f>
        <v>0</v>
      </c>
      <c r="AE53" s="48" t="n">
        <f aca="false">IF(ABS(AD53)&lt;0.1*ABS(AB53),AB53-AD53,AB53)</f>
        <v>-1</v>
      </c>
      <c r="AF53" s="45" t="n">
        <f aca="false">IF(AC53,IFERROR((((AE53+G53)*AE53+H53)*AE53+I53)/((3*AE53+2*G53)*AE53+H53),0),0)</f>
        <v>0</v>
      </c>
      <c r="AG53" s="48" t="n">
        <f aca="false">IF(ABS(AF53)&lt;0.1*ABS(AE53),AE53-AF53,AE53)</f>
        <v>-1</v>
      </c>
      <c r="AH53" s="45" t="n">
        <f aca="false">IF(AC53,MAX(W53,AG53),W53)</f>
        <v>0.966636175787126</v>
      </c>
      <c r="AI53" s="48" t="n">
        <f aca="false">IF(AC53,MIN(W53,AG53),-1)</f>
        <v>-1</v>
      </c>
      <c r="AJ53" s="45" t="n">
        <f aca="false">AH53-1-LN(AH53-F53)-E53/F53*LN(1+F53/AH53)</f>
        <v>-0.0360988217283388</v>
      </c>
      <c r="AK53" s="45" t="n">
        <f aca="false">IF(AC53,AI53-1-LN(AI53-F53)-E53/F53*LN(1+F53/AI53),0)</f>
        <v>0</v>
      </c>
      <c r="AL53" s="45" t="n">
        <f aca="false">IF(AC53,AK53-AJ53,0)</f>
        <v>0</v>
      </c>
      <c r="AM53" s="45" t="n">
        <f aca="false">IF(AC53,AL53&gt;0,AH53*'EOS steps'!$D$13*'EOS steps'!$D$7/D53&gt;=$D$9)</f>
        <v>1</v>
      </c>
      <c r="AN53" s="45" t="n">
        <f aca="false">IF(AC53,IF(AH53&gt;AI53,D53*EXP(MAX(-50,MIN(50,AL53/(AH53-AI53)))),D53),IF(AM53,D53*$D$14,D53/$D$14))</f>
        <v>3670053.73391759</v>
      </c>
      <c r="AO53" s="45" t="n">
        <f aca="false">IF(AM53,D53,B53)</f>
        <v>4608847.06756022</v>
      </c>
      <c r="AP53" s="45" t="n">
        <f aca="false">IF(AM53,C53,D53)</f>
        <v>4610000</v>
      </c>
      <c r="AQ53" s="46" t="n">
        <f aca="false">IF(AC53,IF(AND(AN53&gt;=AO53*(1-0.000000001),AN53&lt;=AP53*(1+0.000000001)),AN53,SQRT(AO53*AP53)),IF(AND(AO53&gt;$D$11,AP53&lt;$D$12),SQRT(AO53*AP53),IF(AND(AN53&gt;=AO53*(1-0.000000001),AN53&lt;=AP53*(1+0.000000001)),AN53,SQRT(AO53*AP53))))</f>
        <v>4609423.49773294</v>
      </c>
    </row>
    <row r="54" customFormat="false" ht="15" hidden="false" customHeight="false" outlineLevel="0" collapsed="false">
      <c r="A54" s="44" t="n">
        <v>4</v>
      </c>
      <c r="B54" s="45" t="n">
        <f aca="false">AO53</f>
        <v>4608847.06756022</v>
      </c>
      <c r="C54" s="45" t="n">
        <f aca="false">AP53</f>
        <v>4610000</v>
      </c>
      <c r="D54" s="46" t="n">
        <f aca="false">AQ53</f>
        <v>4609423.49773294</v>
      </c>
      <c r="E54" s="45" t="n">
        <f aca="false">$D$7*D54/('EOS steps'!$D$13*'EOS steps'!$D$7)^2</f>
        <v>0.0858324928749904</v>
      </c>
      <c r="F54" s="45" t="n">
        <f aca="false">$D$8*D54/('EOS steps'!$D$13*'EOS steps'!$D$7)</f>
        <v>0.0471658678049662</v>
      </c>
      <c r="G54" s="45" t="n">
        <f aca="false">-1</f>
        <v>-1</v>
      </c>
      <c r="H54" s="45" t="n">
        <f aca="false">E54-F54-F54^2</f>
        <v>0.0364420059842287</v>
      </c>
      <c r="I54" s="45" t="n">
        <f aca="false">-E54*F54</f>
        <v>-0.00404836401231251</v>
      </c>
      <c r="J54" s="45" t="n">
        <f aca="false">H54-G54^2/3</f>
        <v>-0.296891327349105</v>
      </c>
      <c r="K54" s="45" t="n">
        <f aca="false">2*G54^3/27-G54*H54/3+I54</f>
        <v>-0.0659751027583104</v>
      </c>
      <c r="L54" s="45" t="n">
        <f aca="false">K54^2/4+J54^3/27</f>
        <v>0.000118944256969774</v>
      </c>
      <c r="M54" s="45" t="n">
        <f aca="false">-K54/2-IF(K54&gt;=0,1,-1)*SQRT(MAX(L54,0))</f>
        <v>0.0438937082169131</v>
      </c>
      <c r="N54" s="45" t="n">
        <f aca="false">SIGN(M54)*ABS(M54)^(1/3)</f>
        <v>0.35275032626756</v>
      </c>
      <c r="O54" s="45" t="n">
        <f aca="false">IF(N54=0,0,N54-J54/(3*N54))</f>
        <v>0.633299395718941</v>
      </c>
      <c r="P54" s="45" t="n">
        <f aca="false">2*SQRT(MAX(-J54,0)/3)</f>
        <v>0.629170170249782</v>
      </c>
      <c r="Q54" s="45" t="n">
        <f aca="false">ACOS(IF(P54=0,0,MAX(-1,MIN(1,3*K54/(J54*P54)))))</f>
        <v>0</v>
      </c>
      <c r="R54" s="45" t="n">
        <f aca="false">P54*COS(Q54/3)</f>
        <v>0.629170170249782</v>
      </c>
      <c r="S54" s="45" t="n">
        <f aca="false">IF(L54&lt;0,R54,O54)-G54/3</f>
        <v>0.966632729052274</v>
      </c>
      <c r="T54" s="45" t="n">
        <f aca="false">IFERROR((((S54+G54)*S54+H54)*S54+I54)/((3*S54+2*G54)*S54+H54),0)</f>
        <v>-1.07186490395716E-016</v>
      </c>
      <c r="U54" s="45" t="n">
        <f aca="false">IF(ABS(T54)&lt;0.1*ABS(S54),S54-T54,S54)</f>
        <v>0.966632729052274</v>
      </c>
      <c r="V54" s="45" t="n">
        <f aca="false">IFERROR((((U54+G54)*U54+H54)*U54+I54)/((3*U54+2*G54)*U54+H54),0)</f>
        <v>0</v>
      </c>
      <c r="W54" s="45" t="n">
        <f aca="false">IF(ABS(V54)&lt;0.1*ABS(U54),U54-V54,U54)</f>
        <v>0.966632729052274</v>
      </c>
      <c r="X54" s="45" t="n">
        <f aca="false">-I54/W54</f>
        <v>0.00418810980700156</v>
      </c>
      <c r="Y54" s="45" t="n">
        <f aca="false">(H54-X54)/W54</f>
        <v>0.0333672709477261</v>
      </c>
      <c r="Z54" s="45" t="n">
        <f aca="false">Y54^2-4*X54</f>
        <v>-0.0156390644575073</v>
      </c>
      <c r="AA54" s="47" t="n">
        <f aca="false">IF(Z54&gt;=0,(Y54+IF(Y54&gt;=0,1,-1)*SQRT(Z54))/2,0)</f>
        <v>0</v>
      </c>
      <c r="AB54" s="48" t="n">
        <f aca="false">IF(AND(Z54&gt;=0,AA54&lt;&gt;0),MIN(AA54,X54/AA54),-1)</f>
        <v>-1</v>
      </c>
      <c r="AC54" s="45" t="n">
        <f aca="false">AND(Z54&gt;=0,AB54&gt;F54,ABS(W54-AB54)&gt;=0.00005*MAX(W54,AB54))</f>
        <v>0</v>
      </c>
      <c r="AD54" s="45" t="n">
        <f aca="false">IF(AC54,IFERROR((((AB54+G54)*AB54+H54)*AB54+I54)/((3*AB54+2*G54)*AB54+H54),0),0)</f>
        <v>0</v>
      </c>
      <c r="AE54" s="48" t="n">
        <f aca="false">IF(ABS(AD54)&lt;0.1*ABS(AB54),AB54-AD54,AB54)</f>
        <v>-1</v>
      </c>
      <c r="AF54" s="45" t="n">
        <f aca="false">IF(AC54,IFERROR((((AE54+G54)*AE54+H54)*AE54+I54)/((3*AE54+2*G54)*AE54+H54),0),0)</f>
        <v>0</v>
      </c>
      <c r="AG54" s="48" t="n">
        <f aca="false">IF(ABS(AF54)&lt;0.1*ABS(AE54),AE54-AF54,AE54)</f>
        <v>-1</v>
      </c>
      <c r="AH54" s="45" t="n">
        <f aca="false">IF(AC54,MAX(W54,AG54),W54)</f>
        <v>0.966632729052274</v>
      </c>
      <c r="AI54" s="48" t="n">
        <f aca="false">IF(AC54,MIN(W54,AG54),-1)</f>
        <v>-1</v>
      </c>
      <c r="AJ54" s="45" t="n">
        <f aca="false">AH54-1-LN(AH54-F54)-E54/F54*LN(1+F54/AH54)</f>
        <v>-0.0361029945085219</v>
      </c>
      <c r="AK54" s="45" t="n">
        <f aca="false">IF(AC54,AI54-1-LN(AI54-F54)-E54/F54*LN(1+F54/AI54),0)</f>
        <v>0</v>
      </c>
      <c r="AL54" s="45" t="n">
        <f aca="false">IF(AC54,AK54-AJ54,0)</f>
        <v>0</v>
      </c>
      <c r="AM54" s="45" t="n">
        <f aca="false">IF(AC54,AL54&gt;0,AH54*'EOS steps'!$D$13*'EOS steps'!$D$7/D54&gt;=$D$9)</f>
        <v>1</v>
      </c>
      <c r="AN54" s="45" t="n">
        <f aca="false">IF(AC54,IF(AH54&gt;AI54,D54*EXP(MAX(-50,MIN(50,AL54/(AH54-AI54)))),D54),IF(AM54,D54*$D$14,D54/$D$14))</f>
        <v>3670512.74886791</v>
      </c>
      <c r="AO54" s="45" t="n">
        <f aca="false">IF(AM54,D54,B54)</f>
        <v>4609423.49773294</v>
      </c>
      <c r="AP54" s="45" t="n">
        <f aca="false">IF(AM54,C54,D54)</f>
        <v>4610000</v>
      </c>
      <c r="AQ54" s="46" t="n">
        <f aca="false">IF(AC54,IF(AND(AN54&gt;=AO54*(1-0.000000001),AN54&lt;=AP54*(1+0.000000001)),AN54,SQRT(AO54*AP54)),IF(AND(AO54&gt;$D$11,AP54&lt;$D$12),SQRT(AO54*AP54),IF(AND(AN54&gt;=AO54*(1-0.000000001),AN54&lt;=AP54*(1+0.000000001)),AN54,SQRT(AO54*AP54))))</f>
        <v>4609711.73985412</v>
      </c>
    </row>
    <row r="55" customFormat="false" ht="15" hidden="false" customHeight="false" outlineLevel="0" collapsed="false">
      <c r="A55" s="44" t="n">
        <v>5</v>
      </c>
      <c r="B55" s="45" t="n">
        <f aca="false">AO54</f>
        <v>4609423.49773294</v>
      </c>
      <c r="C55" s="45" t="n">
        <f aca="false">AP54</f>
        <v>4610000</v>
      </c>
      <c r="D55" s="46" t="n">
        <f aca="false">AQ54</f>
        <v>4609711.73985412</v>
      </c>
      <c r="E55" s="45" t="n">
        <f aca="false">$D$7*D55/('EOS steps'!$D$13*'EOS steps'!$D$7)^2</f>
        <v>0.0858378602576629</v>
      </c>
      <c r="F55" s="45" t="n">
        <f aca="false">$D$8*D55/('EOS steps'!$D$13*'EOS steps'!$D$7)</f>
        <v>0.0471688172388357</v>
      </c>
      <c r="G55" s="45" t="n">
        <f aca="false">-1</f>
        <v>-1</v>
      </c>
      <c r="H55" s="45" t="n">
        <f aca="false">E55-F55-F55^2</f>
        <v>0.0364441456991165</v>
      </c>
      <c r="I55" s="45" t="n">
        <f aca="false">-E55*F55</f>
        <v>-0.00404887034266643</v>
      </c>
      <c r="J55" s="45" t="n">
        <f aca="false">H55-G55^2/3</f>
        <v>-0.296889187634217</v>
      </c>
      <c r="K55" s="45" t="n">
        <f aca="false">2*G55^3/27-G55*H55/3+I55</f>
        <v>-0.0659748958503683</v>
      </c>
      <c r="L55" s="45" t="n">
        <f aca="false">K55^2/4+J55^3/27</f>
        <v>0.000118958387444621</v>
      </c>
      <c r="M55" s="45" t="n">
        <f aca="false">-K55/2-IF(K55&gt;=0,1,-1)*SQRT(MAX(L55,0))</f>
        <v>0.0438942525647026</v>
      </c>
      <c r="N55" s="45" t="n">
        <f aca="false">SIGN(M55)*ABS(M55)^(1/3)</f>
        <v>0.3527517844725</v>
      </c>
      <c r="O55" s="45" t="n">
        <f aca="false">IF(N55=0,0,N55-J55/(3*N55))</f>
        <v>0.633297672263619</v>
      </c>
      <c r="P55" s="45" t="n">
        <f aca="false">2*SQRT(MAX(-J55,0)/3)</f>
        <v>0.629167903010759</v>
      </c>
      <c r="Q55" s="45" t="n">
        <f aca="false">ACOS(IF(P55=0,0,MAX(-1,MIN(1,3*K55/(J55*P55)))))</f>
        <v>0</v>
      </c>
      <c r="R55" s="45" t="n">
        <f aca="false">P55*COS(Q55/3)</f>
        <v>0.629167903010759</v>
      </c>
      <c r="S55" s="45" t="n">
        <f aca="false">IF(L55&lt;0,R55,O55)-G55/3</f>
        <v>0.966631005596952</v>
      </c>
      <c r="T55" s="45" t="n">
        <f aca="false">IFERROR((((S55+G55)*S55+H55)*S55+I55)/((3*S55+2*G55)*S55+H55),0)</f>
        <v>-4.01951294407137E-017</v>
      </c>
      <c r="U55" s="45" t="n">
        <f aca="false">IF(ABS(T55)&lt;0.1*ABS(S55),S55-T55,S55)</f>
        <v>0.966631005596952</v>
      </c>
      <c r="V55" s="45" t="n">
        <f aca="false">IFERROR((((U55+G55)*U55+H55)*U55+I55)/((3*U55+2*G55)*U55+H55),0)</f>
        <v>-4.01951294407137E-017</v>
      </c>
      <c r="W55" s="45" t="n">
        <f aca="false">IF(ABS(V55)&lt;0.1*ABS(U55),U55-V55,U55)</f>
        <v>0.966631005596952</v>
      </c>
      <c r="X55" s="45" t="n">
        <f aca="false">-I55/W55</f>
        <v>0.00418864108353943</v>
      </c>
      <c r="Y55" s="45" t="n">
        <f aca="false">(H55-X55)/W55</f>
        <v>0.0333689944030477</v>
      </c>
      <c r="Z55" s="45" t="n">
        <f aca="false">Y55^2-4*X55</f>
        <v>-0.0156410745466871</v>
      </c>
      <c r="AA55" s="47" t="n">
        <f aca="false">IF(Z55&gt;=0,(Y55+IF(Y55&gt;=0,1,-1)*SQRT(Z55))/2,0)</f>
        <v>0</v>
      </c>
      <c r="AB55" s="48" t="n">
        <f aca="false">IF(AND(Z55&gt;=0,AA55&lt;&gt;0),MIN(AA55,X55/AA55),-1)</f>
        <v>-1</v>
      </c>
      <c r="AC55" s="45" t="n">
        <f aca="false">AND(Z55&gt;=0,AB55&gt;F55,ABS(W55-AB55)&gt;=0.00005*MAX(W55,AB55))</f>
        <v>0</v>
      </c>
      <c r="AD55" s="45" t="n">
        <f aca="false">IF(AC55,IFERROR((((AB55+G55)*AB55+H55)*AB55+I55)/((3*AB55+2*G55)*AB55+H55),0),0)</f>
        <v>0</v>
      </c>
      <c r="AE55" s="48" t="n">
        <f aca="false">IF(ABS(AD55)&lt;0.1*ABS(AB55),AB55-AD55,AB55)</f>
        <v>-1</v>
      </c>
      <c r="AF55" s="45" t="n">
        <f aca="false">IF(AC55,IFERROR((((AE55+G55)*AE55+H55)*AE55+I55)/((3*AE55+2*G55)*AE55+H55),0),0)</f>
        <v>0</v>
      </c>
      <c r="AG55" s="48" t="n">
        <f aca="false">IF(ABS(AF55)&lt;0.1*ABS(AE55),AE55-AF55,AE55)</f>
        <v>-1</v>
      </c>
      <c r="AH55" s="45" t="n">
        <f aca="false">IF(AC55,MAX(W55,AG55),W55)</f>
        <v>0.966631005596952</v>
      </c>
      <c r="AI55" s="48" t="n">
        <f aca="false">IF(AC55,MIN(W55,AG55),-1)</f>
        <v>-1</v>
      </c>
      <c r="AJ55" s="45" t="n">
        <f aca="false">AH55-1-LN(AH55-F55)-E55/F55*LN(1+F55/AH55)</f>
        <v>-0.0361050810602637</v>
      </c>
      <c r="AK55" s="45" t="n">
        <f aca="false">IF(AC55,AI55-1-LN(AI55-F55)-E55/F55*LN(1+F55/AI55),0)</f>
        <v>0</v>
      </c>
      <c r="AL55" s="45" t="n">
        <f aca="false">IF(AC55,AK55-AJ55,0)</f>
        <v>0</v>
      </c>
      <c r="AM55" s="45" t="n">
        <f aca="false">IF(AC55,AL55&gt;0,AH55*'EOS steps'!$D$13*'EOS steps'!$D$7/D55&gt;=$D$9)</f>
        <v>1</v>
      </c>
      <c r="AN55" s="45" t="n">
        <f aca="false">IF(AC55,IF(AH55&gt;AI55,D55*EXP(MAX(-50,MIN(50,AL55/(AH55-AI55)))),D55),IF(AM55,D55*$D$14,D55/$D$14))</f>
        <v>3670742.27787106</v>
      </c>
      <c r="AO55" s="45" t="n">
        <f aca="false">IF(AM55,D55,B55)</f>
        <v>4609711.73985412</v>
      </c>
      <c r="AP55" s="45" t="n">
        <f aca="false">IF(AM55,C55,D55)</f>
        <v>4610000</v>
      </c>
      <c r="AQ55" s="46" t="n">
        <f aca="false">IF(AC55,IF(AND(AN55&gt;=AO55*(1-0.000000001),AN55&lt;=AP55*(1+0.000000001)),AN55,SQRT(AO55*AP55)),IF(AND(AO55&gt;$D$11,AP55&lt;$D$12),SQRT(AO55*AP55),IF(AND(AN55&gt;=AO55*(1-0.000000001),AN55&lt;=AP55*(1+0.000000001)),AN55,SQRT(AO55*AP55))))</f>
        <v>4609855.8676739</v>
      </c>
    </row>
    <row r="56" customFormat="false" ht="15" hidden="false" customHeight="false" outlineLevel="0" collapsed="false">
      <c r="A56" s="44" t="n">
        <v>6</v>
      </c>
      <c r="B56" s="45" t="n">
        <f aca="false">AO55</f>
        <v>4609711.73985412</v>
      </c>
      <c r="C56" s="45" t="n">
        <f aca="false">AP55</f>
        <v>4610000</v>
      </c>
      <c r="D56" s="46" t="n">
        <f aca="false">AQ55</f>
        <v>4609855.8676739</v>
      </c>
      <c r="E56" s="45" t="n">
        <f aca="false">$D$7*D56/('EOS steps'!$D$13*'EOS steps'!$D$7)^2</f>
        <v>0.0858405440748628</v>
      </c>
      <c r="F56" s="45" t="n">
        <f aca="false">$D$8*D56/('EOS steps'!$D$13*'EOS steps'!$D$7)</f>
        <v>0.0471702920249339</v>
      </c>
      <c r="G56" s="45" t="n">
        <f aca="false">-1</f>
        <v>-1</v>
      </c>
      <c r="H56" s="45" t="n">
        <f aca="false">E56-F56-F56^2</f>
        <v>0.0364452156002114</v>
      </c>
      <c r="I56" s="45" t="n">
        <f aca="false">-E56*F56</f>
        <v>-0.00404912353159048</v>
      </c>
      <c r="J56" s="45" t="n">
        <f aca="false">H56-G56^2/3</f>
        <v>-0.296888117733122</v>
      </c>
      <c r="K56" s="45" t="n">
        <f aca="false">2*G56^3/27-G56*H56/3+I56</f>
        <v>-0.0659747924055941</v>
      </c>
      <c r="L56" s="45" t="n">
        <f aca="false">K56^2/4+J56^3/27</f>
        <v>0.000118965453307677</v>
      </c>
      <c r="M56" s="45" t="n">
        <f aca="false">-K56/2-IF(K56&gt;=0,1,-1)*SQRT(MAX(L56,0))</f>
        <v>0.0438945247574478</v>
      </c>
      <c r="N56" s="45" t="n">
        <f aca="false">SIGN(M56)*ABS(M56)^(1/3)</f>
        <v>0.352752513620946</v>
      </c>
      <c r="O56" s="45" t="n">
        <f aca="false">IF(N56=0,0,N56-J56/(3*N56))</f>
        <v>0.633296810513986</v>
      </c>
      <c r="P56" s="45" t="n">
        <f aca="false">2*SQRT(MAX(-J56,0)/3)</f>
        <v>0.629166769341931</v>
      </c>
      <c r="Q56" s="45" t="n">
        <f aca="false">ACOS(IF(P56=0,0,MAX(-1,MIN(1,3*K56/(J56*P56)))))</f>
        <v>0</v>
      </c>
      <c r="R56" s="45" t="n">
        <f aca="false">P56*COS(Q56/3)</f>
        <v>0.629166769341931</v>
      </c>
      <c r="S56" s="45" t="n">
        <f aca="false">IF(L56&lt;0,R56,O56)-G56/3</f>
        <v>0.966630143847319</v>
      </c>
      <c r="T56" s="45" t="n">
        <f aca="false">IFERROR((((S56+G56)*S56+H56)*S56+I56)/((3*S56+2*G56)*S56+H56),0)</f>
        <v>-8.90037174025564E-017</v>
      </c>
      <c r="U56" s="45" t="n">
        <f aca="false">IF(ABS(T56)&lt;0.1*ABS(S56),S56-T56,S56)</f>
        <v>0.966630143847319</v>
      </c>
      <c r="V56" s="45" t="n">
        <f aca="false">IFERROR((((U56+G56)*U56+H56)*U56+I56)/((3*U56+2*G56)*U56+H56),0)</f>
        <v>0</v>
      </c>
      <c r="W56" s="45" t="n">
        <f aca="false">IF(ABS(V56)&lt;0.1*ABS(U56),U56-V56,U56)</f>
        <v>0.966630143847319</v>
      </c>
      <c r="X56" s="45" t="n">
        <f aca="false">-I56/W56</f>
        <v>0.00418890674718091</v>
      </c>
      <c r="Y56" s="45" t="n">
        <f aca="false">(H56-X56)/W56</f>
        <v>0.0333698561526811</v>
      </c>
      <c r="Z56" s="45" t="n">
        <f aca="false">Y56^2-4*X56</f>
        <v>-0.015642079689073</v>
      </c>
      <c r="AA56" s="47" t="n">
        <f aca="false">IF(Z56&gt;=0,(Y56+IF(Y56&gt;=0,1,-1)*SQRT(Z56))/2,0)</f>
        <v>0</v>
      </c>
      <c r="AB56" s="48" t="n">
        <f aca="false">IF(AND(Z56&gt;=0,AA56&lt;&gt;0),MIN(AA56,X56/AA56),-1)</f>
        <v>-1</v>
      </c>
      <c r="AC56" s="45" t="n">
        <f aca="false">AND(Z56&gt;=0,AB56&gt;F56,ABS(W56-AB56)&gt;=0.00005*MAX(W56,AB56))</f>
        <v>0</v>
      </c>
      <c r="AD56" s="45" t="n">
        <f aca="false">IF(AC56,IFERROR((((AB56+G56)*AB56+H56)*AB56+I56)/((3*AB56+2*G56)*AB56+H56),0),0)</f>
        <v>0</v>
      </c>
      <c r="AE56" s="48" t="n">
        <f aca="false">IF(ABS(AD56)&lt;0.1*ABS(AB56),AB56-AD56,AB56)</f>
        <v>-1</v>
      </c>
      <c r="AF56" s="45" t="n">
        <f aca="false">IF(AC56,IFERROR((((AE56+G56)*AE56+H56)*AE56+I56)/((3*AE56+2*G56)*AE56+H56),0),0)</f>
        <v>0</v>
      </c>
      <c r="AG56" s="48" t="n">
        <f aca="false">IF(ABS(AF56)&lt;0.1*ABS(AE56),AE56-AF56,AE56)</f>
        <v>-1</v>
      </c>
      <c r="AH56" s="45" t="n">
        <f aca="false">IF(AC56,MAX(W56,AG56),W56)</f>
        <v>0.966630143847319</v>
      </c>
      <c r="AI56" s="48" t="n">
        <f aca="false">IF(AC56,MIN(W56,AG56),-1)</f>
        <v>-1</v>
      </c>
      <c r="AJ56" s="45" t="n">
        <f aca="false">AH56-1-LN(AH56-F56)-E56/F56*LN(1+F56/AH56)</f>
        <v>-0.0361061243765486</v>
      </c>
      <c r="AK56" s="45" t="n">
        <f aca="false">IF(AC56,AI56-1-LN(AI56-F56)-E56/F56*LN(1+F56/AI56),0)</f>
        <v>0</v>
      </c>
      <c r="AL56" s="45" t="n">
        <f aca="false">IF(AC56,AK56-AJ56,0)</f>
        <v>0</v>
      </c>
      <c r="AM56" s="45" t="n">
        <f aca="false">IF(AC56,AL56&gt;0,AH56*'EOS steps'!$D$13*'EOS steps'!$D$7/D56&gt;=$D$9)</f>
        <v>1</v>
      </c>
      <c r="AN56" s="45" t="n">
        <f aca="false">IF(AC56,IF(AH56&gt;AI56,D56*EXP(MAX(-50,MIN(50,AL56/(AH56-AI56)))),D56),IF(AM56,D56*$D$14,D56/$D$14))</f>
        <v>3670857.04775502</v>
      </c>
      <c r="AO56" s="45" t="n">
        <f aca="false">IF(AM56,D56,B56)</f>
        <v>4609855.8676739</v>
      </c>
      <c r="AP56" s="45" t="n">
        <f aca="false">IF(AM56,C56,D56)</f>
        <v>4610000</v>
      </c>
      <c r="AQ56" s="46" t="n">
        <f aca="false">IF(AC56,IF(AND(AN56&gt;=AO56*(1-0.000000001),AN56&lt;=AP56*(1+0.000000001)),AN56,SQRT(AO56*AP56)),IF(AND(AO56&gt;$D$11,AP56&lt;$D$12),SQRT(AO56*AP56),IF(AND(AN56&gt;=AO56*(1-0.000000001),AN56&lt;=AP56*(1+0.000000001)),AN56,SQRT(AO56*AP56))))</f>
        <v>4609927.93327365</v>
      </c>
    </row>
    <row r="57" customFormat="false" ht="15" hidden="false" customHeight="false" outlineLevel="0" collapsed="false">
      <c r="A57" s="44" t="n">
        <v>7</v>
      </c>
      <c r="B57" s="45" t="n">
        <f aca="false">AO56</f>
        <v>4609855.8676739</v>
      </c>
      <c r="C57" s="45" t="n">
        <f aca="false">AP56</f>
        <v>4610000</v>
      </c>
      <c r="D57" s="46" t="n">
        <f aca="false">AQ56</f>
        <v>4609927.93327365</v>
      </c>
      <c r="E57" s="45" t="n">
        <f aca="false">$D$7*D57/('EOS steps'!$D$13*'EOS steps'!$D$7)^2</f>
        <v>0.0858418860149297</v>
      </c>
      <c r="F57" s="45" t="n">
        <f aca="false">$D$8*D57/('EOS steps'!$D$13*'EOS steps'!$D$7)</f>
        <v>0.0471710294352744</v>
      </c>
      <c r="G57" s="45" t="n">
        <f aca="false">-1</f>
        <v>-1</v>
      </c>
      <c r="H57" s="45" t="n">
        <f aca="false">E57-F57-F57^2</f>
        <v>0.0364457505616718</v>
      </c>
      <c r="I57" s="45" t="n">
        <f aca="false">-E57*F57</f>
        <v>-0.00404925013198972</v>
      </c>
      <c r="J57" s="45" t="n">
        <f aca="false">H57-G57^2/3</f>
        <v>-0.296887582771662</v>
      </c>
      <c r="K57" s="45" t="n">
        <f aca="false">2*G57^3/27-G57*H57/3+I57</f>
        <v>-0.0659747406855065</v>
      </c>
      <c r="L57" s="45" t="n">
        <f aca="false">K57^2/4+J57^3/27</f>
        <v>0.000118968986395625</v>
      </c>
      <c r="M57" s="45" t="n">
        <f aca="false">-K57/2-IF(K57&gt;=0,1,-1)*SQRT(MAX(L57,0))</f>
        <v>0.0438946608585333</v>
      </c>
      <c r="N57" s="45" t="n">
        <f aca="false">SIGN(M57)*ABS(M57)^(1/3)</f>
        <v>0.352752878206664</v>
      </c>
      <c r="O57" s="45" t="n">
        <f aca="false">IF(N57=0,0,N57-J57/(3*N57))</f>
        <v>0.633296379633676</v>
      </c>
      <c r="P57" s="45" t="n">
        <f aca="false">2*SQRT(MAX(-J57,0)/3)</f>
        <v>0.629166202495188</v>
      </c>
      <c r="Q57" s="45" t="n">
        <f aca="false">ACOS(IF(P57=0,0,MAX(-1,MIN(1,3*K57/(J57*P57)))))</f>
        <v>0</v>
      </c>
      <c r="R57" s="45" t="n">
        <f aca="false">P57*COS(Q57/3)</f>
        <v>0.629166202495188</v>
      </c>
      <c r="S57" s="45" t="n">
        <f aca="false">IF(L57&lt;0,R57,O57)-G57/3</f>
        <v>0.966629712967009</v>
      </c>
      <c r="T57" s="45" t="n">
        <f aca="false">IFERROR((((S57+G57)*S57+H57)*S57+I57)/((3*S57+2*G57)*S57+H57),0)</f>
        <v>-1.01445220636553E-016</v>
      </c>
      <c r="U57" s="45" t="n">
        <f aca="false">IF(ABS(T57)&lt;0.1*ABS(S57),S57-T57,S57)</f>
        <v>0.966629712967009</v>
      </c>
      <c r="V57" s="45" t="n">
        <f aca="false">IFERROR((((U57+G57)*U57+H57)*U57+I57)/((3*U57+2*G57)*U57+H57),0)</f>
        <v>0</v>
      </c>
      <c r="W57" s="45" t="n">
        <f aca="false">IF(ABS(V57)&lt;0.1*ABS(U57),U57-V57,U57)</f>
        <v>0.966629712967009</v>
      </c>
      <c r="X57" s="45" t="n">
        <f aca="false">-I57/W57</f>
        <v>0.00418903958534525</v>
      </c>
      <c r="Y57" s="45" t="n">
        <f aca="false">(H57-X57)/W57</f>
        <v>0.0333702870329907</v>
      </c>
      <c r="Z57" s="45" t="n">
        <f aca="false">Y57^2-4*X57</f>
        <v>-0.0156425822847168</v>
      </c>
      <c r="AA57" s="47" t="n">
        <f aca="false">IF(Z57&gt;=0,(Y57+IF(Y57&gt;=0,1,-1)*SQRT(Z57))/2,0)</f>
        <v>0</v>
      </c>
      <c r="AB57" s="48" t="n">
        <f aca="false">IF(AND(Z57&gt;=0,AA57&lt;&gt;0),MIN(AA57,X57/AA57),-1)</f>
        <v>-1</v>
      </c>
      <c r="AC57" s="45" t="n">
        <f aca="false">AND(Z57&gt;=0,AB57&gt;F57,ABS(W57-AB57)&gt;=0.00005*MAX(W57,AB57))</f>
        <v>0</v>
      </c>
      <c r="AD57" s="45" t="n">
        <f aca="false">IF(AC57,IFERROR((((AB57+G57)*AB57+H57)*AB57+I57)/((3*AB57+2*G57)*AB57+H57),0),0)</f>
        <v>0</v>
      </c>
      <c r="AE57" s="48" t="n">
        <f aca="false">IF(ABS(AD57)&lt;0.1*ABS(AB57),AB57-AD57,AB57)</f>
        <v>-1</v>
      </c>
      <c r="AF57" s="45" t="n">
        <f aca="false">IF(AC57,IFERROR((((AE57+G57)*AE57+H57)*AE57+I57)/((3*AE57+2*G57)*AE57+H57),0),0)</f>
        <v>0</v>
      </c>
      <c r="AG57" s="48" t="n">
        <f aca="false">IF(ABS(AF57)&lt;0.1*ABS(AE57),AE57-AF57,AE57)</f>
        <v>-1</v>
      </c>
      <c r="AH57" s="45" t="n">
        <f aca="false">IF(AC57,MAX(W57,AG57),W57)</f>
        <v>0.966629712967009</v>
      </c>
      <c r="AI57" s="48" t="n">
        <f aca="false">IF(AC57,MIN(W57,AG57),-1)</f>
        <v>-1</v>
      </c>
      <c r="AJ57" s="45" t="n">
        <f aca="false">AH57-1-LN(AH57-F57)-E57/F57*LN(1+F57/AH57)</f>
        <v>-0.0361066460447949</v>
      </c>
      <c r="AK57" s="45" t="n">
        <f aca="false">IF(AC57,AI57-1-LN(AI57-F57)-E57/F57*LN(1+F57/AI57),0)</f>
        <v>0</v>
      </c>
      <c r="AL57" s="45" t="n">
        <f aca="false">IF(AC57,AK57-AJ57,0)</f>
        <v>0</v>
      </c>
      <c r="AM57" s="45" t="n">
        <f aca="false">IF(AC57,AL57&gt;0,AH57*'EOS steps'!$D$13*'EOS steps'!$D$7/D57&gt;=$D$9)</f>
        <v>1</v>
      </c>
      <c r="AN57" s="45" t="n">
        <f aca="false">IF(AC57,IF(AH57&gt;AI57,D57*EXP(MAX(-50,MIN(50,AL57/(AH57-AI57)))),D57),IF(AM57,D57*$D$14,D57/$D$14))</f>
        <v>3670914.43404265</v>
      </c>
      <c r="AO57" s="45" t="n">
        <f aca="false">IF(AM57,D57,B57)</f>
        <v>4609927.93327365</v>
      </c>
      <c r="AP57" s="45" t="n">
        <f aca="false">IF(AM57,C57,D57)</f>
        <v>4610000</v>
      </c>
      <c r="AQ57" s="46" t="n">
        <f aca="false">IF(AC57,IF(AND(AN57&gt;=AO57*(1-0.000000001),AN57&lt;=AP57*(1+0.000000001)),AN57,SQRT(AO57*AP57)),IF(AND(AO57&gt;$D$11,AP57&lt;$D$12),SQRT(AO57*AP57),IF(AND(AN57&gt;=AO57*(1-0.000000001),AN57&lt;=AP57*(1+0.000000001)),AN57,SQRT(AO57*AP57))))</f>
        <v>4609963.966496</v>
      </c>
    </row>
    <row r="58" customFormat="false" ht="15" hidden="false" customHeight="false" outlineLevel="0" collapsed="false">
      <c r="A58" s="44" t="n">
        <v>8</v>
      </c>
      <c r="B58" s="45" t="n">
        <f aca="false">AO57</f>
        <v>4609927.93327365</v>
      </c>
      <c r="C58" s="45" t="n">
        <f aca="false">AP57</f>
        <v>4610000</v>
      </c>
      <c r="D58" s="46" t="n">
        <f aca="false">AQ57</f>
        <v>4609963.966496</v>
      </c>
      <c r="E58" s="45" t="n">
        <f aca="false">$D$7*D58/('EOS steps'!$D$13*'EOS steps'!$D$7)^2</f>
        <v>0.0858425569928301</v>
      </c>
      <c r="F58" s="45" t="n">
        <f aca="false">$D$8*D58/('EOS steps'!$D$13*'EOS steps'!$D$7)</f>
        <v>0.0471713981447676</v>
      </c>
      <c r="G58" s="45" t="n">
        <f aca="false">-1</f>
        <v>-1</v>
      </c>
      <c r="H58" s="45" t="n">
        <f aca="false">E58-F58-F58^2</f>
        <v>0.0364460180451303</v>
      </c>
      <c r="I58" s="45" t="n">
        <f aca="false">-E58*F58</f>
        <v>-0.0040493134336737</v>
      </c>
      <c r="J58" s="45" t="n">
        <f aca="false">H58-G58^2/3</f>
        <v>-0.296887315288203</v>
      </c>
      <c r="K58" s="45" t="n">
        <f aca="false">2*G58^3/27-G58*H58/3+I58</f>
        <v>-0.0659747148260377</v>
      </c>
      <c r="L58" s="45" t="n">
        <f aca="false">K58^2/4+J58^3/27</f>
        <v>0.000118970752978704</v>
      </c>
      <c r="M58" s="45" t="n">
        <f aca="false">-K58/2-IF(K58&gt;=0,1,-1)*SQRT(MAX(L58,0))</f>
        <v>0.0438947289102543</v>
      </c>
      <c r="N58" s="45" t="n">
        <f aca="false">SIGN(M58)*ABS(M58)^(1/3)</f>
        <v>0.352753060502396</v>
      </c>
      <c r="O58" s="45" t="n">
        <f aca="false">IF(N58=0,0,N58-J58/(3*N58))</f>
        <v>0.633296164192148</v>
      </c>
      <c r="P58" s="45" t="n">
        <f aca="false">2*SQRT(MAX(-J58,0)/3)</f>
        <v>0.629165919068733</v>
      </c>
      <c r="Q58" s="45" t="n">
        <f aca="false">ACOS(IF(P58=0,0,MAX(-1,MIN(1,3*K58/(J58*P58)))))</f>
        <v>0</v>
      </c>
      <c r="R58" s="45" t="n">
        <f aca="false">P58*COS(Q58/3)</f>
        <v>0.629165919068733</v>
      </c>
      <c r="S58" s="45" t="n">
        <f aca="false">IF(L58&lt;0,R58,O58)-G58/3</f>
        <v>0.966629497525481</v>
      </c>
      <c r="T58" s="45" t="n">
        <f aca="false">IFERROR((((S58+G58)*S58+H58)*S58+I58)/((3*S58+2*G58)*S58+H58),0)</f>
        <v>0</v>
      </c>
      <c r="U58" s="45" t="n">
        <f aca="false">IF(ABS(T58)&lt;0.1*ABS(S58),S58-T58,S58)</f>
        <v>0.966629497525481</v>
      </c>
      <c r="V58" s="45" t="n">
        <f aca="false">IFERROR((((U58+G58)*U58+H58)*U58+I58)/((3*U58+2*G58)*U58+H58),0)</f>
        <v>0</v>
      </c>
      <c r="W58" s="45" t="n">
        <f aca="false">IF(ABS(V58)&lt;0.1*ABS(U58),U58-V58,U58)</f>
        <v>0.966629497525481</v>
      </c>
      <c r="X58" s="45" t="n">
        <f aca="false">-I58/W58</f>
        <v>0.00418910600601339</v>
      </c>
      <c r="Y58" s="45" t="n">
        <f aca="false">(H58-X58)/W58</f>
        <v>0.0333705024745188</v>
      </c>
      <c r="Z58" s="45" t="n">
        <f aca="false">Y58^2-4*X58</f>
        <v>-0.0156428335886517</v>
      </c>
      <c r="AA58" s="47" t="n">
        <f aca="false">IF(Z58&gt;=0,(Y58+IF(Y58&gt;=0,1,-1)*SQRT(Z58))/2,0)</f>
        <v>0</v>
      </c>
      <c r="AB58" s="48" t="n">
        <f aca="false">IF(AND(Z58&gt;=0,AA58&lt;&gt;0),MIN(AA58,X58/AA58),-1)</f>
        <v>-1</v>
      </c>
      <c r="AC58" s="45" t="n">
        <f aca="false">AND(Z58&gt;=0,AB58&gt;F58,ABS(W58-AB58)&gt;=0.00005*MAX(W58,AB58))</f>
        <v>0</v>
      </c>
      <c r="AD58" s="45" t="n">
        <f aca="false">IF(AC58,IFERROR((((AB58+G58)*AB58+H58)*AB58+I58)/((3*AB58+2*G58)*AB58+H58),0),0)</f>
        <v>0</v>
      </c>
      <c r="AE58" s="48" t="n">
        <f aca="false">IF(ABS(AD58)&lt;0.1*ABS(AB58),AB58-AD58,AB58)</f>
        <v>-1</v>
      </c>
      <c r="AF58" s="45" t="n">
        <f aca="false">IF(AC58,IFERROR((((AE58+G58)*AE58+H58)*AE58+I58)/((3*AE58+2*G58)*AE58+H58),0),0)</f>
        <v>0</v>
      </c>
      <c r="AG58" s="48" t="n">
        <f aca="false">IF(ABS(AF58)&lt;0.1*ABS(AE58),AE58-AF58,AE58)</f>
        <v>-1</v>
      </c>
      <c r="AH58" s="45" t="n">
        <f aca="false">IF(AC58,MAX(W58,AG58),W58)</f>
        <v>0.966629497525481</v>
      </c>
      <c r="AI58" s="48" t="n">
        <f aca="false">IF(AC58,MIN(W58,AG58),-1)</f>
        <v>-1</v>
      </c>
      <c r="AJ58" s="45" t="n">
        <f aca="false">AH58-1-LN(AH58-F58)-E58/F58*LN(1+F58/AH58)</f>
        <v>-0.0361069068814437</v>
      </c>
      <c r="AK58" s="45" t="n">
        <f aca="false">IF(AC58,AI58-1-LN(AI58-F58)-E58/F58*LN(1+F58/AI58),0)</f>
        <v>0</v>
      </c>
      <c r="AL58" s="45" t="n">
        <f aca="false">IF(AC58,AK58-AJ58,0)</f>
        <v>0</v>
      </c>
      <c r="AM58" s="45" t="n">
        <f aca="false">IF(AC58,AL58&gt;0,AH58*'EOS steps'!$D$13*'EOS steps'!$D$7/D58&gt;=$D$9)</f>
        <v>1</v>
      </c>
      <c r="AN58" s="45" t="n">
        <f aca="false">IF(AC58,IF(AH58&gt;AI58,D58*EXP(MAX(-50,MIN(50,AL58/(AH58-AI58)))),D58),IF(AM58,D58*$D$14,D58/$D$14))</f>
        <v>3670943.12752288</v>
      </c>
      <c r="AO58" s="45" t="n">
        <f aca="false">IF(AM58,D58,B58)</f>
        <v>4609963.966496</v>
      </c>
      <c r="AP58" s="45" t="n">
        <f aca="false">IF(AM58,C58,D58)</f>
        <v>4610000</v>
      </c>
      <c r="AQ58" s="46" t="n">
        <f aca="false">IF(AC58,IF(AND(AN58&gt;=AO58*(1-0.000000001),AN58&lt;=AP58*(1+0.000000001)),AN58,SQRT(AO58*AP58)),IF(AND(AO58&gt;$D$11,AP58&lt;$D$12),SQRT(AO58*AP58),IF(AND(AN58&gt;=AO58*(1-0.000000001),AN58&lt;=AP58*(1+0.000000001)),AN58,SQRT(AO58*AP58))))</f>
        <v>4609981.98321279</v>
      </c>
    </row>
    <row r="59" customFormat="false" ht="15" hidden="false" customHeight="false" outlineLevel="0" collapsed="false">
      <c r="A59" s="44" t="n">
        <v>9</v>
      </c>
      <c r="B59" s="45" t="n">
        <f aca="false">AO58</f>
        <v>4609963.966496</v>
      </c>
      <c r="C59" s="45" t="n">
        <f aca="false">AP58</f>
        <v>4610000</v>
      </c>
      <c r="D59" s="46" t="n">
        <f aca="false">AQ58</f>
        <v>4609981.98321279</v>
      </c>
      <c r="E59" s="45" t="n">
        <f aca="false">$D$7*D59/('EOS steps'!$D$13*'EOS steps'!$D$7)^2</f>
        <v>0.0858428924837471</v>
      </c>
      <c r="F59" s="45" t="n">
        <f aca="false">$D$8*D59/('EOS steps'!$D$13*'EOS steps'!$D$7)</f>
        <v>0.047171582500595</v>
      </c>
      <c r="G59" s="45" t="n">
        <f aca="false">-1</f>
        <v>-1</v>
      </c>
      <c r="H59" s="45" t="n">
        <f aca="false">E59-F59-F59^2</f>
        <v>0.0364461517875416</v>
      </c>
      <c r="I59" s="45" t="n">
        <f aca="false">-E59*F59</f>
        <v>-0.00404934508488678</v>
      </c>
      <c r="J59" s="45" t="n">
        <f aca="false">H59-G59^2/3</f>
        <v>-0.296887181545792</v>
      </c>
      <c r="K59" s="45" t="n">
        <f aca="false">2*G59^3/27-G59*H59/3+I59</f>
        <v>-0.065974701896447</v>
      </c>
      <c r="L59" s="45" t="n">
        <f aca="false">K59^2/4+J59^3/27</f>
        <v>0.000118971636280021</v>
      </c>
      <c r="M59" s="45" t="n">
        <f aca="false">-K59/2-IF(K59&gt;=0,1,-1)*SQRT(MAX(L59,0))</f>
        <v>0.0438947629364094</v>
      </c>
      <c r="N59" s="45" t="n">
        <f aca="false">SIGN(M59)*ABS(M59)^(1/3)</f>
        <v>0.352753151650981</v>
      </c>
      <c r="O59" s="45" t="n">
        <f aca="false">IF(N59=0,0,N59-J59/(3*N59))</f>
        <v>0.633296056471041</v>
      </c>
      <c r="P59" s="45" t="n">
        <f aca="false">2*SQRT(MAX(-J59,0)/3)</f>
        <v>0.629165777354736</v>
      </c>
      <c r="Q59" s="45" t="n">
        <f aca="false">ACOS(IF(P59=0,0,MAX(-1,MIN(1,3*K59/(J59*P59)))))</f>
        <v>0</v>
      </c>
      <c r="R59" s="45" t="n">
        <f aca="false">P59*COS(Q59/3)</f>
        <v>0.629165777354736</v>
      </c>
      <c r="S59" s="45" t="n">
        <f aca="false">IF(L59&lt;0,R59,O59)-G59/3</f>
        <v>0.966629389804374</v>
      </c>
      <c r="T59" s="45" t="n">
        <f aca="false">IFERROR((((S59+G59)*S59+H59)*S59+I59)/((3*S59+2*G59)*S59+H59),0)</f>
        <v>-4.11523440232835E-017</v>
      </c>
      <c r="U59" s="45" t="n">
        <f aca="false">IF(ABS(T59)&lt;0.1*ABS(S59),S59-T59,S59)</f>
        <v>0.966629389804374</v>
      </c>
      <c r="V59" s="45" t="n">
        <f aca="false">IFERROR((((U59+G59)*U59+H59)*U59+I59)/((3*U59+2*G59)*U59+H59),0)</f>
        <v>-4.11523440232835E-017</v>
      </c>
      <c r="W59" s="45" t="n">
        <f aca="false">IF(ABS(V59)&lt;0.1*ABS(U59),U59-V59,U59)</f>
        <v>0.966629389804374</v>
      </c>
      <c r="X59" s="45" t="n">
        <f aca="false">-I59/W59</f>
        <v>0.00418913921674395</v>
      </c>
      <c r="Y59" s="45" t="n">
        <f aca="false">(H59-X59)/W59</f>
        <v>0.0333706101956261</v>
      </c>
      <c r="Z59" s="45" t="n">
        <f aca="false">Y59^2-4*X59</f>
        <v>-0.0156429592421474</v>
      </c>
      <c r="AA59" s="47" t="n">
        <f aca="false">IF(Z59&gt;=0,(Y59+IF(Y59&gt;=0,1,-1)*SQRT(Z59))/2,0)</f>
        <v>0</v>
      </c>
      <c r="AB59" s="48" t="n">
        <f aca="false">IF(AND(Z59&gt;=0,AA59&lt;&gt;0),MIN(AA59,X59/AA59),-1)</f>
        <v>-1</v>
      </c>
      <c r="AC59" s="45" t="n">
        <f aca="false">AND(Z59&gt;=0,AB59&gt;F59,ABS(W59-AB59)&gt;=0.00005*MAX(W59,AB59))</f>
        <v>0</v>
      </c>
      <c r="AD59" s="45" t="n">
        <f aca="false">IF(AC59,IFERROR((((AB59+G59)*AB59+H59)*AB59+I59)/((3*AB59+2*G59)*AB59+H59),0),0)</f>
        <v>0</v>
      </c>
      <c r="AE59" s="48" t="n">
        <f aca="false">IF(ABS(AD59)&lt;0.1*ABS(AB59),AB59-AD59,AB59)</f>
        <v>-1</v>
      </c>
      <c r="AF59" s="45" t="n">
        <f aca="false">IF(AC59,IFERROR((((AE59+G59)*AE59+H59)*AE59+I59)/((3*AE59+2*G59)*AE59+H59),0),0)</f>
        <v>0</v>
      </c>
      <c r="AG59" s="48" t="n">
        <f aca="false">IF(ABS(AF59)&lt;0.1*ABS(AE59),AE59-AF59,AE59)</f>
        <v>-1</v>
      </c>
      <c r="AH59" s="45" t="n">
        <f aca="false">IF(AC59,MAX(W59,AG59),W59)</f>
        <v>0.966629389804374</v>
      </c>
      <c r="AI59" s="48" t="n">
        <f aca="false">IF(AC59,MIN(W59,AG59),-1)</f>
        <v>-1</v>
      </c>
      <c r="AJ59" s="45" t="n">
        <f aca="false">AH59-1-LN(AH59-F59)-E59/F59*LN(1+F59/AH59)</f>
        <v>-0.0361070373003999</v>
      </c>
      <c r="AK59" s="45" t="n">
        <f aca="false">IF(AC59,AI59-1-LN(AI59-F59)-E59/F59*LN(1+F59/AI59),0)</f>
        <v>0</v>
      </c>
      <c r="AL59" s="45" t="n">
        <f aca="false">IF(AC59,AK59-AJ59,0)</f>
        <v>0</v>
      </c>
      <c r="AM59" s="45" t="n">
        <f aca="false">IF(AC59,AL59&gt;0,AH59*'EOS steps'!$D$13*'EOS steps'!$D$7/D59&gt;=$D$9)</f>
        <v>1</v>
      </c>
      <c r="AN59" s="45" t="n">
        <f aca="false">IF(AC59,IF(AH59&gt;AI59,D59*EXP(MAX(-50,MIN(50,AL59/(AH59-AI59)))),D59),IF(AM59,D59*$D$14,D59/$D$14))</f>
        <v>3670957.47434711</v>
      </c>
      <c r="AO59" s="45" t="n">
        <f aca="false">IF(AM59,D59,B59)</f>
        <v>4609981.98321279</v>
      </c>
      <c r="AP59" s="45" t="n">
        <f aca="false">IF(AM59,C59,D59)</f>
        <v>4610000</v>
      </c>
      <c r="AQ59" s="46" t="n">
        <f aca="false">IF(AC59,IF(AND(AN59&gt;=AO59*(1-0.000000001),AN59&lt;=AP59*(1+0.000000001)),AN59,SQRT(AO59*AP59)),IF(AND(AO59&gt;$D$11,AP59&lt;$D$12),SQRT(AO59*AP59),IF(AND(AN59&gt;=AO59*(1-0.000000001),AN59&lt;=AP59*(1+0.000000001)),AN59,SQRT(AO59*AP59))))</f>
        <v>4609990.9915976</v>
      </c>
    </row>
    <row r="60" customFormat="false" ht="15" hidden="false" customHeight="false" outlineLevel="0" collapsed="false">
      <c r="A60" s="44" t="n">
        <v>10</v>
      </c>
      <c r="B60" s="45" t="n">
        <f aca="false">AO59</f>
        <v>4609981.98321279</v>
      </c>
      <c r="C60" s="45" t="n">
        <f aca="false">AP59</f>
        <v>4610000</v>
      </c>
      <c r="D60" s="46" t="n">
        <f aca="false">AQ59</f>
        <v>4609990.9915976</v>
      </c>
      <c r="E60" s="45" t="n">
        <f aca="false">$D$7*D60/('EOS steps'!$D$13*'EOS steps'!$D$7)^2</f>
        <v>0.0858430602296972</v>
      </c>
      <c r="F60" s="45" t="n">
        <f aca="false">$D$8*D60/('EOS steps'!$D$13*'EOS steps'!$D$7)</f>
        <v>0.0471716746787789</v>
      </c>
      <c r="G60" s="45" t="n">
        <f aca="false">-1</f>
        <v>-1</v>
      </c>
      <c r="H60" s="45" t="n">
        <f aca="false">E60-F60-F60^2</f>
        <v>0.0364462186589178</v>
      </c>
      <c r="I60" s="45" t="n">
        <f aca="false">-E60*F60</f>
        <v>-0.0040493609105861</v>
      </c>
      <c r="J60" s="45" t="n">
        <f aca="false">H60-G60^2/3</f>
        <v>-0.296887114674416</v>
      </c>
      <c r="K60" s="45" t="n">
        <f aca="false">2*G60^3/27-G60*H60/3+I60</f>
        <v>-0.0659746954316876</v>
      </c>
      <c r="L60" s="45" t="n">
        <f aca="false">K60^2/4+J60^3/27</f>
        <v>0.000118972077933124</v>
      </c>
      <c r="M60" s="45" t="n">
        <f aca="false">-K60/2-IF(K60&gt;=0,1,-1)*SQRT(MAX(L60,0))</f>
        <v>0.0438947799495606</v>
      </c>
      <c r="N60" s="45" t="n">
        <f aca="false">SIGN(M60)*ABS(M60)^(1/3)</f>
        <v>0.352753197225453</v>
      </c>
      <c r="O60" s="45" t="n">
        <f aca="false">IF(N60=0,0,N60-J60/(3*N60))</f>
        <v>0.633296002610401</v>
      </c>
      <c r="P60" s="45" t="n">
        <f aca="false">2*SQRT(MAX(-J60,0)/3)</f>
        <v>0.629165706497544</v>
      </c>
      <c r="Q60" s="45" t="n">
        <f aca="false">ACOS(IF(P60=0,0,MAX(-1,MIN(1,3*K60/(J60*P60)))))</f>
        <v>0</v>
      </c>
      <c r="R60" s="45" t="n">
        <f aca="false">P60*COS(Q60/3)</f>
        <v>0.629165706497544</v>
      </c>
      <c r="S60" s="45" t="n">
        <f aca="false">IF(L60&lt;0,R60,O60)-G60/3</f>
        <v>0.966629335943734</v>
      </c>
      <c r="T60" s="45" t="n">
        <f aca="false">IFERROR((((S60+G60)*S60+H60)*S60+I60)/((3*S60+2*G60)*S60+H60),0)</f>
        <v>-5.07226642982898E-017</v>
      </c>
      <c r="U60" s="45" t="n">
        <f aca="false">IF(ABS(T60)&lt;0.1*ABS(S60),S60-T60,S60)</f>
        <v>0.966629335943734</v>
      </c>
      <c r="V60" s="45" t="n">
        <f aca="false">IFERROR((((U60+G60)*U60+H60)*U60+I60)/((3*U60+2*G60)*U60+H60),0)</f>
        <v>-5.07226642982898E-017</v>
      </c>
      <c r="W60" s="45" t="n">
        <f aca="false">IF(ABS(V60)&lt;0.1*ABS(U60),U60-V60,U60)</f>
        <v>0.966629335943734</v>
      </c>
      <c r="X60" s="45" t="n">
        <f aca="false">-I60/W60</f>
        <v>0.00418915582220836</v>
      </c>
      <c r="Y60" s="45" t="n">
        <f aca="false">(H60-X60)/W60</f>
        <v>0.0333706640562656</v>
      </c>
      <c r="Z60" s="45" t="n">
        <f aca="false">Y60^2-4*X60</f>
        <v>-0.0156430220692773</v>
      </c>
      <c r="AA60" s="47" t="n">
        <f aca="false">IF(Z60&gt;=0,(Y60+IF(Y60&gt;=0,1,-1)*SQRT(Z60))/2,0)</f>
        <v>0</v>
      </c>
      <c r="AB60" s="48" t="n">
        <f aca="false">IF(AND(Z60&gt;=0,AA60&lt;&gt;0),MIN(AA60,X60/AA60),-1)</f>
        <v>-1</v>
      </c>
      <c r="AC60" s="45" t="n">
        <f aca="false">AND(Z60&gt;=0,AB60&gt;F60,ABS(W60-AB60)&gt;=0.00005*MAX(W60,AB60))</f>
        <v>0</v>
      </c>
      <c r="AD60" s="45" t="n">
        <f aca="false">IF(AC60,IFERROR((((AB60+G60)*AB60+H60)*AB60+I60)/((3*AB60+2*G60)*AB60+H60),0),0)</f>
        <v>0</v>
      </c>
      <c r="AE60" s="48" t="n">
        <f aca="false">IF(ABS(AD60)&lt;0.1*ABS(AB60),AB60-AD60,AB60)</f>
        <v>-1</v>
      </c>
      <c r="AF60" s="45" t="n">
        <f aca="false">IF(AC60,IFERROR((((AE60+G60)*AE60+H60)*AE60+I60)/((3*AE60+2*G60)*AE60+H60),0),0)</f>
        <v>0</v>
      </c>
      <c r="AG60" s="48" t="n">
        <f aca="false">IF(ABS(AF60)&lt;0.1*ABS(AE60),AE60-AF60,AE60)</f>
        <v>-1</v>
      </c>
      <c r="AH60" s="45" t="n">
        <f aca="false">IF(AC60,MAX(W60,AG60),W60)</f>
        <v>0.966629335943734</v>
      </c>
      <c r="AI60" s="48" t="n">
        <f aca="false">IF(AC60,MIN(W60,AG60),-1)</f>
        <v>-1</v>
      </c>
      <c r="AJ60" s="45" t="n">
        <f aca="false">AH60-1-LN(AH60-F60)-E60/F60*LN(1+F60/AH60)</f>
        <v>-0.0361071025100356</v>
      </c>
      <c r="AK60" s="45" t="n">
        <f aca="false">IF(AC60,AI60-1-LN(AI60-F60)-E60/F60*LN(1+F60/AI60),0)</f>
        <v>0</v>
      </c>
      <c r="AL60" s="45" t="n">
        <f aca="false">IF(AC60,AK60-AJ60,0)</f>
        <v>0</v>
      </c>
      <c r="AM60" s="45" t="n">
        <f aca="false">IF(AC60,AL60&gt;0,AH60*'EOS steps'!$D$13*'EOS steps'!$D$7/D60&gt;=$D$9)</f>
        <v>1</v>
      </c>
      <c r="AN60" s="45" t="n">
        <f aca="false">IF(AC60,IF(AH60&gt;AI60,D60*EXP(MAX(-50,MIN(50,AL60/(AH60-AI60)))),D60),IF(AM60,D60*$D$14,D60/$D$14))</f>
        <v>3670964.64778024</v>
      </c>
      <c r="AO60" s="45" t="n">
        <f aca="false">IF(AM60,D60,B60)</f>
        <v>4609990.9915976</v>
      </c>
      <c r="AP60" s="45" t="n">
        <f aca="false">IF(AM60,C60,D60)</f>
        <v>4610000</v>
      </c>
      <c r="AQ60" s="46" t="n">
        <f aca="false">IF(AC60,IF(AND(AN60&gt;=AO60*(1-0.000000001),AN60&lt;=AP60*(1+0.000000001)),AN60,SQRT(AO60*AP60)),IF(AND(AO60&gt;$D$11,AP60&lt;$D$12),SQRT(AO60*AP60),IF(AND(AN60&gt;=AO60*(1-0.000000001),AN60&lt;=AP60*(1+0.000000001)),AN60,SQRT(AO60*AP60))))</f>
        <v>4609995.4957966</v>
      </c>
    </row>
    <row r="61" customFormat="false" ht="15" hidden="false" customHeight="false" outlineLevel="0" collapsed="false">
      <c r="A61" s="44" t="n">
        <v>11</v>
      </c>
      <c r="B61" s="45" t="n">
        <f aca="false">AO60</f>
        <v>4609990.9915976</v>
      </c>
      <c r="C61" s="45" t="n">
        <f aca="false">AP60</f>
        <v>4610000</v>
      </c>
      <c r="D61" s="46" t="n">
        <f aca="false">AQ60</f>
        <v>4609995.4957966</v>
      </c>
      <c r="E61" s="45" t="n">
        <f aca="false">$D$7*D61/('EOS steps'!$D$13*'EOS steps'!$D$7)^2</f>
        <v>0.0858431441027952</v>
      </c>
      <c r="F61" s="45" t="n">
        <f aca="false">$D$8*D61/('EOS steps'!$D$13*'EOS steps'!$D$7)</f>
        <v>0.0471717207679383</v>
      </c>
      <c r="G61" s="45" t="n">
        <f aca="false">-1</f>
        <v>-1</v>
      </c>
      <c r="H61" s="45" t="n">
        <f aca="false">E61-F61-F61^2</f>
        <v>0.0364462520946485</v>
      </c>
      <c r="I61" s="45" t="n">
        <f aca="false">-E61*F61</f>
        <v>-0.00404936882345895</v>
      </c>
      <c r="J61" s="45" t="n">
        <f aca="false">H61-G61^2/3</f>
        <v>-0.296887081238685</v>
      </c>
      <c r="K61" s="45" t="n">
        <f aca="false">2*G61^3/27-G61*H61/3+I61</f>
        <v>-0.0659746921993168</v>
      </c>
      <c r="L61" s="45" t="n">
        <f aca="false">K61^2/4+J61^3/27</f>
        <v>0.000118972298760286</v>
      </c>
      <c r="M61" s="45" t="n">
        <f aca="false">-K61/2-IF(K61&gt;=0,1,-1)*SQRT(MAX(L61,0))</f>
        <v>0.0438947884561545</v>
      </c>
      <c r="N61" s="45" t="n">
        <f aca="false">SIGN(M61)*ABS(M61)^(1/3)</f>
        <v>0.352753220012733</v>
      </c>
      <c r="O61" s="45" t="n">
        <f aca="false">IF(N61=0,0,N61-J61/(3*N61))</f>
        <v>0.63329597568006</v>
      </c>
      <c r="P61" s="45" t="n">
        <f aca="false">2*SQRT(MAX(-J61,0)/3)</f>
        <v>0.6291656710689</v>
      </c>
      <c r="Q61" s="45" t="n">
        <f aca="false">ACOS(IF(P61=0,0,MAX(-1,MIN(1,3*K61/(J61*P61)))))</f>
        <v>0</v>
      </c>
      <c r="R61" s="45" t="n">
        <f aca="false">P61*COS(Q61/3)</f>
        <v>0.6291656710689</v>
      </c>
      <c r="S61" s="45" t="n">
        <f aca="false">IF(L61&lt;0,R61,O61)-G61/3</f>
        <v>0.966629309013393</v>
      </c>
      <c r="T61" s="45" t="n">
        <f aca="false">IFERROR((((S61+G61)*S61+H61)*S61+I61)/((3*S61+2*G61)*S61+H61),0)</f>
        <v>-1.4164065824141E-016</v>
      </c>
      <c r="U61" s="45" t="n">
        <f aca="false">IF(ABS(T61)&lt;0.1*ABS(S61),S61-T61,S61)</f>
        <v>0.966629309013393</v>
      </c>
      <c r="V61" s="45" t="n">
        <f aca="false">IFERROR((((U61+G61)*U61+H61)*U61+I61)/((3*U61+2*G61)*U61+H61),0)</f>
        <v>-3.82812589841649E-017</v>
      </c>
      <c r="W61" s="45" t="n">
        <f aca="false">IF(ABS(V61)&lt;0.1*ABS(U61),U61-V61,U61)</f>
        <v>0.966629309013393</v>
      </c>
      <c r="X61" s="45" t="n">
        <f aca="false">-I61/W61</f>
        <v>0.00418916412496535</v>
      </c>
      <c r="Y61" s="45" t="n">
        <f aca="false">(H61-X61)/W61</f>
        <v>0.0333706909866068</v>
      </c>
      <c r="Z61" s="45" t="n">
        <f aca="false">Y61^2-4*X61</f>
        <v>-0.0156430534829378</v>
      </c>
      <c r="AA61" s="47" t="n">
        <f aca="false">IF(Z61&gt;=0,(Y61+IF(Y61&gt;=0,1,-1)*SQRT(Z61))/2,0)</f>
        <v>0</v>
      </c>
      <c r="AB61" s="48" t="n">
        <f aca="false">IF(AND(Z61&gt;=0,AA61&lt;&gt;0),MIN(AA61,X61/AA61),-1)</f>
        <v>-1</v>
      </c>
      <c r="AC61" s="45" t="n">
        <f aca="false">AND(Z61&gt;=0,AB61&gt;F61,ABS(W61-AB61)&gt;=0.00005*MAX(W61,AB61))</f>
        <v>0</v>
      </c>
      <c r="AD61" s="45" t="n">
        <f aca="false">IF(AC61,IFERROR((((AB61+G61)*AB61+H61)*AB61+I61)/((3*AB61+2*G61)*AB61+H61),0),0)</f>
        <v>0</v>
      </c>
      <c r="AE61" s="48" t="n">
        <f aca="false">IF(ABS(AD61)&lt;0.1*ABS(AB61),AB61-AD61,AB61)</f>
        <v>-1</v>
      </c>
      <c r="AF61" s="45" t="n">
        <f aca="false">IF(AC61,IFERROR((((AE61+G61)*AE61+H61)*AE61+I61)/((3*AE61+2*G61)*AE61+H61),0),0)</f>
        <v>0</v>
      </c>
      <c r="AG61" s="48" t="n">
        <f aca="false">IF(ABS(AF61)&lt;0.1*ABS(AE61),AE61-AF61,AE61)</f>
        <v>-1</v>
      </c>
      <c r="AH61" s="45" t="n">
        <f aca="false">IF(AC61,MAX(W61,AG61),W61)</f>
        <v>0.966629309013393</v>
      </c>
      <c r="AI61" s="48" t="n">
        <f aca="false">IF(AC61,MIN(W61,AG61),-1)</f>
        <v>-1</v>
      </c>
      <c r="AJ61" s="45" t="n">
        <f aca="false">AH61-1-LN(AH61-F61)-E61/F61*LN(1+F61/AH61)</f>
        <v>-0.0361071351148931</v>
      </c>
      <c r="AK61" s="45" t="n">
        <f aca="false">IF(AC61,AI61-1-LN(AI61-F61)-E61/F61*LN(1+F61/AI61),0)</f>
        <v>0</v>
      </c>
      <c r="AL61" s="45" t="n">
        <f aca="false">IF(AC61,AK61-AJ61,0)</f>
        <v>0</v>
      </c>
      <c r="AM61" s="45" t="n">
        <f aca="false">IF(AC61,AL61&gt;0,AH61*'EOS steps'!$D$13*'EOS steps'!$D$7/D61&gt;=$D$9)</f>
        <v>1</v>
      </c>
      <c r="AN61" s="45" t="n">
        <f aca="false">IF(AC61,IF(AH61&gt;AI61,D61*EXP(MAX(-50,MIN(50,AL61/(AH61-AI61)))),D61),IF(AM61,D61*$D$14,D61/$D$14))</f>
        <v>3670968.23450207</v>
      </c>
      <c r="AO61" s="45" t="n">
        <f aca="false">IF(AM61,D61,B61)</f>
        <v>4609995.4957966</v>
      </c>
      <c r="AP61" s="45" t="n">
        <f aca="false">IF(AM61,C61,D61)</f>
        <v>4610000</v>
      </c>
      <c r="AQ61" s="46" t="n">
        <f aca="false">IF(AC61,IF(AND(AN61&gt;=AO61*(1-0.000000001),AN61&lt;=AP61*(1+0.000000001)),AN61,SQRT(AO61*AP61)),IF(AND(AO61&gt;$D$11,AP61&lt;$D$12),SQRT(AO61*AP61),IF(AND(AN61&gt;=AO61*(1-0.000000001),AN61&lt;=AP61*(1+0.000000001)),AN61,SQRT(AO61*AP61))))</f>
        <v>4609997.74789775</v>
      </c>
    </row>
    <row r="62" customFormat="false" ht="15" hidden="false" customHeight="false" outlineLevel="0" collapsed="false">
      <c r="A62" s="44" t="n">
        <v>12</v>
      </c>
      <c r="B62" s="45" t="n">
        <f aca="false">AO61</f>
        <v>4609995.4957966</v>
      </c>
      <c r="C62" s="45" t="n">
        <f aca="false">AP61</f>
        <v>4610000</v>
      </c>
      <c r="D62" s="46" t="n">
        <f aca="false">AQ61</f>
        <v>4609997.74789775</v>
      </c>
      <c r="E62" s="45" t="n">
        <f aca="false">$D$7*D62/('EOS steps'!$D$13*'EOS steps'!$D$7)^2</f>
        <v>0.085843186039375</v>
      </c>
      <c r="F62" s="45" t="n">
        <f aca="false">$D$8*D62/('EOS steps'!$D$13*'EOS steps'!$D$7)</f>
        <v>0.047171743812535</v>
      </c>
      <c r="G62" s="45" t="n">
        <f aca="false">-1</f>
        <v>-1</v>
      </c>
      <c r="H62" s="45" t="n">
        <f aca="false">E62-F62-F62^2</f>
        <v>0.0364462688125246</v>
      </c>
      <c r="I62" s="45" t="n">
        <f aca="false">-E62*F62</f>
        <v>-0.00404937277990118</v>
      </c>
      <c r="J62" s="45" t="n">
        <f aca="false">H62-G62^2/3</f>
        <v>-0.296887064520809</v>
      </c>
      <c r="K62" s="45" t="n">
        <f aca="false">2*G62^3/27-G62*H62/3+I62</f>
        <v>-0.0659746905831337</v>
      </c>
      <c r="L62" s="45" t="n">
        <f aca="false">K62^2/4+J62^3/27</f>
        <v>0.00011897240917402</v>
      </c>
      <c r="M62" s="45" t="n">
        <f aca="false">-K62/2-IF(K62&gt;=0,1,-1)*SQRT(MAX(L62,0))</f>
        <v>0.0438947927094562</v>
      </c>
      <c r="N62" s="45" t="n">
        <f aca="false">SIGN(M62)*ABS(M62)^(1/3)</f>
        <v>0.352753231406385</v>
      </c>
      <c r="O62" s="45" t="n">
        <f aca="false">IF(N62=0,0,N62-J62/(3*N62))</f>
        <v>0.633295962214884</v>
      </c>
      <c r="P62" s="45" t="n">
        <f aca="false">2*SQRT(MAX(-J62,0)/3)</f>
        <v>0.629165653354566</v>
      </c>
      <c r="Q62" s="45" t="n">
        <f aca="false">ACOS(IF(P62=0,0,MAX(-1,MIN(1,3*K62/(J62*P62)))))</f>
        <v>0</v>
      </c>
      <c r="R62" s="45" t="n">
        <f aca="false">P62*COS(Q62/3)</f>
        <v>0.629165653354566</v>
      </c>
      <c r="S62" s="45" t="n">
        <f aca="false">IF(L62&lt;0,R62,O62)-G62/3</f>
        <v>0.966629295548217</v>
      </c>
      <c r="T62" s="45" t="n">
        <f aca="false">IFERROR((((S62+G62)*S62+H62)*S62+I62)/((3*S62+2*G62)*S62+H62),0)</f>
        <v>-4.78515755489467E-017</v>
      </c>
      <c r="U62" s="45" t="n">
        <f aca="false">IF(ABS(T62)&lt;0.1*ABS(S62),S62-T62,S62)</f>
        <v>0.966629295548217</v>
      </c>
      <c r="V62" s="45" t="n">
        <f aca="false">IFERROR((((U62+G62)*U62+H62)*U62+I62)/((3*U62+2*G62)*U62+H62),0)</f>
        <v>-4.78515755489467E-017</v>
      </c>
      <c r="W62" s="45" t="n">
        <f aca="false">IF(ABS(V62)&lt;0.1*ABS(U62),U62-V62,U62)</f>
        <v>0.966629295548217</v>
      </c>
      <c r="X62" s="45" t="n">
        <f aca="false">-I62/W62</f>
        <v>0.00418916827635004</v>
      </c>
      <c r="Y62" s="45" t="n">
        <f aca="false">(H62-X62)/W62</f>
        <v>0.0333707044517828</v>
      </c>
      <c r="Z62" s="45" t="n">
        <f aca="false">Y62^2-4*X62</f>
        <v>-0.0156430691897919</v>
      </c>
      <c r="AA62" s="47" t="n">
        <f aca="false">IF(Z62&gt;=0,(Y62+IF(Y62&gt;=0,1,-1)*SQRT(Z62))/2,0)</f>
        <v>0</v>
      </c>
      <c r="AB62" s="48" t="n">
        <f aca="false">IF(AND(Z62&gt;=0,AA62&lt;&gt;0),MIN(AA62,X62/AA62),-1)</f>
        <v>-1</v>
      </c>
      <c r="AC62" s="45" t="n">
        <f aca="false">AND(Z62&gt;=0,AB62&gt;F62,ABS(W62-AB62)&gt;=0.00005*MAX(W62,AB62))</f>
        <v>0</v>
      </c>
      <c r="AD62" s="45" t="n">
        <f aca="false">IF(AC62,IFERROR((((AB62+G62)*AB62+H62)*AB62+I62)/((3*AB62+2*G62)*AB62+H62),0),0)</f>
        <v>0</v>
      </c>
      <c r="AE62" s="48" t="n">
        <f aca="false">IF(ABS(AD62)&lt;0.1*ABS(AB62),AB62-AD62,AB62)</f>
        <v>-1</v>
      </c>
      <c r="AF62" s="45" t="n">
        <f aca="false">IF(AC62,IFERROR((((AE62+G62)*AE62+H62)*AE62+I62)/((3*AE62+2*G62)*AE62+H62),0),0)</f>
        <v>0</v>
      </c>
      <c r="AG62" s="48" t="n">
        <f aca="false">IF(ABS(AF62)&lt;0.1*ABS(AE62),AE62-AF62,AE62)</f>
        <v>-1</v>
      </c>
      <c r="AH62" s="45" t="n">
        <f aca="false">IF(AC62,MAX(W62,AG62),W62)</f>
        <v>0.966629295548217</v>
      </c>
      <c r="AI62" s="48" t="n">
        <f aca="false">IF(AC62,MIN(W62,AG62),-1)</f>
        <v>-1</v>
      </c>
      <c r="AJ62" s="45" t="n">
        <f aca="false">AH62-1-LN(AH62-F62)-E62/F62*LN(1+F62/AH62)</f>
        <v>-0.036107151417332</v>
      </c>
      <c r="AK62" s="45" t="n">
        <f aca="false">IF(AC62,AI62-1-LN(AI62-F62)-E62/F62*LN(1+F62/AI62),0)</f>
        <v>0</v>
      </c>
      <c r="AL62" s="45" t="n">
        <f aca="false">IF(AC62,AK62-AJ62,0)</f>
        <v>0</v>
      </c>
      <c r="AM62" s="45" t="n">
        <f aca="false">IF(AC62,AL62&gt;0,AH62*'EOS steps'!$D$13*'EOS steps'!$D$7/D62&gt;=$D$9)</f>
        <v>1</v>
      </c>
      <c r="AN62" s="45" t="n">
        <f aca="false">IF(AC62,IF(AH62&gt;AI62,D62*EXP(MAX(-50,MIN(50,AL62/(AH62-AI62)))),D62),IF(AM62,D62*$D$14,D62/$D$14))</f>
        <v>3670970.02786429</v>
      </c>
      <c r="AO62" s="45" t="n">
        <f aca="false">IF(AM62,D62,B62)</f>
        <v>4609997.74789775</v>
      </c>
      <c r="AP62" s="45" t="n">
        <f aca="false">IF(AM62,C62,D62)</f>
        <v>4610000</v>
      </c>
      <c r="AQ62" s="46" t="n">
        <f aca="false">IF(AC62,IF(AND(AN62&gt;=AO62*(1-0.000000001),AN62&lt;=AP62*(1+0.000000001)),AN62,SQRT(AO62*AP62)),IF(AND(AO62&gt;$D$11,AP62&lt;$D$12),SQRT(AO62*AP62),IF(AND(AN62&gt;=AO62*(1-0.000000001),AN62&lt;=AP62*(1+0.000000001)),AN62,SQRT(AO62*AP62))))</f>
        <v>4609998.87394874</v>
      </c>
    </row>
    <row r="63" customFormat="false" ht="15" hidden="false" customHeight="false" outlineLevel="0" collapsed="false">
      <c r="A63" s="44" t="n">
        <v>13</v>
      </c>
      <c r="B63" s="45" t="n">
        <f aca="false">AO62</f>
        <v>4609997.74789775</v>
      </c>
      <c r="C63" s="45" t="n">
        <f aca="false">AP62</f>
        <v>4610000</v>
      </c>
      <c r="D63" s="46" t="n">
        <f aca="false">AQ62</f>
        <v>4609998.87394874</v>
      </c>
      <c r="E63" s="45" t="n">
        <f aca="false">$D$7*D63/('EOS steps'!$D$13*'EOS steps'!$D$7)^2</f>
        <v>0.0858432070076725</v>
      </c>
      <c r="F63" s="45" t="n">
        <f aca="false">$D$8*D63/('EOS steps'!$D$13*'EOS steps'!$D$7)</f>
        <v>0.0471717553348375</v>
      </c>
      <c r="G63" s="45" t="n">
        <f aca="false">-1</f>
        <v>-1</v>
      </c>
      <c r="H63" s="45" t="n">
        <f aca="false">E63-F63-F63^2</f>
        <v>0.0364462771714652</v>
      </c>
      <c r="I63" s="45" t="n">
        <f aca="false">-E63*F63</f>
        <v>-0.00404937475812374</v>
      </c>
      <c r="J63" s="45" t="n">
        <f aca="false">H63-G63^2/3</f>
        <v>-0.296887056161868</v>
      </c>
      <c r="K63" s="45" t="n">
        <f aca="false">2*G63^3/27-G63*H63/3+I63</f>
        <v>-0.0659746897750427</v>
      </c>
      <c r="L63" s="45" t="n">
        <f aca="false">K63^2/4+J63^3/27</f>
        <v>0.000118972464380925</v>
      </c>
      <c r="M63" s="45" t="n">
        <f aca="false">-K63/2-IF(K63&gt;=0,1,-1)*SQRT(MAX(L63,0))</f>
        <v>0.0438947948361081</v>
      </c>
      <c r="N63" s="45" t="n">
        <f aca="false">SIGN(M63)*ABS(M63)^(1/3)</f>
        <v>0.352753237103214</v>
      </c>
      <c r="O63" s="45" t="n">
        <f aca="false">IF(N63=0,0,N63-J63/(3*N63))</f>
        <v>0.633295955482295</v>
      </c>
      <c r="P63" s="45" t="n">
        <f aca="false">2*SQRT(MAX(-J63,0)/3)</f>
        <v>0.629165644497396</v>
      </c>
      <c r="Q63" s="45" t="n">
        <f aca="false">ACOS(IF(P63=0,0,MAX(-1,MIN(1,3*K63/(J63*P63)))))</f>
        <v>0</v>
      </c>
      <c r="R63" s="45" t="n">
        <f aca="false">P63*COS(Q63/3)</f>
        <v>0.629165644497396</v>
      </c>
      <c r="S63" s="45" t="n">
        <f aca="false">IF(L63&lt;0,R63,O63)-G63/3</f>
        <v>0.966629288815628</v>
      </c>
      <c r="T63" s="45" t="n">
        <f aca="false">IFERROR((((S63+G63)*S63+H63)*S63+I63)/((3*S63+2*G63)*S63+H63),0)</f>
        <v>-9.66601844458006E-017</v>
      </c>
      <c r="U63" s="45" t="n">
        <f aca="false">IF(ABS(T63)&lt;0.1*ABS(S63),S63-T63,S63)</f>
        <v>0.966629288815628</v>
      </c>
      <c r="V63" s="45" t="n">
        <f aca="false">IFERROR((((U63+G63)*U63+H63)*U63+I63)/((3*U63+2*G63)*U63+H63),0)</f>
        <v>0</v>
      </c>
      <c r="W63" s="45" t="n">
        <f aca="false">IF(ABS(V63)&lt;0.1*ABS(U63),U63-V63,U63)</f>
        <v>0.966629288815628</v>
      </c>
      <c r="X63" s="45" t="n">
        <f aca="false">-I63/W63</f>
        <v>0.00418917035204393</v>
      </c>
      <c r="Y63" s="45" t="n">
        <f aca="false">(H63-X63)/W63</f>
        <v>0.0333707111843721</v>
      </c>
      <c r="Z63" s="45" t="n">
        <f aca="false">Y63^2-4*X63</f>
        <v>-0.0156430770432249</v>
      </c>
      <c r="AA63" s="47" t="n">
        <f aca="false">IF(Z63&gt;=0,(Y63+IF(Y63&gt;=0,1,-1)*SQRT(Z63))/2,0)</f>
        <v>0</v>
      </c>
      <c r="AB63" s="48" t="n">
        <f aca="false">IF(AND(Z63&gt;=0,AA63&lt;&gt;0),MIN(AA63,X63/AA63),-1)</f>
        <v>-1</v>
      </c>
      <c r="AC63" s="45" t="n">
        <f aca="false">AND(Z63&gt;=0,AB63&gt;F63,ABS(W63-AB63)&gt;=0.00005*MAX(W63,AB63))</f>
        <v>0</v>
      </c>
      <c r="AD63" s="45" t="n">
        <f aca="false">IF(AC63,IFERROR((((AB63+G63)*AB63+H63)*AB63+I63)/((3*AB63+2*G63)*AB63+H63),0),0)</f>
        <v>0</v>
      </c>
      <c r="AE63" s="48" t="n">
        <f aca="false">IF(ABS(AD63)&lt;0.1*ABS(AB63),AB63-AD63,AB63)</f>
        <v>-1</v>
      </c>
      <c r="AF63" s="45" t="n">
        <f aca="false">IF(AC63,IFERROR((((AE63+G63)*AE63+H63)*AE63+I63)/((3*AE63+2*G63)*AE63+H63),0),0)</f>
        <v>0</v>
      </c>
      <c r="AG63" s="48" t="n">
        <f aca="false">IF(ABS(AF63)&lt;0.1*ABS(AE63),AE63-AF63,AE63)</f>
        <v>-1</v>
      </c>
      <c r="AH63" s="45" t="n">
        <f aca="false">IF(AC63,MAX(W63,AG63),W63)</f>
        <v>0.966629288815628</v>
      </c>
      <c r="AI63" s="48" t="n">
        <f aca="false">IF(AC63,MIN(W63,AG63),-1)</f>
        <v>-1</v>
      </c>
      <c r="AJ63" s="45" t="n">
        <f aca="false">AH63-1-LN(AH63-F63)-E63/F63*LN(1+F63/AH63)</f>
        <v>-0.0361071595685535</v>
      </c>
      <c r="AK63" s="45" t="n">
        <f aca="false">IF(AC63,AI63-1-LN(AI63-F63)-E63/F63*LN(1+F63/AI63),0)</f>
        <v>0</v>
      </c>
      <c r="AL63" s="45" t="n">
        <f aca="false">IF(AC63,AK63-AJ63,0)</f>
        <v>0</v>
      </c>
      <c r="AM63" s="45" t="n">
        <f aca="false">IF(AC63,AL63&gt;0,AH63*'EOS steps'!$D$13*'EOS steps'!$D$7/D63&gt;=$D$9)</f>
        <v>1</v>
      </c>
      <c r="AN63" s="45" t="n">
        <f aca="false">IF(AC63,IF(AH63&gt;AI63,D63*EXP(MAX(-50,MIN(50,AL63/(AH63-AI63)))),D63),IF(AM63,D63*$D$14,D63/$D$14))</f>
        <v>3670970.92454574</v>
      </c>
      <c r="AO63" s="45" t="n">
        <f aca="false">IF(AM63,D63,B63)</f>
        <v>4609998.87394874</v>
      </c>
      <c r="AP63" s="45" t="n">
        <f aca="false">IF(AM63,C63,D63)</f>
        <v>4610000</v>
      </c>
      <c r="AQ63" s="46" t="n">
        <f aca="false">IF(AC63,IF(AND(AN63&gt;=AO63*(1-0.000000001),AN63&lt;=AP63*(1+0.000000001)),AN63,SQRT(AO63*AP63)),IF(AND(AO63&gt;$D$11,AP63&lt;$D$12),SQRT(AO63*AP63),IF(AND(AN63&gt;=AO63*(1-0.000000001),AN63&lt;=AP63*(1+0.000000001)),AN63,SQRT(AO63*AP63))))</f>
        <v>4609999.43697433</v>
      </c>
    </row>
    <row r="64" customFormat="false" ht="15" hidden="false" customHeight="false" outlineLevel="0" collapsed="false">
      <c r="A64" s="44" t="n">
        <v>14</v>
      </c>
      <c r="B64" s="45" t="n">
        <f aca="false">AO63</f>
        <v>4609998.87394874</v>
      </c>
      <c r="C64" s="45" t="n">
        <f aca="false">AP63</f>
        <v>4610000</v>
      </c>
      <c r="D64" s="46" t="n">
        <f aca="false">AQ63</f>
        <v>4609999.43697433</v>
      </c>
      <c r="E64" s="45" t="n">
        <f aca="false">$D$7*D64/('EOS steps'!$D$13*'EOS steps'!$D$7)^2</f>
        <v>0.0858432174918232</v>
      </c>
      <c r="F64" s="45" t="n">
        <f aca="false">$D$8*D64/('EOS steps'!$D$13*'EOS steps'!$D$7)</f>
        <v>0.0471717610959898</v>
      </c>
      <c r="G64" s="45" t="n">
        <f aca="false">-1</f>
        <v>-1</v>
      </c>
      <c r="H64" s="45" t="n">
        <f aca="false">E64-F64-F64^2</f>
        <v>0.0364462813509362</v>
      </c>
      <c r="I64" s="45" t="n">
        <f aca="false">-E64*F64</f>
        <v>-0.00404937574723538</v>
      </c>
      <c r="J64" s="45" t="n">
        <f aca="false">H64-G64^2/3</f>
        <v>-0.296887051982397</v>
      </c>
      <c r="K64" s="45" t="n">
        <f aca="false">2*G64^3/27-G64*H64/3+I64</f>
        <v>-0.0659746893709974</v>
      </c>
      <c r="L64" s="45" t="n">
        <f aca="false">K64^2/4+J64^3/27</f>
        <v>0.000118972491984387</v>
      </c>
      <c r="M64" s="45" t="n">
        <f aca="false">-K64/2-IF(K64&gt;=0,1,-1)*SQRT(MAX(L64,0))</f>
        <v>0.0438947958994344</v>
      </c>
      <c r="N64" s="45" t="n">
        <f aca="false">SIGN(M64)*ABS(M64)^(1/3)</f>
        <v>0.352753239951629</v>
      </c>
      <c r="O64" s="45" t="n">
        <f aca="false">IF(N64=0,0,N64-J64/(3*N64))</f>
        <v>0.633295952116</v>
      </c>
      <c r="P64" s="45" t="n">
        <f aca="false">2*SQRT(MAX(-J64,0)/3)</f>
        <v>0.629165640068811</v>
      </c>
      <c r="Q64" s="45" t="n">
        <f aca="false">ACOS(IF(P64=0,0,MAX(-1,MIN(1,3*K64/(J64*P64)))))</f>
        <v>0</v>
      </c>
      <c r="R64" s="45" t="n">
        <f aca="false">P64*COS(Q64/3)</f>
        <v>0.629165640068811</v>
      </c>
      <c r="S64" s="45" t="n">
        <f aca="false">IF(L64&lt;0,R64,O64)-G64/3</f>
        <v>0.966629285449333</v>
      </c>
      <c r="T64" s="45" t="n">
        <f aca="false">IFERROR((((S64+G64)*S64+H64)*S64+I64)/((3*S64+2*G64)*S64+H64),0)</f>
        <v>-1.22500036897286E-016</v>
      </c>
      <c r="U64" s="45" t="n">
        <f aca="false">IF(ABS(T64)&lt;0.1*ABS(S64),S64-T64,S64)</f>
        <v>0.966629285449333</v>
      </c>
      <c r="V64" s="45" t="n">
        <f aca="false">IFERROR((((U64+G64)*U64+H64)*U64+I64)/((3*U64+2*G64)*U64+H64),0)</f>
        <v>0</v>
      </c>
      <c r="W64" s="45" t="n">
        <f aca="false">IF(ABS(V64)&lt;0.1*ABS(U64),U64-V64,U64)</f>
        <v>0.966629285449333</v>
      </c>
      <c r="X64" s="45" t="n">
        <f aca="false">-I64/W64</f>
        <v>0.00418917138989126</v>
      </c>
      <c r="Y64" s="45" t="n">
        <f aca="false">(H64-X64)/W64</f>
        <v>0.0333707145506671</v>
      </c>
      <c r="Z64" s="45" t="n">
        <f aca="false">Y64^2-4*X64</f>
        <v>-0.0156430809699429</v>
      </c>
      <c r="AA64" s="47" t="n">
        <f aca="false">IF(Z64&gt;=0,(Y64+IF(Y64&gt;=0,1,-1)*SQRT(Z64))/2,0)</f>
        <v>0</v>
      </c>
      <c r="AB64" s="48" t="n">
        <f aca="false">IF(AND(Z64&gt;=0,AA64&lt;&gt;0),MIN(AA64,X64/AA64),-1)</f>
        <v>-1</v>
      </c>
      <c r="AC64" s="45" t="n">
        <f aca="false">AND(Z64&gt;=0,AB64&gt;F64,ABS(W64-AB64)&gt;=0.00005*MAX(W64,AB64))</f>
        <v>0</v>
      </c>
      <c r="AD64" s="45" t="n">
        <f aca="false">IF(AC64,IFERROR((((AB64+G64)*AB64+H64)*AB64+I64)/((3*AB64+2*G64)*AB64+H64),0),0)</f>
        <v>0</v>
      </c>
      <c r="AE64" s="48" t="n">
        <f aca="false">IF(ABS(AD64)&lt;0.1*ABS(AB64),AB64-AD64,AB64)</f>
        <v>-1</v>
      </c>
      <c r="AF64" s="45" t="n">
        <f aca="false">IF(AC64,IFERROR((((AE64+G64)*AE64+H64)*AE64+I64)/((3*AE64+2*G64)*AE64+H64),0),0)</f>
        <v>0</v>
      </c>
      <c r="AG64" s="48" t="n">
        <f aca="false">IF(ABS(AF64)&lt;0.1*ABS(AE64),AE64-AF64,AE64)</f>
        <v>-1</v>
      </c>
      <c r="AH64" s="45" t="n">
        <f aca="false">IF(AC64,MAX(W64,AG64),W64)</f>
        <v>0.966629285449333</v>
      </c>
      <c r="AI64" s="48" t="n">
        <f aca="false">IF(AC64,MIN(W64,AG64),-1)</f>
        <v>-1</v>
      </c>
      <c r="AJ64" s="45" t="n">
        <f aca="false">AH64-1-LN(AH64-F64)-E64/F64*LN(1+F64/AH64)</f>
        <v>-0.0361071636441649</v>
      </c>
      <c r="AK64" s="45" t="n">
        <f aca="false">IF(AC64,AI64-1-LN(AI64-F64)-E64/F64*LN(1+F64/AI64),0)</f>
        <v>0</v>
      </c>
      <c r="AL64" s="45" t="n">
        <f aca="false">IF(AC64,AK64-AJ64,0)</f>
        <v>0</v>
      </c>
      <c r="AM64" s="45" t="n">
        <f aca="false">IF(AC64,AL64&gt;0,AH64*'EOS steps'!$D$13*'EOS steps'!$D$7/D64&gt;=$D$9)</f>
        <v>1</v>
      </c>
      <c r="AN64" s="45" t="n">
        <f aca="false">IF(AC64,IF(AH64&gt;AI64,D64*EXP(MAX(-50,MIN(50,AL64/(AH64-AI64)))),D64),IF(AM64,D64*$D$14,D64/$D$14))</f>
        <v>3670971.37288654</v>
      </c>
      <c r="AO64" s="45" t="n">
        <f aca="false">IF(AM64,D64,B64)</f>
        <v>4609999.43697433</v>
      </c>
      <c r="AP64" s="45" t="n">
        <f aca="false">IF(AM64,C64,D64)</f>
        <v>4610000</v>
      </c>
      <c r="AQ64" s="46" t="n">
        <f aca="false">IF(AC64,IF(AND(AN64&gt;=AO64*(1-0.000000001),AN64&lt;=AP64*(1+0.000000001)),AN64,SQRT(AO64*AP64)),IF(AND(AO64&gt;$D$11,AP64&lt;$D$12),SQRT(AO64*AP64),IF(AND(AN64&gt;=AO64*(1-0.000000001),AN64&lt;=AP64*(1+0.000000001)),AN64,SQRT(AO64*AP64))))</f>
        <v>4609999.71848716</v>
      </c>
    </row>
    <row r="65" customFormat="false" ht="15" hidden="false" customHeight="false" outlineLevel="0" collapsed="false">
      <c r="A65" s="44" t="n">
        <v>15</v>
      </c>
      <c r="B65" s="45" t="n">
        <f aca="false">AO64</f>
        <v>4609999.43697433</v>
      </c>
      <c r="C65" s="45" t="n">
        <f aca="false">AP64</f>
        <v>4610000</v>
      </c>
      <c r="D65" s="46" t="n">
        <f aca="false">AQ64</f>
        <v>4609999.71848716</v>
      </c>
      <c r="E65" s="45" t="n">
        <f aca="false">$D$7*D65/('EOS steps'!$D$13*'EOS steps'!$D$7)^2</f>
        <v>0.085843222733899</v>
      </c>
      <c r="F65" s="45" t="n">
        <f aca="false">$D$8*D65/('EOS steps'!$D$13*'EOS steps'!$D$7)</f>
        <v>0.0471717639765663</v>
      </c>
      <c r="G65" s="45" t="n">
        <f aca="false">-1</f>
        <v>-1</v>
      </c>
      <c r="H65" s="45" t="n">
        <f aca="false">E65-F65-F65^2</f>
        <v>0.0364462834406719</v>
      </c>
      <c r="I65" s="45" t="n">
        <f aca="false">-E65*F65</f>
        <v>-0.00404937624179129</v>
      </c>
      <c r="J65" s="45" t="n">
        <f aca="false">H65-G65^2/3</f>
        <v>-0.296887049892661</v>
      </c>
      <c r="K65" s="45" t="n">
        <f aca="false">2*G65^3/27-G65*H65/3+I65</f>
        <v>-0.0659746891689747</v>
      </c>
      <c r="L65" s="45" t="n">
        <f aca="false">K65^2/4+J65^3/27</f>
        <v>0.000118972505786121</v>
      </c>
      <c r="M65" s="45" t="n">
        <f aca="false">-K65/2-IF(K65&gt;=0,1,-1)*SQRT(MAX(L65,0))</f>
        <v>0.0438947964310976</v>
      </c>
      <c r="N65" s="45" t="n">
        <f aca="false">SIGN(M65)*ABS(M65)^(1/3)</f>
        <v>0.352753241375836</v>
      </c>
      <c r="O65" s="45" t="n">
        <f aca="false">IF(N65=0,0,N65-J65/(3*N65))</f>
        <v>0.633295950432852</v>
      </c>
      <c r="P65" s="45" t="n">
        <f aca="false">2*SQRT(MAX(-J65,0)/3)</f>
        <v>0.629165637854518</v>
      </c>
      <c r="Q65" s="45" t="n">
        <f aca="false">ACOS(IF(P65=0,0,MAX(-1,MIN(1,3*K65/(J65*P65)))))</f>
        <v>0</v>
      </c>
      <c r="R65" s="45" t="n">
        <f aca="false">P65*COS(Q65/3)</f>
        <v>0.629165637854518</v>
      </c>
      <c r="S65" s="45" t="n">
        <f aca="false">IF(L65&lt;0,R65,O65)-G65/3</f>
        <v>0.966629283766185</v>
      </c>
      <c r="T65" s="45" t="n">
        <f aca="false">IFERROR((((S65+G65)*S65+H65)*S65+I65)/((3*S65+2*G65)*S65+H65),0)</f>
        <v>-1.60781299191559E-016</v>
      </c>
      <c r="U65" s="45" t="n">
        <f aca="false">IF(ABS(T65)&lt;0.1*ABS(S65),S65-T65,S65)</f>
        <v>0.966629283766185</v>
      </c>
      <c r="V65" s="45" t="n">
        <f aca="false">IFERROR((((U65+G65)*U65+H65)*U65+I65)/((3*U65+2*G65)*U65+H65),0)</f>
        <v>-4.97656402259588E-017</v>
      </c>
      <c r="W65" s="45" t="n">
        <f aca="false">IF(ABS(V65)&lt;0.1*ABS(U65),U65-V65,U65)</f>
        <v>0.966629283766185</v>
      </c>
      <c r="X65" s="45" t="n">
        <f aca="false">-I65/W65</f>
        <v>0.00418917190881503</v>
      </c>
      <c r="Y65" s="45" t="n">
        <f aca="false">(H65-X65)/W65</f>
        <v>0.0333707162338147</v>
      </c>
      <c r="Z65" s="45" t="n">
        <f aca="false">Y65^2-4*X65</f>
        <v>-0.0156430829333023</v>
      </c>
      <c r="AA65" s="47" t="n">
        <f aca="false">IF(Z65&gt;=0,(Y65+IF(Y65&gt;=0,1,-1)*SQRT(Z65))/2,0)</f>
        <v>0</v>
      </c>
      <c r="AB65" s="48" t="n">
        <f aca="false">IF(AND(Z65&gt;=0,AA65&lt;&gt;0),MIN(AA65,X65/AA65),-1)</f>
        <v>-1</v>
      </c>
      <c r="AC65" s="45" t="n">
        <f aca="false">AND(Z65&gt;=0,AB65&gt;F65,ABS(W65-AB65)&gt;=0.00005*MAX(W65,AB65))</f>
        <v>0</v>
      </c>
      <c r="AD65" s="45" t="n">
        <f aca="false">IF(AC65,IFERROR((((AB65+G65)*AB65+H65)*AB65+I65)/((3*AB65+2*G65)*AB65+H65),0),0)</f>
        <v>0</v>
      </c>
      <c r="AE65" s="48" t="n">
        <f aca="false">IF(ABS(AD65)&lt;0.1*ABS(AB65),AB65-AD65,AB65)</f>
        <v>-1</v>
      </c>
      <c r="AF65" s="45" t="n">
        <f aca="false">IF(AC65,IFERROR((((AE65+G65)*AE65+H65)*AE65+I65)/((3*AE65+2*G65)*AE65+H65),0),0)</f>
        <v>0</v>
      </c>
      <c r="AG65" s="48" t="n">
        <f aca="false">IF(ABS(AF65)&lt;0.1*ABS(AE65),AE65-AF65,AE65)</f>
        <v>-1</v>
      </c>
      <c r="AH65" s="45" t="n">
        <f aca="false">IF(AC65,MAX(W65,AG65),W65)</f>
        <v>0.966629283766185</v>
      </c>
      <c r="AI65" s="48" t="n">
        <f aca="false">IF(AC65,MIN(W65,AG65),-1)</f>
        <v>-1</v>
      </c>
      <c r="AJ65" s="45" t="n">
        <f aca="false">AH65-1-LN(AH65-F65)-E65/F65*LN(1+F65/AH65)</f>
        <v>-0.0361071656819708</v>
      </c>
      <c r="AK65" s="45" t="n">
        <f aca="false">IF(AC65,AI65-1-LN(AI65-F65)-E65/F65*LN(1+F65/AI65),0)</f>
        <v>0</v>
      </c>
      <c r="AL65" s="45" t="n">
        <f aca="false">IF(AC65,AK65-AJ65,0)</f>
        <v>0</v>
      </c>
      <c r="AM65" s="45" t="n">
        <f aca="false">IF(AC65,AL65&gt;0,AH65*'EOS steps'!$D$13*'EOS steps'!$D$7/D65&gt;=$D$9)</f>
        <v>1</v>
      </c>
      <c r="AN65" s="45" t="n">
        <f aca="false">IF(AC65,IF(AH65&gt;AI65,D65*EXP(MAX(-50,MIN(50,AL65/(AH65-AI65)))),D65),IF(AM65,D65*$D$14,D65/$D$14))</f>
        <v>3670971.59705696</v>
      </c>
      <c r="AO65" s="45" t="n">
        <f aca="false">IF(AM65,D65,B65)</f>
        <v>4609999.71848716</v>
      </c>
      <c r="AP65" s="45" t="n">
        <f aca="false">IF(AM65,C65,D65)</f>
        <v>4610000</v>
      </c>
      <c r="AQ65" s="46" t="n">
        <f aca="false">IF(AC65,IF(AND(AN65&gt;=AO65*(1-0.000000001),AN65&lt;=AP65*(1+0.000000001)),AN65,SQRT(AO65*AP65)),IF(AND(AO65&gt;$D$11,AP65&lt;$D$12),SQRT(AO65*AP65),IF(AND(AN65&gt;=AO65*(1-0.000000001),AN65&lt;=AP65*(1+0.000000001)),AN65,SQRT(AO65*AP65))))</f>
        <v>4609999.85924358</v>
      </c>
    </row>
    <row r="66" customFormat="false" ht="15" hidden="false" customHeight="false" outlineLevel="0" collapsed="false">
      <c r="A66" s="44" t="n">
        <v>16</v>
      </c>
      <c r="B66" s="45" t="n">
        <f aca="false">AO65</f>
        <v>4609999.71848716</v>
      </c>
      <c r="C66" s="45" t="n">
        <f aca="false">AP65</f>
        <v>4610000</v>
      </c>
      <c r="D66" s="46" t="n">
        <f aca="false">AQ65</f>
        <v>4609999.85924358</v>
      </c>
      <c r="E66" s="45" t="n">
        <f aca="false">$D$7*D66/('EOS steps'!$D$13*'EOS steps'!$D$7)^2</f>
        <v>0.0858432253549371</v>
      </c>
      <c r="F66" s="45" t="n">
        <f aca="false">$D$8*D66/('EOS steps'!$D$13*'EOS steps'!$D$7)</f>
        <v>0.0471717654168545</v>
      </c>
      <c r="G66" s="45" t="n">
        <f aca="false">-1</f>
        <v>-1</v>
      </c>
      <c r="H66" s="45" t="n">
        <f aca="false">E66-F66-F66^2</f>
        <v>0.0364462844855398</v>
      </c>
      <c r="I66" s="45" t="n">
        <f aca="false">-E66*F66</f>
        <v>-0.00404937648906927</v>
      </c>
      <c r="J66" s="45" t="n">
        <f aca="false">H66-G66^2/3</f>
        <v>-0.296887048847794</v>
      </c>
      <c r="K66" s="45" t="n">
        <f aca="false">2*G66^3/27-G66*H66/3+I66</f>
        <v>-0.0659746890679634</v>
      </c>
      <c r="L66" s="45" t="n">
        <f aca="false">K66^2/4+J66^3/27</f>
        <v>0.000118972512686988</v>
      </c>
      <c r="M66" s="45" t="n">
        <f aca="false">-K66/2-IF(K66&gt;=0,1,-1)*SQRT(MAX(L66,0))</f>
        <v>0.0438947966969292</v>
      </c>
      <c r="N66" s="45" t="n">
        <f aca="false">SIGN(M66)*ABS(M66)^(1/3)</f>
        <v>0.35275324208794</v>
      </c>
      <c r="O66" s="45" t="n">
        <f aca="false">IF(N66=0,0,N66-J66/(3*N66))</f>
        <v>0.633295949591278</v>
      </c>
      <c r="P66" s="45" t="n">
        <f aca="false">2*SQRT(MAX(-J66,0)/3)</f>
        <v>0.629165636747371</v>
      </c>
      <c r="Q66" s="45" t="n">
        <f aca="false">ACOS(IF(P66=0,0,MAX(-1,MIN(1,3*K66/(J66*P66)))))</f>
        <v>0</v>
      </c>
      <c r="R66" s="45" t="n">
        <f aca="false">P66*COS(Q66/3)</f>
        <v>0.629165636747371</v>
      </c>
      <c r="S66" s="45" t="n">
        <f aca="false">IF(L66&lt;0,R66,O66)-G66/3</f>
        <v>0.966629282924612</v>
      </c>
      <c r="T66" s="45" t="n">
        <f aca="false">IFERROR((((S66+G66)*S66+H66)*S66+I66)/((3*S66+2*G66)*S66+H66),0)</f>
        <v>-5.2636734979418E-017</v>
      </c>
      <c r="U66" s="45" t="n">
        <f aca="false">IF(ABS(T66)&lt;0.1*ABS(S66),S66-T66,S66)</f>
        <v>0.966629282924612</v>
      </c>
      <c r="V66" s="45" t="n">
        <f aca="false">IFERROR((((U66+G66)*U66+H66)*U66+I66)/((3*U66+2*G66)*U66+H66),0)</f>
        <v>-5.2636734979418E-017</v>
      </c>
      <c r="W66" s="45" t="n">
        <f aca="false">IF(ABS(V66)&lt;0.1*ABS(U66),U66-V66,U66)</f>
        <v>0.966629282924612</v>
      </c>
      <c r="X66" s="45" t="n">
        <f aca="false">-I66/W66</f>
        <v>0.00418917216827693</v>
      </c>
      <c r="Y66" s="45" t="n">
        <f aca="false">(H66-X66)/W66</f>
        <v>0.0333707170753885</v>
      </c>
      <c r="Z66" s="45" t="n">
        <f aca="false">Y66^2-4*X66</f>
        <v>-0.0156430839149821</v>
      </c>
      <c r="AA66" s="47" t="n">
        <f aca="false">IF(Z66&gt;=0,(Y66+IF(Y66&gt;=0,1,-1)*SQRT(Z66))/2,0)</f>
        <v>0</v>
      </c>
      <c r="AB66" s="48" t="n">
        <f aca="false">IF(AND(Z66&gt;=0,AA66&lt;&gt;0),MIN(AA66,X66/AA66),-1)</f>
        <v>-1</v>
      </c>
      <c r="AC66" s="45" t="n">
        <f aca="false">AND(Z66&gt;=0,AB66&gt;F66,ABS(W66-AB66)&gt;=0.00005*MAX(W66,AB66))</f>
        <v>0</v>
      </c>
      <c r="AD66" s="45" t="n">
        <f aca="false">IF(AC66,IFERROR((((AB66+G66)*AB66+H66)*AB66+I66)/((3*AB66+2*G66)*AB66+H66),0),0)</f>
        <v>0</v>
      </c>
      <c r="AE66" s="48" t="n">
        <f aca="false">IF(ABS(AD66)&lt;0.1*ABS(AB66),AB66-AD66,AB66)</f>
        <v>-1</v>
      </c>
      <c r="AF66" s="45" t="n">
        <f aca="false">IF(AC66,IFERROR((((AE66+G66)*AE66+H66)*AE66+I66)/((3*AE66+2*G66)*AE66+H66),0),0)</f>
        <v>0</v>
      </c>
      <c r="AG66" s="48" t="n">
        <f aca="false">IF(ABS(AF66)&lt;0.1*ABS(AE66),AE66-AF66,AE66)</f>
        <v>-1</v>
      </c>
      <c r="AH66" s="45" t="n">
        <f aca="false">IF(AC66,MAX(W66,AG66),W66)</f>
        <v>0.966629282924612</v>
      </c>
      <c r="AI66" s="48" t="n">
        <f aca="false">IF(AC66,MIN(W66,AG66),-1)</f>
        <v>-1</v>
      </c>
      <c r="AJ66" s="45" t="n">
        <f aca="false">AH66-1-LN(AH66-F66)-E66/F66*LN(1+F66/AH66)</f>
        <v>-0.0361071667008739</v>
      </c>
      <c r="AK66" s="45" t="n">
        <f aca="false">IF(AC66,AI66-1-LN(AI66-F66)-E66/F66*LN(1+F66/AI66),0)</f>
        <v>0</v>
      </c>
      <c r="AL66" s="45" t="n">
        <f aca="false">IF(AC66,AK66-AJ66,0)</f>
        <v>0</v>
      </c>
      <c r="AM66" s="45" t="n">
        <f aca="false">IF(AC66,AL66&gt;0,AH66*'EOS steps'!$D$13*'EOS steps'!$D$7/D66&gt;=$D$9)</f>
        <v>1</v>
      </c>
      <c r="AN66" s="45" t="n">
        <f aca="false">IF(AC66,IF(AH66&gt;AI66,D66*EXP(MAX(-50,MIN(50,AL66/(AH66-AI66)))),D66),IF(AM66,D66*$D$14,D66/$D$14))</f>
        <v>3670971.70914218</v>
      </c>
      <c r="AO66" s="45" t="n">
        <f aca="false">IF(AM66,D66,B66)</f>
        <v>4609999.85924358</v>
      </c>
      <c r="AP66" s="45" t="n">
        <f aca="false">IF(AM66,C66,D66)</f>
        <v>4610000</v>
      </c>
      <c r="AQ66" s="46" t="n">
        <f aca="false">IF(AC66,IF(AND(AN66&gt;=AO66*(1-0.000000001),AN66&lt;=AP66*(1+0.000000001)),AN66,SQRT(AO66*AP66)),IF(AND(AO66&gt;$D$11,AP66&lt;$D$12),SQRT(AO66*AP66),IF(AND(AN66&gt;=AO66*(1-0.000000001),AN66&lt;=AP66*(1+0.000000001)),AN66,SQRT(AO66*AP66))))</f>
        <v>4609999.92962179</v>
      </c>
    </row>
    <row r="67" customFormat="false" ht="15" hidden="false" customHeight="false" outlineLevel="0" collapsed="false">
      <c r="A67" s="44" t="n">
        <v>17</v>
      </c>
      <c r="B67" s="45" t="n">
        <f aca="false">AO66</f>
        <v>4609999.85924358</v>
      </c>
      <c r="C67" s="45" t="n">
        <f aca="false">AP66</f>
        <v>4610000</v>
      </c>
      <c r="D67" s="46" t="n">
        <f aca="false">AQ66</f>
        <v>4609999.92962179</v>
      </c>
      <c r="E67" s="45" t="n">
        <f aca="false">$D$7*D67/('EOS steps'!$D$13*'EOS steps'!$D$7)^2</f>
        <v>0.0858432266654561</v>
      </c>
      <c r="F67" s="45" t="n">
        <f aca="false">$D$8*D67/('EOS steps'!$D$13*'EOS steps'!$D$7)</f>
        <v>0.0471717661369987</v>
      </c>
      <c r="G67" s="45" t="n">
        <f aca="false">-1</f>
        <v>-1</v>
      </c>
      <c r="H67" s="45" t="n">
        <f aca="false">E67-F67-F67^2</f>
        <v>0.0364462850079737</v>
      </c>
      <c r="I67" s="45" t="n">
        <f aca="false">-E67*F67</f>
        <v>-0.00404937661270826</v>
      </c>
      <c r="J67" s="45" t="n">
        <f aca="false">H67-G67^2/3</f>
        <v>-0.29688704832536</v>
      </c>
      <c r="K67" s="45" t="n">
        <f aca="false">2*G67^3/27-G67*H67/3+I67</f>
        <v>-0.0659746890174578</v>
      </c>
      <c r="L67" s="45" t="n">
        <f aca="false">K67^2/4+J67^3/27</f>
        <v>0.000118972516137422</v>
      </c>
      <c r="M67" s="45" t="n">
        <f aca="false">-K67/2-IF(K67&gt;=0,1,-1)*SQRT(MAX(L67,0))</f>
        <v>0.043894796829845</v>
      </c>
      <c r="N67" s="45" t="n">
        <f aca="false">SIGN(M67)*ABS(M67)^(1/3)</f>
        <v>0.352753242443992</v>
      </c>
      <c r="O67" s="45" t="n">
        <f aca="false">IF(N67=0,0,N67-J67/(3*N67))</f>
        <v>0.633295949170491</v>
      </c>
      <c r="P67" s="45" t="n">
        <f aca="false">2*SQRT(MAX(-J67,0)/3)</f>
        <v>0.629165636193798</v>
      </c>
      <c r="Q67" s="45" t="n">
        <f aca="false">ACOS(IF(P67=0,0,MAX(-1,MIN(1,3*K67/(J67*P67)))))</f>
        <v>0</v>
      </c>
      <c r="R67" s="45" t="n">
        <f aca="false">P67*COS(Q67/3)</f>
        <v>0.629165636193798</v>
      </c>
      <c r="S67" s="45" t="n">
        <f aca="false">IF(L67&lt;0,R67,O67)-G67/3</f>
        <v>0.966629282503825</v>
      </c>
      <c r="T67" s="45" t="n">
        <f aca="false">IFERROR((((S67+G67)*S67+H67)*S67+I67)/((3*S67+2*G67)*S67+H67),0)</f>
        <v>-9.85742492603552E-017</v>
      </c>
      <c r="U67" s="45" t="n">
        <f aca="false">IF(ABS(T67)&lt;0.1*ABS(S67),S67-T67,S67)</f>
        <v>0.966629282503825</v>
      </c>
      <c r="V67" s="45" t="n">
        <f aca="false">IFERROR((((U67+G67)*U67+H67)*U67+I67)/((3*U67+2*G67)*U67+H67),0)</f>
        <v>0</v>
      </c>
      <c r="W67" s="45" t="n">
        <f aca="false">IF(ABS(V67)&lt;0.1*ABS(U67),U67-V67,U67)</f>
        <v>0.966629282503825</v>
      </c>
      <c r="X67" s="45" t="n">
        <f aca="false">-I67/W67</f>
        <v>0.00418917229800789</v>
      </c>
      <c r="Y67" s="45" t="n">
        <f aca="false">(H67-X67)/W67</f>
        <v>0.0333707174961754</v>
      </c>
      <c r="Z67" s="45" t="n">
        <f aca="false">Y67^2-4*X67</f>
        <v>-0.015643084405822</v>
      </c>
      <c r="AA67" s="47" t="n">
        <f aca="false">IF(Z67&gt;=0,(Y67+IF(Y67&gt;=0,1,-1)*SQRT(Z67))/2,0)</f>
        <v>0</v>
      </c>
      <c r="AB67" s="48" t="n">
        <f aca="false">IF(AND(Z67&gt;=0,AA67&lt;&gt;0),MIN(AA67,X67/AA67),-1)</f>
        <v>-1</v>
      </c>
      <c r="AC67" s="45" t="n">
        <f aca="false">AND(Z67&gt;=0,AB67&gt;F67,ABS(W67-AB67)&gt;=0.00005*MAX(W67,AB67))</f>
        <v>0</v>
      </c>
      <c r="AD67" s="45" t="n">
        <f aca="false">IF(AC67,IFERROR((((AB67+G67)*AB67+H67)*AB67+I67)/((3*AB67+2*G67)*AB67+H67),0),0)</f>
        <v>0</v>
      </c>
      <c r="AE67" s="48" t="n">
        <f aca="false">IF(ABS(AD67)&lt;0.1*ABS(AB67),AB67-AD67,AB67)</f>
        <v>-1</v>
      </c>
      <c r="AF67" s="45" t="n">
        <f aca="false">IF(AC67,IFERROR((((AE67+G67)*AE67+H67)*AE67+I67)/((3*AE67+2*G67)*AE67+H67),0),0)</f>
        <v>0</v>
      </c>
      <c r="AG67" s="48" t="n">
        <f aca="false">IF(ABS(AF67)&lt;0.1*ABS(AE67),AE67-AF67,AE67)</f>
        <v>-1</v>
      </c>
      <c r="AH67" s="45" t="n">
        <f aca="false">IF(AC67,MAX(W67,AG67),W67)</f>
        <v>0.966629282503825</v>
      </c>
      <c r="AI67" s="48" t="n">
        <f aca="false">IF(AC67,MIN(W67,AG67),-1)</f>
        <v>-1</v>
      </c>
      <c r="AJ67" s="45" t="n">
        <f aca="false">AH67-1-LN(AH67-F67)-E67/F67*LN(1+F67/AH67)</f>
        <v>-0.0361071672103253</v>
      </c>
      <c r="AK67" s="45" t="n">
        <f aca="false">IF(AC67,AI67-1-LN(AI67-F67)-E67/F67*LN(1+F67/AI67),0)</f>
        <v>0</v>
      </c>
      <c r="AL67" s="45" t="n">
        <f aca="false">IF(AC67,AK67-AJ67,0)</f>
        <v>0</v>
      </c>
      <c r="AM67" s="45" t="n">
        <f aca="false">IF(AC67,AL67&gt;0,AH67*'EOS steps'!$D$13*'EOS steps'!$D$7/D67&gt;=$D$9)</f>
        <v>1</v>
      </c>
      <c r="AN67" s="45" t="n">
        <f aca="false">IF(AC67,IF(AH67&gt;AI67,D67*EXP(MAX(-50,MIN(50,AL67/(AH67-AI67)))),D67),IF(AM67,D67*$D$14,D67/$D$14))</f>
        <v>3670971.76518479</v>
      </c>
      <c r="AO67" s="45" t="n">
        <f aca="false">IF(AM67,D67,B67)</f>
        <v>4609999.92962179</v>
      </c>
      <c r="AP67" s="45" t="n">
        <f aca="false">IF(AM67,C67,D67)</f>
        <v>4610000</v>
      </c>
      <c r="AQ67" s="46" t="n">
        <f aca="false">IF(AC67,IF(AND(AN67&gt;=AO67*(1-0.000000001),AN67&lt;=AP67*(1+0.000000001)),AN67,SQRT(AO67*AP67)),IF(AND(AO67&gt;$D$11,AP67&lt;$D$12),SQRT(AO67*AP67),IF(AND(AN67&gt;=AO67*(1-0.000000001),AN67&lt;=AP67*(1+0.000000001)),AN67,SQRT(AO67*AP67))))</f>
        <v>4609999.96481089</v>
      </c>
    </row>
    <row r="68" customFormat="false" ht="15" hidden="false" customHeight="false" outlineLevel="0" collapsed="false">
      <c r="A68" s="44" t="n">
        <v>18</v>
      </c>
      <c r="B68" s="45" t="n">
        <f aca="false">AO67</f>
        <v>4609999.92962179</v>
      </c>
      <c r="C68" s="45" t="n">
        <f aca="false">AP67</f>
        <v>4610000</v>
      </c>
      <c r="D68" s="46" t="n">
        <f aca="false">AQ67</f>
        <v>4609999.96481089</v>
      </c>
      <c r="E68" s="45" t="n">
        <f aca="false">$D$7*D68/('EOS steps'!$D$13*'EOS steps'!$D$7)^2</f>
        <v>0.0858432273207157</v>
      </c>
      <c r="F68" s="45" t="n">
        <f aca="false">$D$8*D68/('EOS steps'!$D$13*'EOS steps'!$D$7)</f>
        <v>0.0471717664970708</v>
      </c>
      <c r="G68" s="45" t="n">
        <f aca="false">-1</f>
        <v>-1</v>
      </c>
      <c r="H68" s="45" t="n">
        <f aca="false">E68-F68-F68^2</f>
        <v>0.0364462852691907</v>
      </c>
      <c r="I68" s="45" t="n">
        <f aca="false">-E68*F68</f>
        <v>-0.00404937667452777</v>
      </c>
      <c r="J68" s="45" t="n">
        <f aca="false">H68-G68^2/3</f>
        <v>-0.296887048064143</v>
      </c>
      <c r="K68" s="45" t="n">
        <f aca="false">2*G68^3/27-G68*H68/3+I68</f>
        <v>-0.0659746889922049</v>
      </c>
      <c r="L68" s="45" t="n">
        <f aca="false">K68^2/4+J68^3/27</f>
        <v>0.000118972517862639</v>
      </c>
      <c r="M68" s="45" t="n">
        <f aca="false">-K68/2-IF(K68&gt;=0,1,-1)*SQRT(MAX(L68,0))</f>
        <v>0.0438947968963029</v>
      </c>
      <c r="N68" s="45" t="n">
        <f aca="false">SIGN(M68)*ABS(M68)^(1/3)</f>
        <v>0.352753242622018</v>
      </c>
      <c r="O68" s="45" t="n">
        <f aca="false">IF(N68=0,0,N68-J68/(3*N68))</f>
        <v>0.633295948960098</v>
      </c>
      <c r="P68" s="45" t="n">
        <f aca="false">2*SQRT(MAX(-J68,0)/3)</f>
        <v>0.629165635917011</v>
      </c>
      <c r="Q68" s="45" t="n">
        <f aca="false">ACOS(IF(P68=0,0,MAX(-1,MIN(1,3*K68/(J68*P68)))))</f>
        <v>0</v>
      </c>
      <c r="R68" s="45" t="n">
        <f aca="false">P68*COS(Q68/3)</f>
        <v>0.629165635917011</v>
      </c>
      <c r="S68" s="45" t="n">
        <f aca="false">IF(L68&lt;0,R68,O68)-G68/3</f>
        <v>0.966629282293431</v>
      </c>
      <c r="T68" s="45" t="n">
        <f aca="false">IFERROR((((S68+G68)*S68+H68)*S68+I68)/((3*S68+2*G68)*S68+H68),0)</f>
        <v>-1.0814456478675E-016</v>
      </c>
      <c r="U68" s="45" t="n">
        <f aca="false">IF(ABS(T68)&lt;0.1*ABS(S68),S68-T68,S68)</f>
        <v>0.966629282293431</v>
      </c>
      <c r="V68" s="45" t="n">
        <f aca="false">IFERROR((((U68+G68)*U68+H68)*U68+I68)/((3*U68+2*G68)*U68+H68),0)</f>
        <v>0</v>
      </c>
      <c r="W68" s="45" t="n">
        <f aca="false">IF(ABS(V68)&lt;0.1*ABS(U68),U68-V68,U68)</f>
        <v>0.966629282293431</v>
      </c>
      <c r="X68" s="45" t="n">
        <f aca="false">-I68/W68</f>
        <v>0.00418917236287337</v>
      </c>
      <c r="Y68" s="45" t="n">
        <f aca="false">(H68-X68)/W68</f>
        <v>0.0333707177065689</v>
      </c>
      <c r="Z68" s="45" t="n">
        <f aca="false">Y68^2-4*X68</f>
        <v>-0.015643084651242</v>
      </c>
      <c r="AA68" s="47" t="n">
        <f aca="false">IF(Z68&gt;=0,(Y68+IF(Y68&gt;=0,1,-1)*SQRT(Z68))/2,0)</f>
        <v>0</v>
      </c>
      <c r="AB68" s="48" t="n">
        <f aca="false">IF(AND(Z68&gt;=0,AA68&lt;&gt;0),MIN(AA68,X68/AA68),-1)</f>
        <v>-1</v>
      </c>
      <c r="AC68" s="45" t="n">
        <f aca="false">AND(Z68&gt;=0,AB68&gt;F68,ABS(W68-AB68)&gt;=0.00005*MAX(W68,AB68))</f>
        <v>0</v>
      </c>
      <c r="AD68" s="45" t="n">
        <f aca="false">IF(AC68,IFERROR((((AB68+G68)*AB68+H68)*AB68+I68)/((3*AB68+2*G68)*AB68+H68),0),0)</f>
        <v>0</v>
      </c>
      <c r="AE68" s="48" t="n">
        <f aca="false">IF(ABS(AD68)&lt;0.1*ABS(AB68),AB68-AD68,AB68)</f>
        <v>-1</v>
      </c>
      <c r="AF68" s="45" t="n">
        <f aca="false">IF(AC68,IFERROR((((AE68+G68)*AE68+H68)*AE68+I68)/((3*AE68+2*G68)*AE68+H68),0),0)</f>
        <v>0</v>
      </c>
      <c r="AG68" s="48" t="n">
        <f aca="false">IF(ABS(AF68)&lt;0.1*ABS(AE68),AE68-AF68,AE68)</f>
        <v>-1</v>
      </c>
      <c r="AH68" s="45" t="n">
        <f aca="false">IF(AC68,MAX(W68,AG68),W68)</f>
        <v>0.966629282293431</v>
      </c>
      <c r="AI68" s="48" t="n">
        <f aca="false">IF(AC68,MIN(W68,AG68),-1)</f>
        <v>-1</v>
      </c>
      <c r="AJ68" s="45" t="n">
        <f aca="false">AH68-1-LN(AH68-F68)-E68/F68*LN(1+F68/AH68)</f>
        <v>-0.0361071674650513</v>
      </c>
      <c r="AK68" s="45" t="n">
        <f aca="false">IF(AC68,AI68-1-LN(AI68-F68)-E68/F68*LN(1+F68/AI68),0)</f>
        <v>0</v>
      </c>
      <c r="AL68" s="45" t="n">
        <f aca="false">IF(AC68,AK68-AJ68,0)</f>
        <v>0</v>
      </c>
      <c r="AM68" s="45" t="n">
        <f aca="false">IF(AC68,AL68&gt;0,AH68*'EOS steps'!$D$13*'EOS steps'!$D$7/D68&gt;=$D$9)</f>
        <v>1</v>
      </c>
      <c r="AN68" s="45" t="n">
        <f aca="false">IF(AC68,IF(AH68&gt;AI68,D68*EXP(MAX(-50,MIN(50,AL68/(AH68-AI68)))),D68),IF(AM68,D68*$D$14,D68/$D$14))</f>
        <v>3670971.79320609</v>
      </c>
      <c r="AO68" s="45" t="n">
        <f aca="false">IF(AM68,D68,B68)</f>
        <v>4609999.96481089</v>
      </c>
      <c r="AP68" s="45" t="n">
        <f aca="false">IF(AM68,C68,D68)</f>
        <v>4610000</v>
      </c>
      <c r="AQ68" s="46" t="n">
        <f aca="false">IF(AC68,IF(AND(AN68&gt;=AO68*(1-0.000000001),AN68&lt;=AP68*(1+0.000000001)),AN68,SQRT(AO68*AP68)),IF(AND(AO68&gt;$D$11,AP68&lt;$D$12),SQRT(AO68*AP68),IF(AND(AN68&gt;=AO68*(1-0.000000001),AN68&lt;=AP68*(1+0.000000001)),AN68,SQRT(AO68*AP68))))</f>
        <v>4609999.98240545</v>
      </c>
    </row>
    <row r="69" customFormat="false" ht="15" hidden="false" customHeight="false" outlineLevel="0" collapsed="false">
      <c r="A69" s="44" t="n">
        <v>19</v>
      </c>
      <c r="B69" s="45" t="n">
        <f aca="false">AO68</f>
        <v>4609999.96481089</v>
      </c>
      <c r="C69" s="45" t="n">
        <f aca="false">AP68</f>
        <v>4610000</v>
      </c>
      <c r="D69" s="46" t="n">
        <f aca="false">AQ68</f>
        <v>4609999.98240545</v>
      </c>
      <c r="E69" s="45" t="n">
        <f aca="false">$D$7*D69/('EOS steps'!$D$13*'EOS steps'!$D$7)^2</f>
        <v>0.0858432276483454</v>
      </c>
      <c r="F69" s="45" t="n">
        <f aca="false">$D$8*D69/('EOS steps'!$D$13*'EOS steps'!$D$7)</f>
        <v>0.0471717666771068</v>
      </c>
      <c r="G69" s="45" t="n">
        <f aca="false">-1</f>
        <v>-1</v>
      </c>
      <c r="H69" s="45" t="n">
        <f aca="false">E69-F69-F69^2</f>
        <v>0.0364462853997992</v>
      </c>
      <c r="I69" s="45" t="n">
        <f aca="false">-E69*F69</f>
        <v>-0.00404937670543752</v>
      </c>
      <c r="J69" s="45" t="n">
        <f aca="false">H69-G69^2/3</f>
        <v>-0.296887047933534</v>
      </c>
      <c r="K69" s="45" t="n">
        <f aca="false">2*G69^3/27-G69*H69/3+I69</f>
        <v>-0.0659746889795785</v>
      </c>
      <c r="L69" s="45" t="n">
        <f aca="false">K69^2/4+J69^3/27</f>
        <v>0.000118972518725247</v>
      </c>
      <c r="M69" s="45" t="n">
        <f aca="false">-K69/2-IF(K69&gt;=0,1,-1)*SQRT(MAX(L69,0))</f>
        <v>0.0438947969295319</v>
      </c>
      <c r="N69" s="45" t="n">
        <f aca="false">SIGN(M69)*ABS(M69)^(1/3)</f>
        <v>0.352753242711031</v>
      </c>
      <c r="O69" s="45" t="n">
        <f aca="false">IF(N69=0,0,N69-J69/(3*N69))</f>
        <v>0.633295948854901</v>
      </c>
      <c r="P69" s="45" t="n">
        <f aca="false">2*SQRT(MAX(-J69,0)/3)</f>
        <v>0.629165635778618</v>
      </c>
      <c r="Q69" s="45" t="n">
        <f aca="false">ACOS(IF(P69=0,0,MAX(-1,MIN(1,3*K69/(J69*P69)))))</f>
        <v>0</v>
      </c>
      <c r="R69" s="45" t="n">
        <f aca="false">P69*COS(Q69/3)</f>
        <v>0.629165635778618</v>
      </c>
      <c r="S69" s="45" t="n">
        <f aca="false">IF(L69&lt;0,R69,O69)-G69/3</f>
        <v>0.966629282188234</v>
      </c>
      <c r="T69" s="45" t="n">
        <f aca="false">IFERROR((((S69+G69)*S69+H69)*S69+I69)/((3*S69+2*G69)*S69+H69),0)</f>
        <v>-1.3589847968388E-016</v>
      </c>
      <c r="U69" s="45" t="n">
        <f aca="false">IF(ABS(T69)&lt;0.1*ABS(S69),S69-T69,S69)</f>
        <v>0.966629282188234</v>
      </c>
      <c r="V69" s="45" t="n">
        <f aca="false">IFERROR((((U69+G69)*U69+H69)*U69+I69)/((3*U69+2*G69)*U69+H69),0)</f>
        <v>-2.4882820223809E-017</v>
      </c>
      <c r="W69" s="45" t="n">
        <f aca="false">IF(ABS(V69)&lt;0.1*ABS(U69),U69-V69,U69)</f>
        <v>0.966629282188234</v>
      </c>
      <c r="X69" s="45" t="n">
        <f aca="false">-I69/W69</f>
        <v>0.00418917239530612</v>
      </c>
      <c r="Y69" s="45" t="n">
        <f aca="false">(H69-X69)/W69</f>
        <v>0.0333707178117656</v>
      </c>
      <c r="Z69" s="45" t="n">
        <f aca="false">Y69^2-4*X69</f>
        <v>-0.015643084773952</v>
      </c>
      <c r="AA69" s="47" t="n">
        <f aca="false">IF(Z69&gt;=0,(Y69+IF(Y69&gt;=0,1,-1)*SQRT(Z69))/2,0)</f>
        <v>0</v>
      </c>
      <c r="AB69" s="48" t="n">
        <f aca="false">IF(AND(Z69&gt;=0,AA69&lt;&gt;0),MIN(AA69,X69/AA69),-1)</f>
        <v>-1</v>
      </c>
      <c r="AC69" s="45" t="n">
        <f aca="false">AND(Z69&gt;=0,AB69&gt;F69,ABS(W69-AB69)&gt;=0.00005*MAX(W69,AB69))</f>
        <v>0</v>
      </c>
      <c r="AD69" s="45" t="n">
        <f aca="false">IF(AC69,IFERROR((((AB69+G69)*AB69+H69)*AB69+I69)/((3*AB69+2*G69)*AB69+H69),0),0)</f>
        <v>0</v>
      </c>
      <c r="AE69" s="48" t="n">
        <f aca="false">IF(ABS(AD69)&lt;0.1*ABS(AB69),AB69-AD69,AB69)</f>
        <v>-1</v>
      </c>
      <c r="AF69" s="45" t="n">
        <f aca="false">IF(AC69,IFERROR((((AE69+G69)*AE69+H69)*AE69+I69)/((3*AE69+2*G69)*AE69+H69),0),0)</f>
        <v>0</v>
      </c>
      <c r="AG69" s="48" t="n">
        <f aca="false">IF(ABS(AF69)&lt;0.1*ABS(AE69),AE69-AF69,AE69)</f>
        <v>-1</v>
      </c>
      <c r="AH69" s="45" t="n">
        <f aca="false">IF(AC69,MAX(W69,AG69),W69)</f>
        <v>0.966629282188234</v>
      </c>
      <c r="AI69" s="48" t="n">
        <f aca="false">IF(AC69,MIN(W69,AG69),-1)</f>
        <v>-1</v>
      </c>
      <c r="AJ69" s="45" t="n">
        <f aca="false">AH69-1-LN(AH69-F69)-E69/F69*LN(1+F69/AH69)</f>
        <v>-0.0361071675924139</v>
      </c>
      <c r="AK69" s="45" t="n">
        <f aca="false">IF(AC69,AI69-1-LN(AI69-F69)-E69/F69*LN(1+F69/AI69),0)</f>
        <v>0</v>
      </c>
      <c r="AL69" s="45" t="n">
        <f aca="false">IF(AC69,AK69-AJ69,0)</f>
        <v>0</v>
      </c>
      <c r="AM69" s="45" t="n">
        <f aca="false">IF(AC69,AL69&gt;0,AH69*'EOS steps'!$D$13*'EOS steps'!$D$7/D69&gt;=$D$9)</f>
        <v>1</v>
      </c>
      <c r="AN69" s="45" t="n">
        <f aca="false">IF(AC69,IF(AH69&gt;AI69,D69*EXP(MAX(-50,MIN(50,AL69/(AH69-AI69)))),D69),IF(AM69,D69*$D$14,D69/$D$14))</f>
        <v>3670971.80721674</v>
      </c>
      <c r="AO69" s="45" t="n">
        <f aca="false">IF(AM69,D69,B69)</f>
        <v>4609999.98240545</v>
      </c>
      <c r="AP69" s="45" t="n">
        <f aca="false">IF(AM69,C69,D69)</f>
        <v>4610000</v>
      </c>
      <c r="AQ69" s="46" t="n">
        <f aca="false">IF(AC69,IF(AND(AN69&gt;=AO69*(1-0.000000001),AN69&lt;=AP69*(1+0.000000001)),AN69,SQRT(AO69*AP69)),IF(AND(AO69&gt;$D$11,AP69&lt;$D$12),SQRT(AO69*AP69),IF(AND(AN69&gt;=AO69*(1-0.000000001),AN69&lt;=AP69*(1+0.000000001)),AN69,SQRT(AO69*AP69))))</f>
        <v>4609999.99120272</v>
      </c>
    </row>
    <row r="70" customFormat="false" ht="15" hidden="false" customHeight="false" outlineLevel="0" collapsed="false">
      <c r="A70" s="44" t="n">
        <v>20</v>
      </c>
      <c r="B70" s="45" t="n">
        <f aca="false">AO69</f>
        <v>4609999.98240545</v>
      </c>
      <c r="C70" s="45" t="n">
        <f aca="false">AP69</f>
        <v>4610000</v>
      </c>
      <c r="D70" s="46" t="n">
        <f aca="false">AQ69</f>
        <v>4609999.99120272</v>
      </c>
      <c r="E70" s="45" t="n">
        <f aca="false">$D$7*D70/('EOS steps'!$D$13*'EOS steps'!$D$7)^2</f>
        <v>0.0858432278121603</v>
      </c>
      <c r="F70" s="45" t="n">
        <f aca="false">$D$8*D70/('EOS steps'!$D$13*'EOS steps'!$D$7)</f>
        <v>0.0471717667671248</v>
      </c>
      <c r="G70" s="45" t="n">
        <f aca="false">-1</f>
        <v>-1</v>
      </c>
      <c r="H70" s="45" t="n">
        <f aca="false">E70-F70-F70^2</f>
        <v>0.0364462854651035</v>
      </c>
      <c r="I70" s="45" t="n">
        <f aca="false">-E70*F70</f>
        <v>-0.00404937672089239</v>
      </c>
      <c r="J70" s="45" t="n">
        <f aca="false">H70-G70^2/3</f>
        <v>-0.29688704786823</v>
      </c>
      <c r="K70" s="45" t="n">
        <f aca="false">2*G70^3/27-G70*H70/3+I70</f>
        <v>-0.0659746889732653</v>
      </c>
      <c r="L70" s="45" t="n">
        <f aca="false">K70^2/4+J70^3/27</f>
        <v>0.000118972519156551</v>
      </c>
      <c r="M70" s="45" t="n">
        <f aca="false">-K70/2-IF(K70&gt;=0,1,-1)*SQRT(MAX(L70,0))</f>
        <v>0.0438947969461464</v>
      </c>
      <c r="N70" s="45" t="n">
        <f aca="false">SIGN(M70)*ABS(M70)^(1/3)</f>
        <v>0.352753242755538</v>
      </c>
      <c r="O70" s="45" t="n">
        <f aca="false">IF(N70=0,0,N70-J70/(3*N70))</f>
        <v>0.633295948802303</v>
      </c>
      <c r="P70" s="45" t="n">
        <f aca="false">2*SQRT(MAX(-J70,0)/3)</f>
        <v>0.629165635709421</v>
      </c>
      <c r="Q70" s="45" t="n">
        <f aca="false">ACOS(IF(P70=0,0,MAX(-1,MIN(1,3*K70/(J70*P70)))))</f>
        <v>0</v>
      </c>
      <c r="R70" s="45" t="n">
        <f aca="false">P70*COS(Q70/3)</f>
        <v>0.629165635709421</v>
      </c>
      <c r="S70" s="45" t="n">
        <f aca="false">IF(L70&lt;0,R70,O70)-G70/3</f>
        <v>0.966629282135636</v>
      </c>
      <c r="T70" s="45" t="n">
        <f aca="false">IFERROR((((S70+G70)*S70+H70)*S70+I70)/((3*S70+2*G70)*S70+H70),0)</f>
        <v>-1.23457069590305E-016</v>
      </c>
      <c r="U70" s="45" t="n">
        <f aca="false">IF(ABS(T70)&lt;0.1*ABS(S70),S70-T70,S70)</f>
        <v>0.966629282135636</v>
      </c>
      <c r="V70" s="45" t="n">
        <f aca="false">IFERROR((((U70+G70)*U70+H70)*U70+I70)/((3*U70+2*G70)*U70+H70),0)</f>
        <v>0</v>
      </c>
      <c r="W70" s="45" t="n">
        <f aca="false">IF(ABS(V70)&lt;0.1*ABS(U70),U70-V70,U70)</f>
        <v>0.966629282135636</v>
      </c>
      <c r="X70" s="45" t="n">
        <f aca="false">-I70/W70</f>
        <v>0.00418917241152249</v>
      </c>
      <c r="Y70" s="45" t="n">
        <f aca="false">(H70-X70)/W70</f>
        <v>0.033370717864364</v>
      </c>
      <c r="Z70" s="45" t="n">
        <f aca="false">Y70^2-4*X70</f>
        <v>-0.015643084835307</v>
      </c>
      <c r="AA70" s="47" t="n">
        <f aca="false">IF(Z70&gt;=0,(Y70+IF(Y70&gt;=0,1,-1)*SQRT(Z70))/2,0)</f>
        <v>0</v>
      </c>
      <c r="AB70" s="48" t="n">
        <f aca="false">IF(AND(Z70&gt;=0,AA70&lt;&gt;0),MIN(AA70,X70/AA70),-1)</f>
        <v>-1</v>
      </c>
      <c r="AC70" s="45" t="n">
        <f aca="false">AND(Z70&gt;=0,AB70&gt;F70,ABS(W70-AB70)&gt;=0.00005*MAX(W70,AB70))</f>
        <v>0</v>
      </c>
      <c r="AD70" s="45" t="n">
        <f aca="false">IF(AC70,IFERROR((((AB70+G70)*AB70+H70)*AB70+I70)/((3*AB70+2*G70)*AB70+H70),0),0)</f>
        <v>0</v>
      </c>
      <c r="AE70" s="48" t="n">
        <f aca="false">IF(ABS(AD70)&lt;0.1*ABS(AB70),AB70-AD70,AB70)</f>
        <v>-1</v>
      </c>
      <c r="AF70" s="45" t="n">
        <f aca="false">IF(AC70,IFERROR((((AE70+G70)*AE70+H70)*AE70+I70)/((3*AE70+2*G70)*AE70+H70),0),0)</f>
        <v>0</v>
      </c>
      <c r="AG70" s="48" t="n">
        <f aca="false">IF(ABS(AF70)&lt;0.1*ABS(AE70),AE70-AF70,AE70)</f>
        <v>-1</v>
      </c>
      <c r="AH70" s="45" t="n">
        <f aca="false">IF(AC70,MAX(W70,AG70),W70)</f>
        <v>0.966629282135636</v>
      </c>
      <c r="AI70" s="48" t="n">
        <f aca="false">IF(AC70,MIN(W70,AG70),-1)</f>
        <v>-1</v>
      </c>
      <c r="AJ70" s="45" t="n">
        <f aca="false">AH70-1-LN(AH70-F70)-E70/F70*LN(1+F70/AH70)</f>
        <v>-0.0361071676560954</v>
      </c>
      <c r="AK70" s="45" t="n">
        <f aca="false">IF(AC70,AI70-1-LN(AI70-F70)-E70/F70*LN(1+F70/AI70),0)</f>
        <v>0</v>
      </c>
      <c r="AL70" s="45" t="n">
        <f aca="false">IF(AC70,AK70-AJ70,0)</f>
        <v>0</v>
      </c>
      <c r="AM70" s="45" t="n">
        <f aca="false">IF(AC70,AL70&gt;0,AH70*'EOS steps'!$D$13*'EOS steps'!$D$7/D70&gt;=$D$9)</f>
        <v>1</v>
      </c>
      <c r="AN70" s="45" t="n">
        <f aca="false">IF(AC70,IF(AH70&gt;AI70,D70*EXP(MAX(-50,MIN(50,AL70/(AH70-AI70)))),D70),IF(AM70,D70*$D$14,D70/$D$14))</f>
        <v>3670971.81422207</v>
      </c>
      <c r="AO70" s="45" t="n">
        <f aca="false">IF(AM70,D70,B70)</f>
        <v>4609999.99120272</v>
      </c>
      <c r="AP70" s="45" t="n">
        <f aca="false">IF(AM70,C70,D70)</f>
        <v>4610000</v>
      </c>
      <c r="AQ70" s="46" t="n">
        <f aca="false">IF(AC70,IF(AND(AN70&gt;=AO70*(1-0.000000001),AN70&lt;=AP70*(1+0.000000001)),AN70,SQRT(AO70*AP70)),IF(AND(AO70&gt;$D$11,AP70&lt;$D$12),SQRT(AO70*AP70),IF(AND(AN70&gt;=AO70*(1-0.000000001),AN70&lt;=AP70*(1+0.000000001)),AN70,SQRT(AO70*AP70))))</f>
        <v>4609999.99560136</v>
      </c>
    </row>
    <row r="71" customFormat="false" ht="15" hidden="false" customHeight="false" outlineLevel="0" collapsed="false">
      <c r="A71" s="44" t="n">
        <v>21</v>
      </c>
      <c r="B71" s="45" t="n">
        <f aca="false">AO70</f>
        <v>4609999.99120272</v>
      </c>
      <c r="C71" s="45" t="n">
        <f aca="false">AP70</f>
        <v>4610000</v>
      </c>
      <c r="D71" s="46" t="n">
        <f aca="false">AQ70</f>
        <v>4609999.99560136</v>
      </c>
      <c r="E71" s="45" t="n">
        <f aca="false">$D$7*D71/('EOS steps'!$D$13*'EOS steps'!$D$7)^2</f>
        <v>0.0858432278940678</v>
      </c>
      <c r="F71" s="45" t="n">
        <f aca="false">$D$8*D71/('EOS steps'!$D$13*'EOS steps'!$D$7)</f>
        <v>0.0471717668121339</v>
      </c>
      <c r="G71" s="45" t="n">
        <f aca="false">-1</f>
        <v>-1</v>
      </c>
      <c r="H71" s="45" t="n">
        <f aca="false">E71-F71-F71^2</f>
        <v>0.0364462854977556</v>
      </c>
      <c r="I71" s="45" t="n">
        <f aca="false">-E71*F71</f>
        <v>-0.00404937672861983</v>
      </c>
      <c r="J71" s="45" t="n">
        <f aca="false">H71-G71^2/3</f>
        <v>-0.296887047835578</v>
      </c>
      <c r="K71" s="45" t="n">
        <f aca="false">2*G71^3/27-G71*H71/3+I71</f>
        <v>-0.0659746889701087</v>
      </c>
      <c r="L71" s="45" t="n">
        <f aca="false">K71^2/4+J71^3/27</f>
        <v>0.000118972519372203</v>
      </c>
      <c r="M71" s="45" t="n">
        <f aca="false">-K71/2-IF(K71&gt;=0,1,-1)*SQRT(MAX(L71,0))</f>
        <v>0.0438947969544536</v>
      </c>
      <c r="N71" s="45" t="n">
        <f aca="false">SIGN(M71)*ABS(M71)^(1/3)</f>
        <v>0.352753242777791</v>
      </c>
      <c r="O71" s="45" t="n">
        <f aca="false">IF(N71=0,0,N71-J71/(3*N71))</f>
        <v>0.633295948776004</v>
      </c>
      <c r="P71" s="45" t="n">
        <f aca="false">2*SQRT(MAX(-J71,0)/3)</f>
        <v>0.629165635674823</v>
      </c>
      <c r="Q71" s="45" t="n">
        <f aca="false">ACOS(IF(P71=0,0,MAX(-1,MIN(1,3*K71/(J71*P71)))))</f>
        <v>0</v>
      </c>
      <c r="R71" s="45" t="n">
        <f aca="false">P71*COS(Q71/3)</f>
        <v>0.629165635674823</v>
      </c>
      <c r="S71" s="45" t="n">
        <f aca="false">IF(L71&lt;0,R71,O71)-G71/3</f>
        <v>0.966629282109337</v>
      </c>
      <c r="T71" s="45" t="n">
        <f aca="false">IFERROR((((S71+G71)*S71+H71)*S71+I71)/((3*S71+2*G71)*S71+H71),0)</f>
        <v>-1.28242227335883E-016</v>
      </c>
      <c r="U71" s="45" t="n">
        <f aca="false">IF(ABS(T71)&lt;0.1*ABS(S71),S71-T71,S71)</f>
        <v>0.966629282109337</v>
      </c>
      <c r="V71" s="45" t="n">
        <f aca="false">IFERROR((((U71+G71)*U71+H71)*U71+I71)/((3*U71+2*G71)*U71+H71),0)</f>
        <v>-1.62695363038061E-017</v>
      </c>
      <c r="W71" s="45" t="n">
        <f aca="false">IF(ABS(V71)&lt;0.1*ABS(U71),U71-V71,U71)</f>
        <v>0.966629282109337</v>
      </c>
      <c r="X71" s="45" t="n">
        <f aca="false">-I71/W71</f>
        <v>0.00418917241963067</v>
      </c>
      <c r="Y71" s="45" t="n">
        <f aca="false">(H71-X71)/W71</f>
        <v>0.0333707178906631</v>
      </c>
      <c r="Z71" s="45" t="n">
        <f aca="false">Y71^2-4*X71</f>
        <v>-0.0156430848659845</v>
      </c>
      <c r="AA71" s="47" t="n">
        <f aca="false">IF(Z71&gt;=0,(Y71+IF(Y71&gt;=0,1,-1)*SQRT(Z71))/2,0)</f>
        <v>0</v>
      </c>
      <c r="AB71" s="48" t="n">
        <f aca="false">IF(AND(Z71&gt;=0,AA71&lt;&gt;0),MIN(AA71,X71/AA71),-1)</f>
        <v>-1</v>
      </c>
      <c r="AC71" s="45" t="n">
        <f aca="false">AND(Z71&gt;=0,AB71&gt;F71,ABS(W71-AB71)&gt;=0.00005*MAX(W71,AB71))</f>
        <v>0</v>
      </c>
      <c r="AD71" s="45" t="n">
        <f aca="false">IF(AC71,IFERROR((((AB71+G71)*AB71+H71)*AB71+I71)/((3*AB71+2*G71)*AB71+H71),0),0)</f>
        <v>0</v>
      </c>
      <c r="AE71" s="48" t="n">
        <f aca="false">IF(ABS(AD71)&lt;0.1*ABS(AB71),AB71-AD71,AB71)</f>
        <v>-1</v>
      </c>
      <c r="AF71" s="45" t="n">
        <f aca="false">IF(AC71,IFERROR((((AE71+G71)*AE71+H71)*AE71+I71)/((3*AE71+2*G71)*AE71+H71),0),0)</f>
        <v>0</v>
      </c>
      <c r="AG71" s="48" t="n">
        <f aca="false">IF(ABS(AF71)&lt;0.1*ABS(AE71),AE71-AF71,AE71)</f>
        <v>-1</v>
      </c>
      <c r="AH71" s="45" t="n">
        <f aca="false">IF(AC71,MAX(W71,AG71),W71)</f>
        <v>0.966629282109337</v>
      </c>
      <c r="AI71" s="48" t="n">
        <f aca="false">IF(AC71,MIN(W71,AG71),-1)</f>
        <v>-1</v>
      </c>
      <c r="AJ71" s="45" t="n">
        <f aca="false">AH71-1-LN(AH71-F71)-E71/F71*LN(1+F71/AH71)</f>
        <v>-0.0361071676879362</v>
      </c>
      <c r="AK71" s="45" t="n">
        <f aca="false">IF(AC71,AI71-1-LN(AI71-F71)-E71/F71*LN(1+F71/AI71),0)</f>
        <v>0</v>
      </c>
      <c r="AL71" s="45" t="n">
        <f aca="false">IF(AC71,AK71-AJ71,0)</f>
        <v>0</v>
      </c>
      <c r="AM71" s="45" t="n">
        <f aca="false">IF(AC71,AL71&gt;0,AH71*'EOS steps'!$D$13*'EOS steps'!$D$7/D71&gt;=$D$9)</f>
        <v>1</v>
      </c>
      <c r="AN71" s="45" t="n">
        <f aca="false">IF(AC71,IF(AH71&gt;AI71,D71*EXP(MAX(-50,MIN(50,AL71/(AH71-AI71)))),D71),IF(AM71,D71*$D$14,D71/$D$14))</f>
        <v>3670971.81772473</v>
      </c>
      <c r="AO71" s="45" t="n">
        <f aca="false">IF(AM71,D71,B71)</f>
        <v>4609999.99560136</v>
      </c>
      <c r="AP71" s="45" t="n">
        <f aca="false">IF(AM71,C71,D71)</f>
        <v>4610000</v>
      </c>
      <c r="AQ71" s="46" t="n">
        <f aca="false">IF(AC71,IF(AND(AN71&gt;=AO71*(1-0.000000001),AN71&lt;=AP71*(1+0.000000001)),AN71,SQRT(AO71*AP71)),IF(AND(AO71&gt;$D$11,AP71&lt;$D$12),SQRT(AO71*AP71),IF(AND(AN71&gt;=AO71*(1-0.000000001),AN71&lt;=AP71*(1+0.000000001)),AN71,SQRT(AO71*AP71))))</f>
        <v>4609999.99780068</v>
      </c>
    </row>
    <row r="72" customFormat="false" ht="15" hidden="false" customHeight="false" outlineLevel="0" collapsed="false">
      <c r="A72" s="44" t="n">
        <v>22</v>
      </c>
      <c r="B72" s="45" t="n">
        <f aca="false">AO71</f>
        <v>4609999.99560136</v>
      </c>
      <c r="C72" s="45" t="n">
        <f aca="false">AP71</f>
        <v>4610000</v>
      </c>
      <c r="D72" s="46" t="n">
        <f aca="false">AQ71</f>
        <v>4609999.99780068</v>
      </c>
      <c r="E72" s="45" t="n">
        <f aca="false">$D$7*D72/('EOS steps'!$D$13*'EOS steps'!$D$7)^2</f>
        <v>0.0858432279350215</v>
      </c>
      <c r="F72" s="45" t="n">
        <f aca="false">$D$8*D72/('EOS steps'!$D$13*'EOS steps'!$D$7)</f>
        <v>0.0471717668346384</v>
      </c>
      <c r="G72" s="45" t="n">
        <f aca="false">-1</f>
        <v>-1</v>
      </c>
      <c r="H72" s="45" t="n">
        <f aca="false">E72-F72-F72^2</f>
        <v>0.0364462855140816</v>
      </c>
      <c r="I72" s="45" t="n">
        <f aca="false">-E72*F72</f>
        <v>-0.00404937673248355</v>
      </c>
      <c r="J72" s="45" t="n">
        <f aca="false">H72-G72^2/3</f>
        <v>-0.296887047819252</v>
      </c>
      <c r="K72" s="45" t="n">
        <f aca="false">2*G72^3/27-G72*H72/3+I72</f>
        <v>-0.0659746889685304</v>
      </c>
      <c r="L72" s="45" t="n">
        <f aca="false">K72^2/4+J72^3/27</f>
        <v>0.000118972519480029</v>
      </c>
      <c r="M72" s="45" t="n">
        <f aca="false">-K72/2-IF(K72&gt;=0,1,-1)*SQRT(MAX(L72,0))</f>
        <v>0.0438947969586072</v>
      </c>
      <c r="N72" s="45" t="n">
        <f aca="false">SIGN(M72)*ABS(M72)^(1/3)</f>
        <v>0.352753242788917</v>
      </c>
      <c r="O72" s="45" t="n">
        <f aca="false">IF(N72=0,0,N72-J72/(3*N72))</f>
        <v>0.633295948762854</v>
      </c>
      <c r="P72" s="45" t="n">
        <f aca="false">2*SQRT(MAX(-J72,0)/3)</f>
        <v>0.629165635657524</v>
      </c>
      <c r="Q72" s="45" t="n">
        <f aca="false">ACOS(IF(P72=0,0,MAX(-1,MIN(1,3*K72/(J72*P72)))))</f>
        <v>0</v>
      </c>
      <c r="R72" s="45" t="n">
        <f aca="false">P72*COS(Q72/3)</f>
        <v>0.629165635657524</v>
      </c>
      <c r="S72" s="45" t="n">
        <f aca="false">IF(L72&lt;0,R72,O72)-G72/3</f>
        <v>0.966629282096187</v>
      </c>
      <c r="T72" s="45" t="n">
        <f aca="false">IFERROR((((S72+G72)*S72+H72)*S72+I72)/((3*S72+2*G72)*S72+H72),0)</f>
        <v>-2.58398517775922E-017</v>
      </c>
      <c r="U72" s="45" t="n">
        <f aca="false">IF(ABS(T72)&lt;0.1*ABS(S72),S72-T72,S72)</f>
        <v>0.966629282096187</v>
      </c>
      <c r="V72" s="45" t="n">
        <f aca="false">IFERROR((((U72+G72)*U72+H72)*U72+I72)/((3*U72+2*G72)*U72+H72),0)</f>
        <v>-2.58398517775922E-017</v>
      </c>
      <c r="W72" s="45" t="n">
        <f aca="false">IF(ABS(V72)&lt;0.1*ABS(U72),U72-V72,U72)</f>
        <v>0.966629282096187</v>
      </c>
      <c r="X72" s="45" t="n">
        <f aca="false">-I72/W72</f>
        <v>0.00418917242368476</v>
      </c>
      <c r="Y72" s="45" t="n">
        <f aca="false">(H72-X72)/W72</f>
        <v>0.0333707179038127</v>
      </c>
      <c r="Z72" s="45" t="n">
        <f aca="false">Y72^2-4*X72</f>
        <v>-0.0156430848813232</v>
      </c>
      <c r="AA72" s="47" t="n">
        <f aca="false">IF(Z72&gt;=0,(Y72+IF(Y72&gt;=0,1,-1)*SQRT(Z72))/2,0)</f>
        <v>0</v>
      </c>
      <c r="AB72" s="48" t="n">
        <f aca="false">IF(AND(Z72&gt;=0,AA72&lt;&gt;0),MIN(AA72,X72/AA72),-1)</f>
        <v>-1</v>
      </c>
      <c r="AC72" s="45" t="n">
        <f aca="false">AND(Z72&gt;=0,AB72&gt;F72,ABS(W72-AB72)&gt;=0.00005*MAX(W72,AB72))</f>
        <v>0</v>
      </c>
      <c r="AD72" s="45" t="n">
        <f aca="false">IF(AC72,IFERROR((((AB72+G72)*AB72+H72)*AB72+I72)/((3*AB72+2*G72)*AB72+H72),0),0)</f>
        <v>0</v>
      </c>
      <c r="AE72" s="48" t="n">
        <f aca="false">IF(ABS(AD72)&lt;0.1*ABS(AB72),AB72-AD72,AB72)</f>
        <v>-1</v>
      </c>
      <c r="AF72" s="45" t="n">
        <f aca="false">IF(AC72,IFERROR((((AE72+G72)*AE72+H72)*AE72+I72)/((3*AE72+2*G72)*AE72+H72),0),0)</f>
        <v>0</v>
      </c>
      <c r="AG72" s="48" t="n">
        <f aca="false">IF(ABS(AF72)&lt;0.1*ABS(AE72),AE72-AF72,AE72)</f>
        <v>-1</v>
      </c>
      <c r="AH72" s="45" t="n">
        <f aca="false">IF(AC72,MAX(W72,AG72),W72)</f>
        <v>0.966629282096187</v>
      </c>
      <c r="AI72" s="48" t="n">
        <f aca="false">IF(AC72,MIN(W72,AG72),-1)</f>
        <v>-1</v>
      </c>
      <c r="AJ72" s="45" t="n">
        <f aca="false">AH72-1-LN(AH72-F72)-E72/F72*LN(1+F72/AH72)</f>
        <v>-0.0361071677038566</v>
      </c>
      <c r="AK72" s="45" t="n">
        <f aca="false">IF(AC72,AI72-1-LN(AI72-F72)-E72/F72*LN(1+F72/AI72),0)</f>
        <v>0</v>
      </c>
      <c r="AL72" s="45" t="n">
        <f aca="false">IF(AC72,AK72-AJ72,0)</f>
        <v>0</v>
      </c>
      <c r="AM72" s="45" t="n">
        <f aca="false">IF(AC72,AL72&gt;0,AH72*'EOS steps'!$D$13*'EOS steps'!$D$7/D72&gt;=$D$9)</f>
        <v>1</v>
      </c>
      <c r="AN72" s="45" t="n">
        <f aca="false">IF(AC72,IF(AH72&gt;AI72,D72*EXP(MAX(-50,MIN(50,AL72/(AH72-AI72)))),D72),IF(AM72,D72*$D$14,D72/$D$14))</f>
        <v>3670971.81947607</v>
      </c>
      <c r="AO72" s="45" t="n">
        <f aca="false">IF(AM72,D72,B72)</f>
        <v>4609999.99780068</v>
      </c>
      <c r="AP72" s="45" t="n">
        <f aca="false">IF(AM72,C72,D72)</f>
        <v>4610000</v>
      </c>
      <c r="AQ72" s="46" t="n">
        <f aca="false">IF(AC72,IF(AND(AN72&gt;=AO72*(1-0.000000001),AN72&lt;=AP72*(1+0.000000001)),AN72,SQRT(AO72*AP72)),IF(AND(AO72&gt;$D$11,AP72&lt;$D$12),SQRT(AO72*AP72),IF(AND(AN72&gt;=AO72*(1-0.000000001),AN72&lt;=AP72*(1+0.000000001)),AN72,SQRT(AO72*AP72))))</f>
        <v>4609999.99890034</v>
      </c>
    </row>
    <row r="73" customFormat="false" ht="15" hidden="false" customHeight="false" outlineLevel="0" collapsed="false">
      <c r="A73" s="44" t="n">
        <v>23</v>
      </c>
      <c r="B73" s="45" t="n">
        <f aca="false">AO72</f>
        <v>4609999.99780068</v>
      </c>
      <c r="C73" s="45" t="n">
        <f aca="false">AP72</f>
        <v>4610000</v>
      </c>
      <c r="D73" s="46" t="n">
        <f aca="false">AQ72</f>
        <v>4609999.99890034</v>
      </c>
      <c r="E73" s="45" t="n">
        <f aca="false">$D$7*D73/('EOS steps'!$D$13*'EOS steps'!$D$7)^2</f>
        <v>0.0858432279554983</v>
      </c>
      <c r="F73" s="45" t="n">
        <f aca="false">$D$8*D73/('EOS steps'!$D$13*'EOS steps'!$D$7)</f>
        <v>0.0471717668458906</v>
      </c>
      <c r="G73" s="45" t="n">
        <f aca="false">-1</f>
        <v>-1</v>
      </c>
      <c r="H73" s="45" t="n">
        <f aca="false">E73-F73-F73^2</f>
        <v>0.0364462855222447</v>
      </c>
      <c r="I73" s="45" t="n">
        <f aca="false">-E73*F73</f>
        <v>-0.0040493767344154</v>
      </c>
      <c r="J73" s="45" t="n">
        <f aca="false">H73-G73^2/3</f>
        <v>-0.296887047811089</v>
      </c>
      <c r="K73" s="45" t="n">
        <f aca="false">2*G73^3/27-G73*H73/3+I73</f>
        <v>-0.0659746889677413</v>
      </c>
      <c r="L73" s="45" t="n">
        <f aca="false">K73^2/4+J73^3/27</f>
        <v>0.000118972519533942</v>
      </c>
      <c r="M73" s="45" t="n">
        <f aca="false">-K73/2-IF(K73&gt;=0,1,-1)*SQRT(MAX(L73,0))</f>
        <v>0.043894796960684</v>
      </c>
      <c r="N73" s="45" t="n">
        <f aca="false">SIGN(M73)*ABS(M73)^(1/3)</f>
        <v>0.352753242794481</v>
      </c>
      <c r="O73" s="45" t="n">
        <f aca="false">IF(N73=0,0,N73-J73/(3*N73))</f>
        <v>0.633295948756279</v>
      </c>
      <c r="P73" s="45" t="n">
        <f aca="false">2*SQRT(MAX(-J73,0)/3)</f>
        <v>0.629165635648874</v>
      </c>
      <c r="Q73" s="45" t="n">
        <f aca="false">ACOS(IF(P73=0,0,MAX(-1,MIN(1,3*K73/(J73*P73)))))</f>
        <v>0</v>
      </c>
      <c r="R73" s="45" t="n">
        <f aca="false">P73*COS(Q73/3)</f>
        <v>0.629165635648874</v>
      </c>
      <c r="S73" s="45" t="n">
        <f aca="false">IF(L73&lt;0,R73,O73)-G73/3</f>
        <v>0.966629282089613</v>
      </c>
      <c r="T73" s="45" t="n">
        <f aca="false">IFERROR((((S73+G73)*S73+H73)*S73+I73)/((3*S73+2*G73)*S73+H73),0)</f>
        <v>2.00976624940558E-017</v>
      </c>
      <c r="U73" s="45" t="n">
        <f aca="false">IF(ABS(T73)&lt;0.1*ABS(S73),S73-T73,S73)</f>
        <v>0.966629282089613</v>
      </c>
      <c r="V73" s="45" t="n">
        <f aca="false">IFERROR((((U73+G73)*U73+H73)*U73+I73)/((3*U73+2*G73)*U73+H73),0)</f>
        <v>2.00976624940558E-017</v>
      </c>
      <c r="W73" s="45" t="n">
        <f aca="false">IF(ABS(V73)&lt;0.1*ABS(U73),U73-V73,U73)</f>
        <v>0.966629282089613</v>
      </c>
      <c r="X73" s="45" t="n">
        <f aca="false">-I73/W73</f>
        <v>0.00418917242571181</v>
      </c>
      <c r="Y73" s="45" t="n">
        <f aca="false">(H73-X73)/W73</f>
        <v>0.0333707179103875</v>
      </c>
      <c r="Z73" s="45" t="n">
        <f aca="false">Y73^2-4*X73</f>
        <v>-0.0156430848889926</v>
      </c>
      <c r="AA73" s="47" t="n">
        <f aca="false">IF(Z73&gt;=0,(Y73+IF(Y73&gt;=0,1,-1)*SQRT(Z73))/2,0)</f>
        <v>0</v>
      </c>
      <c r="AB73" s="48" t="n">
        <f aca="false">IF(AND(Z73&gt;=0,AA73&lt;&gt;0),MIN(AA73,X73/AA73),-1)</f>
        <v>-1</v>
      </c>
      <c r="AC73" s="45" t="n">
        <f aca="false">AND(Z73&gt;=0,AB73&gt;F73,ABS(W73-AB73)&gt;=0.00005*MAX(W73,AB73))</f>
        <v>0</v>
      </c>
      <c r="AD73" s="45" t="n">
        <f aca="false">IF(AC73,IFERROR((((AB73+G73)*AB73+H73)*AB73+I73)/((3*AB73+2*G73)*AB73+H73),0),0)</f>
        <v>0</v>
      </c>
      <c r="AE73" s="48" t="n">
        <f aca="false">IF(ABS(AD73)&lt;0.1*ABS(AB73),AB73-AD73,AB73)</f>
        <v>-1</v>
      </c>
      <c r="AF73" s="45" t="n">
        <f aca="false">IF(AC73,IFERROR((((AE73+G73)*AE73+H73)*AE73+I73)/((3*AE73+2*G73)*AE73+H73),0),0)</f>
        <v>0</v>
      </c>
      <c r="AG73" s="48" t="n">
        <f aca="false">IF(ABS(AF73)&lt;0.1*ABS(AE73),AE73-AF73,AE73)</f>
        <v>-1</v>
      </c>
      <c r="AH73" s="45" t="n">
        <f aca="false">IF(AC73,MAX(W73,AG73),W73)</f>
        <v>0.966629282089613</v>
      </c>
      <c r="AI73" s="48" t="n">
        <f aca="false">IF(AC73,MIN(W73,AG73),-1)</f>
        <v>-1</v>
      </c>
      <c r="AJ73" s="45" t="n">
        <f aca="false">AH73-1-LN(AH73-F73)-E73/F73*LN(1+F73/AH73)</f>
        <v>-0.0361071677118167</v>
      </c>
      <c r="AK73" s="45" t="n">
        <f aca="false">IF(AC73,AI73-1-LN(AI73-F73)-E73/F73*LN(1+F73/AI73),0)</f>
        <v>0</v>
      </c>
      <c r="AL73" s="45" t="n">
        <f aca="false">IF(AC73,AK73-AJ73,0)</f>
        <v>0</v>
      </c>
      <c r="AM73" s="45" t="n">
        <f aca="false">IF(AC73,AL73&gt;0,AH73*'EOS steps'!$D$13*'EOS steps'!$D$7/D73&gt;=$D$9)</f>
        <v>1</v>
      </c>
      <c r="AN73" s="45" t="n">
        <f aca="false">IF(AC73,IF(AH73&gt;AI73,D73*EXP(MAX(-50,MIN(50,AL73/(AH73-AI73)))),D73),IF(AM73,D73*$D$14,D73/$D$14))</f>
        <v>3670971.82035173</v>
      </c>
      <c r="AO73" s="45" t="n">
        <f aca="false">IF(AM73,D73,B73)</f>
        <v>4609999.99890034</v>
      </c>
      <c r="AP73" s="45" t="n">
        <f aca="false">IF(AM73,C73,D73)</f>
        <v>4610000</v>
      </c>
      <c r="AQ73" s="46" t="n">
        <f aca="false">IF(AC73,IF(AND(AN73&gt;=AO73*(1-0.000000001),AN73&lt;=AP73*(1+0.000000001)),AN73,SQRT(AO73*AP73)),IF(AND(AO73&gt;$D$11,AP73&lt;$D$12),SQRT(AO73*AP73),IF(AND(AN73&gt;=AO73*(1-0.000000001),AN73&lt;=AP73*(1+0.000000001)),AN73,SQRT(AO73*AP73))))</f>
        <v>4609999.99945017</v>
      </c>
    </row>
    <row r="74" customFormat="false" ht="15" hidden="false" customHeight="false" outlineLevel="0" collapsed="false">
      <c r="A74" s="44" t="n">
        <v>24</v>
      </c>
      <c r="B74" s="45" t="n">
        <f aca="false">AO73</f>
        <v>4609999.99890034</v>
      </c>
      <c r="C74" s="45" t="n">
        <f aca="false">AP73</f>
        <v>4610000</v>
      </c>
      <c r="D74" s="46" t="n">
        <f aca="false">AQ73</f>
        <v>4609999.99945017</v>
      </c>
      <c r="E74" s="45" t="n">
        <f aca="false">$D$7*D74/('EOS steps'!$D$13*'EOS steps'!$D$7)^2</f>
        <v>0.0858432279657367</v>
      </c>
      <c r="F74" s="45" t="n">
        <f aca="false">$D$8*D74/('EOS steps'!$D$13*'EOS steps'!$D$7)</f>
        <v>0.0471717668515167</v>
      </c>
      <c r="G74" s="45" t="n">
        <f aca="false">-1</f>
        <v>-1</v>
      </c>
      <c r="H74" s="45" t="n">
        <f aca="false">E74-F74-F74^2</f>
        <v>0.0364462855263262</v>
      </c>
      <c r="I74" s="45" t="n">
        <f aca="false">-E74*F74</f>
        <v>-0.00404937673538133</v>
      </c>
      <c r="J74" s="45" t="n">
        <f aca="false">H74-G74^2/3</f>
        <v>-0.296887047807007</v>
      </c>
      <c r="K74" s="45" t="n">
        <f aca="false">2*G74^3/27-G74*H74/3+I74</f>
        <v>-0.0659746889673467</v>
      </c>
      <c r="L74" s="45" t="n">
        <f aca="false">K74^2/4+J74^3/27</f>
        <v>0.000118972519560899</v>
      </c>
      <c r="M74" s="45" t="n">
        <f aca="false">-K74/2-IF(K74&gt;=0,1,-1)*SQRT(MAX(L74,0))</f>
        <v>0.0438947969617224</v>
      </c>
      <c r="N74" s="45" t="n">
        <f aca="false">SIGN(M74)*ABS(M74)^(1/3)</f>
        <v>0.352753242797263</v>
      </c>
      <c r="O74" s="45" t="n">
        <f aca="false">IF(N74=0,0,N74-J74/(3*N74))</f>
        <v>0.633295948752992</v>
      </c>
      <c r="P74" s="45" t="n">
        <f aca="false">2*SQRT(MAX(-J74,0)/3)</f>
        <v>0.629165635644549</v>
      </c>
      <c r="Q74" s="45" t="n">
        <f aca="false">ACOS(IF(P74=0,0,MAX(-1,MIN(1,3*K74/(J74*P74)))))</f>
        <v>0</v>
      </c>
      <c r="R74" s="45" t="n">
        <f aca="false">P74*COS(Q74/3)</f>
        <v>0.629165635644549</v>
      </c>
      <c r="S74" s="45" t="n">
        <f aca="false">IF(L74&lt;0,R74,O74)-G74/3</f>
        <v>0.966629282086325</v>
      </c>
      <c r="T74" s="45" t="n">
        <f aca="false">IFERROR((((S74+G74)*S74+H74)*S74+I74)/((3*S74+2*G74)*S74+H74),0)</f>
        <v>3.34961041570705E-017</v>
      </c>
      <c r="U74" s="45" t="n">
        <f aca="false">IF(ABS(T74)&lt;0.1*ABS(S74),S74-T74,S74)</f>
        <v>0.966629282086325</v>
      </c>
      <c r="V74" s="45" t="n">
        <f aca="false">IFERROR((((U74+G74)*U74+H74)*U74+I74)/((3*U74+2*G74)*U74+H74),0)</f>
        <v>3.34961041570705E-017</v>
      </c>
      <c r="W74" s="45" t="n">
        <f aca="false">IF(ABS(V74)&lt;0.1*ABS(U74),U74-V74,U74)</f>
        <v>0.966629282086325</v>
      </c>
      <c r="X74" s="45" t="n">
        <f aca="false">-I74/W74</f>
        <v>0.00418917242672533</v>
      </c>
      <c r="Y74" s="45" t="n">
        <f aca="false">(H74-X74)/W74</f>
        <v>0.0333707179136749</v>
      </c>
      <c r="Z74" s="45" t="n">
        <f aca="false">Y74^2-4*X74</f>
        <v>-0.0156430848928273</v>
      </c>
      <c r="AA74" s="47" t="n">
        <f aca="false">IF(Z74&gt;=0,(Y74+IF(Y74&gt;=0,1,-1)*SQRT(Z74))/2,0)</f>
        <v>0</v>
      </c>
      <c r="AB74" s="48" t="n">
        <f aca="false">IF(AND(Z74&gt;=0,AA74&lt;&gt;0),MIN(AA74,X74/AA74),-1)</f>
        <v>-1</v>
      </c>
      <c r="AC74" s="45" t="n">
        <f aca="false">AND(Z74&gt;=0,AB74&gt;F74,ABS(W74-AB74)&gt;=0.00005*MAX(W74,AB74))</f>
        <v>0</v>
      </c>
      <c r="AD74" s="45" t="n">
        <f aca="false">IF(AC74,IFERROR((((AB74+G74)*AB74+H74)*AB74+I74)/((3*AB74+2*G74)*AB74+H74),0),0)</f>
        <v>0</v>
      </c>
      <c r="AE74" s="48" t="n">
        <f aca="false">IF(ABS(AD74)&lt;0.1*ABS(AB74),AB74-AD74,AB74)</f>
        <v>-1</v>
      </c>
      <c r="AF74" s="45" t="n">
        <f aca="false">IF(AC74,IFERROR((((AE74+G74)*AE74+H74)*AE74+I74)/((3*AE74+2*G74)*AE74+H74),0),0)</f>
        <v>0</v>
      </c>
      <c r="AG74" s="48" t="n">
        <f aca="false">IF(ABS(AF74)&lt;0.1*ABS(AE74),AE74-AF74,AE74)</f>
        <v>-1</v>
      </c>
      <c r="AH74" s="45" t="n">
        <f aca="false">IF(AC74,MAX(W74,AG74),W74)</f>
        <v>0.966629282086325</v>
      </c>
      <c r="AI74" s="48" t="n">
        <f aca="false">IF(AC74,MIN(W74,AG74),-1)</f>
        <v>-1</v>
      </c>
      <c r="AJ74" s="45" t="n">
        <f aca="false">AH74-1-LN(AH74-F74)-E74/F74*LN(1+F74/AH74)</f>
        <v>-0.0361071677157969</v>
      </c>
      <c r="AK74" s="45" t="n">
        <f aca="false">IF(AC74,AI74-1-LN(AI74-F74)-E74/F74*LN(1+F74/AI74),0)</f>
        <v>0</v>
      </c>
      <c r="AL74" s="45" t="n">
        <f aca="false">IF(AC74,AK74-AJ74,0)</f>
        <v>0</v>
      </c>
      <c r="AM74" s="45" t="n">
        <f aca="false">IF(AC74,AL74&gt;0,AH74*'EOS steps'!$D$13*'EOS steps'!$D$7/D74&gt;=$D$9)</f>
        <v>1</v>
      </c>
      <c r="AN74" s="45" t="n">
        <f aca="false">IF(AC74,IF(AH74&gt;AI74,D74*EXP(MAX(-50,MIN(50,AL74/(AH74-AI74)))),D74),IF(AM74,D74*$D$14,D74/$D$14))</f>
        <v>3670971.82078956</v>
      </c>
      <c r="AO74" s="45" t="n">
        <f aca="false">IF(AM74,D74,B74)</f>
        <v>4609999.99945017</v>
      </c>
      <c r="AP74" s="45" t="n">
        <f aca="false">IF(AM74,C74,D74)</f>
        <v>4610000</v>
      </c>
      <c r="AQ74" s="46" t="n">
        <f aca="false">IF(AC74,IF(AND(AN74&gt;=AO74*(1-0.000000001),AN74&lt;=AP74*(1+0.000000001)),AN74,SQRT(AO74*AP74)),IF(AND(AO74&gt;$D$11,AP74&lt;$D$12),SQRT(AO74*AP74),IF(AND(AN74&gt;=AO74*(1-0.000000001),AN74&lt;=AP74*(1+0.000000001)),AN74,SQRT(AO74*AP74))))</f>
        <v>4609999.99972509</v>
      </c>
    </row>
    <row r="75" customFormat="false" ht="15" hidden="false" customHeight="false" outlineLevel="0" collapsed="false">
      <c r="A75" s="44" t="n">
        <v>25</v>
      </c>
      <c r="B75" s="45" t="n">
        <f aca="false">AO74</f>
        <v>4609999.99945017</v>
      </c>
      <c r="C75" s="45" t="n">
        <f aca="false">AP74</f>
        <v>4610000</v>
      </c>
      <c r="D75" s="46" t="n">
        <f aca="false">AQ74</f>
        <v>4609999.99972509</v>
      </c>
      <c r="E75" s="45" t="n">
        <f aca="false">$D$7*D75/('EOS steps'!$D$13*'EOS steps'!$D$7)^2</f>
        <v>0.085843227970856</v>
      </c>
      <c r="F75" s="45" t="n">
        <f aca="false">$D$8*D75/('EOS steps'!$D$13*'EOS steps'!$D$7)</f>
        <v>0.0471717668543298</v>
      </c>
      <c r="G75" s="45" t="n">
        <f aca="false">-1</f>
        <v>-1</v>
      </c>
      <c r="H75" s="45" t="n">
        <f aca="false">E75-F75-F75^2</f>
        <v>0.0364462855283669</v>
      </c>
      <c r="I75" s="45" t="n">
        <f aca="false">-E75*F75</f>
        <v>-0.0040493767358643</v>
      </c>
      <c r="J75" s="45" t="n">
        <f aca="false">H75-G75^2/3</f>
        <v>-0.296887047804966</v>
      </c>
      <c r="K75" s="45" t="n">
        <f aca="false">2*G75^3/27-G75*H75/3+I75</f>
        <v>-0.0659746889671494</v>
      </c>
      <c r="L75" s="45" t="n">
        <f aca="false">K75^2/4+J75^3/27</f>
        <v>0.000118972519574377</v>
      </c>
      <c r="M75" s="45" t="n">
        <f aca="false">-K75/2-IF(K75&gt;=0,1,-1)*SQRT(MAX(L75,0))</f>
        <v>0.0438947969622416</v>
      </c>
      <c r="N75" s="45" t="n">
        <f aca="false">SIGN(M75)*ABS(M75)^(1/3)</f>
        <v>0.352753242798653</v>
      </c>
      <c r="O75" s="45" t="n">
        <f aca="false">IF(N75=0,0,N75-J75/(3*N75))</f>
        <v>0.633295948751348</v>
      </c>
      <c r="P75" s="45" t="n">
        <f aca="false">2*SQRT(MAX(-J75,0)/3)</f>
        <v>0.629165635642387</v>
      </c>
      <c r="Q75" s="45" t="n">
        <f aca="false">ACOS(IF(P75=0,0,MAX(-1,MIN(1,3*K75/(J75*P75)))))</f>
        <v>0</v>
      </c>
      <c r="R75" s="45" t="n">
        <f aca="false">P75*COS(Q75/3)</f>
        <v>0.629165635642387</v>
      </c>
      <c r="S75" s="45" t="n">
        <f aca="false">IF(L75&lt;0,R75,O75)-G75/3</f>
        <v>0.966629282084681</v>
      </c>
      <c r="T75" s="45" t="n">
        <f aca="false">IFERROR((((S75+G75)*S75+H75)*S75+I75)/((3*S75+2*G75)*S75+H75),0)</f>
        <v>-5.64648612936095E-017</v>
      </c>
      <c r="U75" s="45" t="n">
        <f aca="false">IF(ABS(T75)&lt;0.1*ABS(S75),S75-T75,S75)</f>
        <v>0.966629282084682</v>
      </c>
      <c r="V75" s="45" t="n">
        <f aca="false">IFERROR((((U75+G75)*U75+H75)*U75+I75)/((3*U75+2*G75)*U75+H75),0)</f>
        <v>5.45507981989108E-017</v>
      </c>
      <c r="W75" s="45" t="n">
        <f aca="false">IF(ABS(V75)&lt;0.1*ABS(U75),U75-V75,U75)</f>
        <v>0.966629282084682</v>
      </c>
      <c r="X75" s="45" t="n">
        <f aca="false">-I75/W75</f>
        <v>0.00418917242723209</v>
      </c>
      <c r="Y75" s="45" t="n">
        <f aca="false">(H75-X75)/W75</f>
        <v>0.0333707179153186</v>
      </c>
      <c r="Z75" s="45" t="n">
        <f aca="false">Y75^2-4*X75</f>
        <v>-0.0156430848947446</v>
      </c>
      <c r="AA75" s="47" t="n">
        <f aca="false">IF(Z75&gt;=0,(Y75+IF(Y75&gt;=0,1,-1)*SQRT(Z75))/2,0)</f>
        <v>0</v>
      </c>
      <c r="AB75" s="48" t="n">
        <f aca="false">IF(AND(Z75&gt;=0,AA75&lt;&gt;0),MIN(AA75,X75/AA75),-1)</f>
        <v>-1</v>
      </c>
      <c r="AC75" s="45" t="n">
        <f aca="false">AND(Z75&gt;=0,AB75&gt;F75,ABS(W75-AB75)&gt;=0.00005*MAX(W75,AB75))</f>
        <v>0</v>
      </c>
      <c r="AD75" s="45" t="n">
        <f aca="false">IF(AC75,IFERROR((((AB75+G75)*AB75+H75)*AB75+I75)/((3*AB75+2*G75)*AB75+H75),0),0)</f>
        <v>0</v>
      </c>
      <c r="AE75" s="48" t="n">
        <f aca="false">IF(ABS(AD75)&lt;0.1*ABS(AB75),AB75-AD75,AB75)</f>
        <v>-1</v>
      </c>
      <c r="AF75" s="45" t="n">
        <f aca="false">IF(AC75,IFERROR((((AE75+G75)*AE75+H75)*AE75+I75)/((3*AE75+2*G75)*AE75+H75),0),0)</f>
        <v>0</v>
      </c>
      <c r="AG75" s="48" t="n">
        <f aca="false">IF(ABS(AF75)&lt;0.1*ABS(AE75),AE75-AF75,AE75)</f>
        <v>-1</v>
      </c>
      <c r="AH75" s="45" t="n">
        <f aca="false">IF(AC75,MAX(W75,AG75),W75)</f>
        <v>0.966629282084682</v>
      </c>
      <c r="AI75" s="48" t="n">
        <f aca="false">IF(AC75,MIN(W75,AG75),-1)</f>
        <v>-1</v>
      </c>
      <c r="AJ75" s="45" t="n">
        <f aca="false">AH75-1-LN(AH75-F75)-E75/F75*LN(1+F75/AH75)</f>
        <v>-0.0361071677177869</v>
      </c>
      <c r="AK75" s="45" t="n">
        <f aca="false">IF(AC75,AI75-1-LN(AI75-F75)-E75/F75*LN(1+F75/AI75),0)</f>
        <v>0</v>
      </c>
      <c r="AL75" s="45" t="n">
        <f aca="false">IF(AC75,AK75-AJ75,0)</f>
        <v>0</v>
      </c>
      <c r="AM75" s="45" t="n">
        <f aca="false">IF(AC75,AL75&gt;0,AH75*'EOS steps'!$D$13*'EOS steps'!$D$7/D75&gt;=$D$9)</f>
        <v>1</v>
      </c>
      <c r="AN75" s="45" t="n">
        <f aca="false">IF(AC75,IF(AH75&gt;AI75,D75*EXP(MAX(-50,MIN(50,AL75/(AH75-AI75)))),D75),IF(AM75,D75*$D$14,D75/$D$14))</f>
        <v>3670971.82100848</v>
      </c>
      <c r="AO75" s="45" t="n">
        <f aca="false">IF(AM75,D75,B75)</f>
        <v>4609999.99972509</v>
      </c>
      <c r="AP75" s="45" t="n">
        <f aca="false">IF(AM75,C75,D75)</f>
        <v>4610000</v>
      </c>
      <c r="AQ75" s="46" t="n">
        <f aca="false">IF(AC75,IF(AND(AN75&gt;=AO75*(1-0.000000001),AN75&lt;=AP75*(1+0.000000001)),AN75,SQRT(AO75*AP75)),IF(AND(AO75&gt;$D$11,AP75&lt;$D$12),SQRT(AO75*AP75),IF(AND(AN75&gt;=AO75*(1-0.000000001),AN75&lt;=AP75*(1+0.000000001)),AN75,SQRT(AO75*AP75))))</f>
        <v>4609999.99986254</v>
      </c>
    </row>
    <row r="78" customFormat="false" ht="15" hidden="false" customHeight="false" outlineLevel="0" collapsed="false">
      <c r="A78" s="4" t="s">
        <v>316</v>
      </c>
    </row>
    <row r="79" customFormat="false" ht="15" hidden="false" customHeight="false" outlineLevel="0" collapsed="false">
      <c r="A79" s="8" t="s">
        <v>300</v>
      </c>
      <c r="B79" s="8" t="s">
        <v>301</v>
      </c>
      <c r="C79" s="8" t="s">
        <v>302</v>
      </c>
      <c r="D79" s="8" t="s">
        <v>303</v>
      </c>
      <c r="E79" s="8" t="s">
        <v>158</v>
      </c>
      <c r="F79" s="8" t="s">
        <v>161</v>
      </c>
      <c r="G79" s="8" t="s">
        <v>165</v>
      </c>
      <c r="H79" s="8" t="s">
        <v>168</v>
      </c>
      <c r="I79" s="8" t="s">
        <v>171</v>
      </c>
      <c r="J79" s="8" t="s">
        <v>175</v>
      </c>
      <c r="K79" s="8" t="s">
        <v>177</v>
      </c>
      <c r="L79" s="8" t="s">
        <v>180</v>
      </c>
      <c r="M79" s="8" t="s">
        <v>183</v>
      </c>
      <c r="N79" s="8" t="s">
        <v>185</v>
      </c>
      <c r="O79" s="8" t="s">
        <v>304</v>
      </c>
      <c r="P79" s="8" t="s">
        <v>190</v>
      </c>
      <c r="Q79" s="8" t="s">
        <v>192</v>
      </c>
      <c r="R79" s="8" t="s">
        <v>305</v>
      </c>
      <c r="S79" s="8" t="s">
        <v>197</v>
      </c>
      <c r="T79" s="8" t="s">
        <v>200</v>
      </c>
      <c r="U79" s="8" t="s">
        <v>197</v>
      </c>
      <c r="V79" s="8" t="s">
        <v>200</v>
      </c>
      <c r="W79" s="8" t="s">
        <v>306</v>
      </c>
      <c r="X79" s="8" t="s">
        <v>209</v>
      </c>
      <c r="Y79" s="8" t="s">
        <v>212</v>
      </c>
      <c r="Z79" s="8" t="s">
        <v>215</v>
      </c>
      <c r="AA79" s="8" t="s">
        <v>218</v>
      </c>
      <c r="AB79" s="8" t="s">
        <v>221</v>
      </c>
      <c r="AC79" s="8" t="s">
        <v>307</v>
      </c>
      <c r="AD79" s="8" t="s">
        <v>200</v>
      </c>
      <c r="AE79" s="8" t="s">
        <v>221</v>
      </c>
      <c r="AF79" s="8" t="s">
        <v>200</v>
      </c>
      <c r="AG79" s="8" t="s">
        <v>308</v>
      </c>
      <c r="AH79" s="8" t="s">
        <v>232</v>
      </c>
      <c r="AI79" s="8" t="s">
        <v>238</v>
      </c>
      <c r="AJ79" s="8" t="s">
        <v>242</v>
      </c>
      <c r="AK79" s="8" t="s">
        <v>245</v>
      </c>
      <c r="AL79" s="8" t="s">
        <v>309</v>
      </c>
      <c r="AM79" s="8" t="s">
        <v>310</v>
      </c>
      <c r="AN79" s="8" t="s">
        <v>311</v>
      </c>
      <c r="AO79" s="8" t="s">
        <v>312</v>
      </c>
      <c r="AP79" s="8" t="s">
        <v>313</v>
      </c>
      <c r="AQ79" s="8" t="s">
        <v>314</v>
      </c>
    </row>
    <row r="80" customFormat="false" ht="15" hidden="false" customHeight="false" outlineLevel="0" collapsed="false">
      <c r="A80" s="44" t="n">
        <v>1</v>
      </c>
      <c r="B80" s="45" t="n">
        <f aca="false">$E$11</f>
        <v>4.61E-094</v>
      </c>
      <c r="C80" s="45" t="n">
        <f aca="false">$E$12</f>
        <v>4610000</v>
      </c>
      <c r="D80" s="46" t="n">
        <f aca="false">$E$13</f>
        <v>4605390</v>
      </c>
      <c r="E80" s="45" t="n">
        <f aca="false">$E$7*D80/('EOS steps'!$D$13*'EOS steps'!$D$7)^2</f>
        <v>0.10029116083023</v>
      </c>
      <c r="F80" s="45" t="n">
        <f aca="false">$E$8*D80/('EOS steps'!$D$13*'EOS steps'!$D$7)</f>
        <v>0.0423164069485714</v>
      </c>
      <c r="G80" s="45" t="n">
        <f aca="false">-(1-F80)</f>
        <v>-0.957683593051429</v>
      </c>
      <c r="H80" s="45" t="n">
        <f aca="false">E80-3*F80^2-2*F80</f>
        <v>0.0102863120419756</v>
      </c>
      <c r="I80" s="45" t="n">
        <f aca="false">-(E80*F80-F80^2-F80^3)</f>
        <v>-0.00237750820646813</v>
      </c>
      <c r="J80" s="45" t="n">
        <f aca="false">H80-G80^2/3</f>
        <v>-0.295432976091322</v>
      </c>
      <c r="K80" s="45" t="n">
        <f aca="false">2*G80^3/27-G80*H80/3+I80</f>
        <v>-0.0641565744089594</v>
      </c>
      <c r="L80" s="45" t="n">
        <f aca="false">K80^2/4+J80^3/27</f>
        <v>7.39950202081622E-005</v>
      </c>
      <c r="M80" s="45" t="n">
        <f aca="false">-K80/2-IF(K80&gt;=0,1,-1)*SQRT(MAX(L80,0))</f>
        <v>0.0406803230221314</v>
      </c>
      <c r="N80" s="45" t="n">
        <f aca="false">SIGN(M80)*ABS(M80)^(1/3)</f>
        <v>0.343923193095666</v>
      </c>
      <c r="O80" s="45" t="n">
        <f aca="false">IF(N80=0,0,N80-J80/(3*N80))</f>
        <v>0.630259388717445</v>
      </c>
      <c r="P80" s="45" t="n">
        <f aca="false">2*SQRT(MAX(-J80,0)/3)</f>
        <v>0.627623003711966</v>
      </c>
      <c r="Q80" s="45" t="n">
        <f aca="false">ACOS(IF(P80=0,0,MAX(-1,MIN(1,3*K80/(J80*P80)))))</f>
        <v>0</v>
      </c>
      <c r="R80" s="45" t="n">
        <f aca="false">P80*COS(Q80/3)</f>
        <v>0.627623003711966</v>
      </c>
      <c r="S80" s="45" t="n">
        <f aca="false">IF(L80&lt;0,R80,O80)-G80/3</f>
        <v>0.949487253067921</v>
      </c>
      <c r="T80" s="45" t="n">
        <f aca="false">IFERROR((((S80+G80)*S80+H80)*S80+I80)/((3*S80+2*G80)*S80+H80),0)</f>
        <v>0</v>
      </c>
      <c r="U80" s="45" t="n">
        <f aca="false">IF(ABS(T80)&lt;0.1*ABS(S80),S80-T80,S80)</f>
        <v>0.949487253067921</v>
      </c>
      <c r="V80" s="45" t="n">
        <f aca="false">IFERROR((((U80+G80)*U80+H80)*U80+I80)/((3*U80+2*G80)*U80+H80),0)</f>
        <v>0</v>
      </c>
      <c r="W80" s="45" t="n">
        <f aca="false">IF(ABS(V80)&lt;0.1*ABS(U80),U80-V80,U80)</f>
        <v>0.949487253067921</v>
      </c>
      <c r="X80" s="45" t="n">
        <f aca="false">-I80/W80</f>
        <v>0.00250399170582446</v>
      </c>
      <c r="Y80" s="45" t="n">
        <f aca="false">(H80-X80)/W80</f>
        <v>0.00819633998350733</v>
      </c>
      <c r="Z80" s="45" t="n">
        <f aca="false">Y80^2-4*X80</f>
        <v>-0.00994878683417261</v>
      </c>
      <c r="AA80" s="47" t="n">
        <f aca="false">IF(Z80&gt;=0,(Y80+IF(Y80&gt;=0,1,-1)*SQRT(Z80))/2,0)</f>
        <v>0</v>
      </c>
      <c r="AB80" s="48" t="n">
        <f aca="false">IF(AND(Z80&gt;=0,AA80&lt;&gt;0),MIN(AA80,X80/AA80),-1)</f>
        <v>-1</v>
      </c>
      <c r="AC80" s="45" t="n">
        <f aca="false">AND(Z80&gt;=0,AB80&gt;F80,ABS(W80-AB80)&gt;=0.00005*MAX(W80,AB80))</f>
        <v>0</v>
      </c>
      <c r="AD80" s="45" t="n">
        <f aca="false">IF(AC80,IFERROR((((AB80+G80)*AB80+H80)*AB80+I80)/((3*AB80+2*G80)*AB80+H80),0),0)</f>
        <v>0</v>
      </c>
      <c r="AE80" s="48" t="n">
        <f aca="false">IF(ABS(AD80)&lt;0.1*ABS(AB80),AB80-AD80,AB80)</f>
        <v>-1</v>
      </c>
      <c r="AF80" s="45" t="n">
        <f aca="false">IF(AC80,IFERROR((((AE80+G80)*AE80+H80)*AE80+I80)/((3*AE80+2*G80)*AE80+H80),0),0)</f>
        <v>0</v>
      </c>
      <c r="AG80" s="48" t="n">
        <f aca="false">IF(ABS(AF80)&lt;0.1*ABS(AE80),AE80-AF80,AE80)</f>
        <v>-1</v>
      </c>
      <c r="AH80" s="45" t="n">
        <f aca="false">IF(AC80,MAX(W80,AG80),W80)</f>
        <v>0.949487253067921</v>
      </c>
      <c r="AI80" s="48" t="n">
        <f aca="false">IF(AC80,MIN(W80,AG80),-1)</f>
        <v>-1</v>
      </c>
      <c r="AJ80" s="45" t="n">
        <f aca="false">AH80-1-LN(AH80-F80)-E80/(2*SQRT(2)*F80)*LN((AH80+(1+SQRT(2))*F80)/(AH80+(1-SQRT(2))*F80))</f>
        <v>-0.0543312266034315</v>
      </c>
      <c r="AK80" s="45" t="n">
        <f aca="false">IF(AC80,AI80-1-LN(AI80-F80)-E80/(2*SQRT(2)*F80)*LN((AI80+(1+SQRT(2))*F80)/(AI80+(1-SQRT(2))*F80)),0)</f>
        <v>0</v>
      </c>
      <c r="AL80" s="45" t="n">
        <f aca="false">IF(AC80,AK80-AJ80,0)</f>
        <v>0</v>
      </c>
      <c r="AM80" s="45" t="n">
        <f aca="false">IF(AC80,AL80&gt;0,AH80*'EOS steps'!$D$13*'EOS steps'!$D$7/D80&gt;=$E$9)</f>
        <v>1</v>
      </c>
      <c r="AN80" s="45" t="n">
        <f aca="false">IF(AC80,IF(AH80&gt;AI80,D80*EXP(MAX(-50,MIN(50,AL80/(AH80-AI80)))),D80),IF(AM80,D80*$E$14,D80/$E$14))</f>
        <v>3667300.84940617</v>
      </c>
      <c r="AO80" s="45" t="n">
        <f aca="false">IF(AM80,D80,B80)</f>
        <v>4605390</v>
      </c>
      <c r="AP80" s="45" t="n">
        <f aca="false">IF(AM80,C80,D80)</f>
        <v>4610000</v>
      </c>
      <c r="AQ80" s="46" t="n">
        <f aca="false">IF(AC80,IF(AND(AN80&gt;=AO80*(1-0.000000001),AN80&lt;=AP80*(1+0.000000001)),AN80,SQRT(AO80*AP80)),IF(AND(AO80&gt;$E$11,AP80&lt;$E$12),SQRT(AO80*AP80),IF(AND(AN80&gt;=AO80*(1-0.000000001),AN80&lt;=AP80*(1+0.000000001)),AN80,SQRT(AO80*AP80))))</f>
        <v>4607694.4234617</v>
      </c>
    </row>
    <row r="81" customFormat="false" ht="15" hidden="false" customHeight="false" outlineLevel="0" collapsed="false">
      <c r="A81" s="44" t="n">
        <v>2</v>
      </c>
      <c r="B81" s="45" t="n">
        <f aca="false">AO80</f>
        <v>4605390</v>
      </c>
      <c r="C81" s="45" t="n">
        <f aca="false">AP80</f>
        <v>4610000</v>
      </c>
      <c r="D81" s="46" t="n">
        <f aca="false">AQ80</f>
        <v>4607694.4234617</v>
      </c>
      <c r="E81" s="45" t="n">
        <f aca="false">$E$7*D81/('EOS steps'!$D$13*'EOS steps'!$D$7)^2</f>
        <v>0.100341344051199</v>
      </c>
      <c r="F81" s="45" t="n">
        <f aca="false">$E$8*D81/('EOS steps'!$D$13*'EOS steps'!$D$7)</f>
        <v>0.0423375810339338</v>
      </c>
      <c r="G81" s="45" t="n">
        <f aca="false">-(1-F81)</f>
        <v>-0.957662418966066</v>
      </c>
      <c r="H81" s="45" t="n">
        <f aca="false">E81-3*F81^2-2*F81</f>
        <v>0.0102887696799164</v>
      </c>
      <c r="I81" s="45" t="n">
        <f aca="false">-(E81*F81-F81^2-F81^3)</f>
        <v>-0.00237985014063365</v>
      </c>
      <c r="J81" s="45" t="n">
        <f aca="false">H81-G81^2/3</f>
        <v>-0.295416999886729</v>
      </c>
      <c r="K81" s="45" t="n">
        <f aca="false">2*G81^3/27-G81*H81/3+I81</f>
        <v>-0.0641538889595885</v>
      </c>
      <c r="L81" s="45" t="n">
        <f aca="false">K81^2/4+J81^3/27</f>
        <v>7.40638038405081E-005</v>
      </c>
      <c r="M81" s="45" t="n">
        <f aca="false">-K81/2-IF(K81&gt;=0,1,-1)*SQRT(MAX(L81,0))</f>
        <v>0.0406829774706971</v>
      </c>
      <c r="N81" s="45" t="n">
        <f aca="false">SIGN(M81)*ABS(M81)^(1/3)</f>
        <v>0.343930673424426</v>
      </c>
      <c r="O81" s="45" t="n">
        <f aca="false">IF(N81=0,0,N81-J81/(3*N81))</f>
        <v>0.630245157431083</v>
      </c>
      <c r="P81" s="45" t="n">
        <f aca="false">2*SQRT(MAX(-J81,0)/3)</f>
        <v>0.627606033417705</v>
      </c>
      <c r="Q81" s="45" t="n">
        <f aca="false">ACOS(IF(P81=0,0,MAX(-1,MIN(1,3*K81/(J81*P81)))))</f>
        <v>0</v>
      </c>
      <c r="R81" s="45" t="n">
        <f aca="false">P81*COS(Q81/3)</f>
        <v>0.627606033417705</v>
      </c>
      <c r="S81" s="45" t="n">
        <f aca="false">IF(L81&lt;0,R81,O81)-G81/3</f>
        <v>0.949465963753105</v>
      </c>
      <c r="T81" s="45" t="n">
        <f aca="false">IFERROR((((S81+G81)*S81+H81)*S81+I81)/((3*S81+2*G81)*S81+H81),0)</f>
        <v>-3.58090054378555E-017</v>
      </c>
      <c r="U81" s="45" t="n">
        <f aca="false">IF(ABS(T81)&lt;0.1*ABS(S81),S81-T81,S81)</f>
        <v>0.949465963753105</v>
      </c>
      <c r="V81" s="45" t="n">
        <f aca="false">IFERROR((((U81+G81)*U81+H81)*U81+I81)/((3*U81+2*G81)*U81+H81),0)</f>
        <v>-3.58090054378555E-017</v>
      </c>
      <c r="W81" s="45" t="n">
        <f aca="false">IF(ABS(V81)&lt;0.1*ABS(U81),U81-V81,U81)</f>
        <v>0.949465963753105</v>
      </c>
      <c r="X81" s="45" t="n">
        <f aca="false">-I81/W81</f>
        <v>0.00250651443178272</v>
      </c>
      <c r="Y81" s="45" t="n">
        <f aca="false">(H81-X81)/W81</f>
        <v>0.00819645521296149</v>
      </c>
      <c r="Z81" s="45" t="n">
        <f aca="false">Y81^2-4*X81</f>
        <v>-0.00995887584907279</v>
      </c>
      <c r="AA81" s="47" t="n">
        <f aca="false">IF(Z81&gt;=0,(Y81+IF(Y81&gt;=0,1,-1)*SQRT(Z81))/2,0)</f>
        <v>0</v>
      </c>
      <c r="AB81" s="48" t="n">
        <f aca="false">IF(AND(Z81&gt;=0,AA81&lt;&gt;0),MIN(AA81,X81/AA81),-1)</f>
        <v>-1</v>
      </c>
      <c r="AC81" s="45" t="n">
        <f aca="false">AND(Z81&gt;=0,AB81&gt;F81,ABS(W81-AB81)&gt;=0.00005*MAX(W81,AB81))</f>
        <v>0</v>
      </c>
      <c r="AD81" s="45" t="n">
        <f aca="false">IF(AC81,IFERROR((((AB81+G81)*AB81+H81)*AB81+I81)/((3*AB81+2*G81)*AB81+H81),0),0)</f>
        <v>0</v>
      </c>
      <c r="AE81" s="48" t="n">
        <f aca="false">IF(ABS(AD81)&lt;0.1*ABS(AB81),AB81-AD81,AB81)</f>
        <v>-1</v>
      </c>
      <c r="AF81" s="45" t="n">
        <f aca="false">IF(AC81,IFERROR((((AE81+G81)*AE81+H81)*AE81+I81)/((3*AE81+2*G81)*AE81+H81),0),0)</f>
        <v>0</v>
      </c>
      <c r="AG81" s="48" t="n">
        <f aca="false">IF(ABS(AF81)&lt;0.1*ABS(AE81),AE81-AF81,AE81)</f>
        <v>-1</v>
      </c>
      <c r="AH81" s="45" t="n">
        <f aca="false">IF(AC81,MAX(W81,AG81),W81)</f>
        <v>0.949465963753105</v>
      </c>
      <c r="AI81" s="48" t="n">
        <f aca="false">IF(AC81,MIN(W81,AG81),-1)</f>
        <v>-1</v>
      </c>
      <c r="AJ81" s="45" t="n">
        <f aca="false">AH81-1-LN(AH81-F81)-E81/(2*SQRT(2)*F81)*LN((AH81+(1+SQRT(2))*F81)/(AH81+(1-SQRT(2))*F81))</f>
        <v>-0.0543565009382326</v>
      </c>
      <c r="AK81" s="45" t="n">
        <f aca="false">IF(AC81,AI81-1-LN(AI81-F81)-E81/(2*SQRT(2)*F81)*LN((AI81+(1+SQRT(2))*F81)/(AI81+(1-SQRT(2))*F81)),0)</f>
        <v>0</v>
      </c>
      <c r="AL81" s="45" t="n">
        <f aca="false">IF(AC81,AK81-AJ81,0)</f>
        <v>0</v>
      </c>
      <c r="AM81" s="45" t="n">
        <f aca="false">IF(AC81,AL81&gt;0,AH81*'EOS steps'!$D$13*'EOS steps'!$D$7/D81&gt;=$E$9)</f>
        <v>1</v>
      </c>
      <c r="AN81" s="45" t="n">
        <f aca="false">IF(AC81,IF(AH81&gt;AI81,D81*EXP(MAX(-50,MIN(50,AL81/(AH81-AI81)))),D81),IF(AM81,D81*$E$14,D81/$E$14))</f>
        <v>3669135.87621573</v>
      </c>
      <c r="AO81" s="45" t="n">
        <f aca="false">IF(AM81,D81,B81)</f>
        <v>4607694.4234617</v>
      </c>
      <c r="AP81" s="45" t="n">
        <f aca="false">IF(AM81,C81,D81)</f>
        <v>4610000</v>
      </c>
      <c r="AQ81" s="46" t="n">
        <f aca="false">IF(AC81,IF(AND(AN81&gt;=AO81*(1-0.000000001),AN81&lt;=AP81*(1+0.000000001)),AN81,SQRT(AO81*AP81)),IF(AND(AO81&gt;$E$11,AP81&lt;$E$12),SQRT(AO81*AP81),IF(AND(AN81&gt;=AO81*(1-0.000000001),AN81&lt;=AP81*(1+0.000000001)),AN81,SQRT(AO81*AP81))))</f>
        <v>4608847.06756022</v>
      </c>
    </row>
    <row r="82" customFormat="false" ht="15" hidden="false" customHeight="false" outlineLevel="0" collapsed="false">
      <c r="A82" s="44" t="n">
        <v>3</v>
      </c>
      <c r="B82" s="45" t="n">
        <f aca="false">AO81</f>
        <v>4607694.4234617</v>
      </c>
      <c r="C82" s="45" t="n">
        <f aca="false">AP81</f>
        <v>4610000</v>
      </c>
      <c r="D82" s="46" t="n">
        <f aca="false">AQ81</f>
        <v>4608847.06756022</v>
      </c>
      <c r="E82" s="45" t="n">
        <f aca="false">$E$7*D82/('EOS steps'!$D$13*'EOS steps'!$D$7)^2</f>
        <v>0.100366445077315</v>
      </c>
      <c r="F82" s="45" t="n">
        <f aca="false">$E$8*D82/('EOS steps'!$D$13*'EOS steps'!$D$7)</f>
        <v>0.0423481720494048</v>
      </c>
      <c r="G82" s="45" t="n">
        <f aca="false">-(1-F82)</f>
        <v>-0.957651827950595</v>
      </c>
      <c r="H82" s="45" t="n">
        <f aca="false">E82-3*F82^2-2*F82</f>
        <v>0.0102899979507273</v>
      </c>
      <c r="I82" s="45" t="n">
        <f aca="false">-(E82*F82-F82^2-F82^3)</f>
        <v>-0.00238102196530732</v>
      </c>
      <c r="J82" s="45" t="n">
        <f aca="false">H82-G82^2/3</f>
        <v>-0.295409009908312</v>
      </c>
      <c r="K82" s="45" t="n">
        <f aca="false">2*G82^3/27-G82*H82/3+I82</f>
        <v>-0.0641525465560205</v>
      </c>
      <c r="L82" s="45" t="n">
        <f aca="false">K82^2/4+J82^3/27</f>
        <v>7.4098219216951E-005</v>
      </c>
      <c r="M82" s="45" t="n">
        <f aca="false">-K82/2-IF(K82&gt;=0,1,-1)*SQRT(MAX(L82,0))</f>
        <v>0.0406843055280051</v>
      </c>
      <c r="N82" s="45" t="n">
        <f aca="false">SIGN(M82)*ABS(M82)^(1/3)</f>
        <v>0.343934415814181</v>
      </c>
      <c r="O82" s="45" t="n">
        <f aca="false">IF(N82=0,0,N82-J82/(3*N82))</f>
        <v>0.630238040696658</v>
      </c>
      <c r="P82" s="45" t="n">
        <f aca="false">2*SQRT(MAX(-J82,0)/3)</f>
        <v>0.627597546105583</v>
      </c>
      <c r="Q82" s="45" t="n">
        <f aca="false">ACOS(IF(P82=0,0,MAX(-1,MIN(1,3*K82/(J82*P82)))))</f>
        <v>0</v>
      </c>
      <c r="R82" s="45" t="n">
        <f aca="false">P82*COS(Q82/3)</f>
        <v>0.627597546105583</v>
      </c>
      <c r="S82" s="45" t="n">
        <f aca="false">IF(L82&lt;0,R82,O82)-G82/3</f>
        <v>0.94945531668019</v>
      </c>
      <c r="T82" s="45" t="n">
        <f aca="false">IFERROR((((S82+G82)*S82+H82)*S82+I82)/((3*S82+2*G82)*S82+H82),0)</f>
        <v>1.83887964387325E-017</v>
      </c>
      <c r="U82" s="45" t="n">
        <f aca="false">IF(ABS(T82)&lt;0.1*ABS(S82),S82-T82,S82)</f>
        <v>0.94945531668019</v>
      </c>
      <c r="V82" s="45" t="n">
        <f aca="false">IFERROR((((U82+G82)*U82+H82)*U82+I82)/((3*U82+2*G82)*U82+H82),0)</f>
        <v>1.83887964387325E-017</v>
      </c>
      <c r="W82" s="45" t="n">
        <f aca="false">IF(ABS(V82)&lt;0.1*ABS(U82),U82-V82,U82)</f>
        <v>0.94945531668019</v>
      </c>
      <c r="X82" s="45" t="n">
        <f aca="false">-I82/W82</f>
        <v>0.0025077767468117</v>
      </c>
      <c r="Y82" s="45" t="n">
        <f aca="false">(H82-X82)/W82</f>
        <v>0.00819651127040546</v>
      </c>
      <c r="Z82" s="45" t="n">
        <f aca="false">Y82^2-4*X82</f>
        <v>-0.00996392419024091</v>
      </c>
      <c r="AA82" s="47" t="n">
        <f aca="false">IF(Z82&gt;=0,(Y82+IF(Y82&gt;=0,1,-1)*SQRT(Z82))/2,0)</f>
        <v>0</v>
      </c>
      <c r="AB82" s="48" t="n">
        <f aca="false">IF(AND(Z82&gt;=0,AA82&lt;&gt;0),MIN(AA82,X82/AA82),-1)</f>
        <v>-1</v>
      </c>
      <c r="AC82" s="45" t="n">
        <f aca="false">AND(Z82&gt;=0,AB82&gt;F82,ABS(W82-AB82)&gt;=0.00005*MAX(W82,AB82))</f>
        <v>0</v>
      </c>
      <c r="AD82" s="45" t="n">
        <f aca="false">IF(AC82,IFERROR((((AB82+G82)*AB82+H82)*AB82+I82)/((3*AB82+2*G82)*AB82+H82),0),0)</f>
        <v>0</v>
      </c>
      <c r="AE82" s="48" t="n">
        <f aca="false">IF(ABS(AD82)&lt;0.1*ABS(AB82),AB82-AD82,AB82)</f>
        <v>-1</v>
      </c>
      <c r="AF82" s="45" t="n">
        <f aca="false">IF(AC82,IFERROR((((AE82+G82)*AE82+H82)*AE82+I82)/((3*AE82+2*G82)*AE82+H82),0),0)</f>
        <v>0</v>
      </c>
      <c r="AG82" s="48" t="n">
        <f aca="false">IF(ABS(AF82)&lt;0.1*ABS(AE82),AE82-AF82,AE82)</f>
        <v>-1</v>
      </c>
      <c r="AH82" s="45" t="n">
        <f aca="false">IF(AC82,MAX(W82,AG82),W82)</f>
        <v>0.94945531668019</v>
      </c>
      <c r="AI82" s="48" t="n">
        <f aca="false">IF(AC82,MIN(W82,AG82),-1)</f>
        <v>-1</v>
      </c>
      <c r="AJ82" s="45" t="n">
        <f aca="false">AH82-1-LN(AH82-F82)-E82/(2*SQRT(2)*F82)*LN((AH82+(1+SQRT(2))*F82)/(AH82+(1-SQRT(2))*F82))</f>
        <v>-0.0543691420997796</v>
      </c>
      <c r="AK82" s="45" t="n">
        <f aca="false">IF(AC82,AI82-1-LN(AI82-F82)-E82/(2*SQRT(2)*F82)*LN((AI82+(1+SQRT(2))*F82)/(AI82+(1-SQRT(2))*F82)),0)</f>
        <v>0</v>
      </c>
      <c r="AL82" s="45" t="n">
        <f aca="false">IF(AC82,AK82-AJ82,0)</f>
        <v>0</v>
      </c>
      <c r="AM82" s="45" t="n">
        <f aca="false">IF(AC82,AL82&gt;0,AH82*'EOS steps'!$D$13*'EOS steps'!$D$7/D82&gt;=$E$9)</f>
        <v>1</v>
      </c>
      <c r="AN82" s="45" t="n">
        <f aca="false">IF(AC82,IF(AH82&gt;AI82,D82*EXP(MAX(-50,MIN(50,AL82/(AH82-AI82)))),D82),IF(AM82,D82*$E$14,D82/$E$14))</f>
        <v>3670053.73391759</v>
      </c>
      <c r="AO82" s="45" t="n">
        <f aca="false">IF(AM82,D82,B82)</f>
        <v>4608847.06756022</v>
      </c>
      <c r="AP82" s="45" t="n">
        <f aca="false">IF(AM82,C82,D82)</f>
        <v>4610000</v>
      </c>
      <c r="AQ82" s="46" t="n">
        <f aca="false">IF(AC82,IF(AND(AN82&gt;=AO82*(1-0.000000001),AN82&lt;=AP82*(1+0.000000001)),AN82,SQRT(AO82*AP82)),IF(AND(AO82&gt;$E$11,AP82&lt;$E$12),SQRT(AO82*AP82),IF(AND(AN82&gt;=AO82*(1-0.000000001),AN82&lt;=AP82*(1+0.000000001)),AN82,SQRT(AO82*AP82))))</f>
        <v>4609423.49773294</v>
      </c>
    </row>
    <row r="83" customFormat="false" ht="15" hidden="false" customHeight="false" outlineLevel="0" collapsed="false">
      <c r="A83" s="44" t="n">
        <v>4</v>
      </c>
      <c r="B83" s="45" t="n">
        <f aca="false">AO82</f>
        <v>4608847.06756022</v>
      </c>
      <c r="C83" s="45" t="n">
        <f aca="false">AP82</f>
        <v>4610000</v>
      </c>
      <c r="D83" s="46" t="n">
        <f aca="false">AQ82</f>
        <v>4609423.49773294</v>
      </c>
      <c r="E83" s="45" t="n">
        <f aca="false">$E$7*D83/('EOS steps'!$D$13*'EOS steps'!$D$7)^2</f>
        <v>0.100378997944968</v>
      </c>
      <c r="F83" s="45" t="n">
        <f aca="false">$E$8*D83/('EOS steps'!$D$13*'EOS steps'!$D$7)</f>
        <v>0.0423534685506276</v>
      </c>
      <c r="G83" s="45" t="n">
        <f aca="false">-(1-F83)</f>
        <v>-0.957646531449372</v>
      </c>
      <c r="H83" s="45" t="n">
        <f aca="false">E83-3*F83^2-2*F83</f>
        <v>0.0102906119489055</v>
      </c>
      <c r="I83" s="45" t="n">
        <f aca="false">-(E83*F83-F83^2-F83^3)</f>
        <v>-0.00238160809216236</v>
      </c>
      <c r="J83" s="45" t="n">
        <f aca="false">H83-G83^2/3</f>
        <v>-0.295405014450099</v>
      </c>
      <c r="K83" s="45" t="n">
        <f aca="false">2*G83^3/27-G83*H83/3+I83</f>
        <v>-0.0641518754346532</v>
      </c>
      <c r="L83" s="45" t="n">
        <f aca="false">K83^2/4+J83^3/27</f>
        <v>7.41154327983854E-005</v>
      </c>
      <c r="M83" s="45" t="n">
        <f aca="false">-K83/2-IF(K83&gt;=0,1,-1)*SQRT(MAX(L83,0))</f>
        <v>0.0406849697650301</v>
      </c>
      <c r="N83" s="45" t="n">
        <f aca="false">SIGN(M83)*ABS(M83)^(1/3)</f>
        <v>0.343936287565682</v>
      </c>
      <c r="O83" s="45" t="n">
        <f aca="false">IF(N83=0,0,N83-J83/(3*N83))</f>
        <v>0.630234482056801</v>
      </c>
      <c r="P83" s="45" t="n">
        <f aca="false">2*SQRT(MAX(-J83,0)/3)</f>
        <v>0.627593301908276</v>
      </c>
      <c r="Q83" s="45" t="n">
        <f aca="false">ACOS(IF(P83=0,0,MAX(-1,MIN(1,3*K83/(J83*P83)))))</f>
        <v>0</v>
      </c>
      <c r="R83" s="45" t="n">
        <f aca="false">P83*COS(Q83/3)</f>
        <v>0.627593301908276</v>
      </c>
      <c r="S83" s="45" t="n">
        <f aca="false">IF(L83&lt;0,R83,O83)-G83/3</f>
        <v>0.949449992539925</v>
      </c>
      <c r="T83" s="45" t="n">
        <f aca="false">IFERROR((((S83+G83)*S83+H83)*S83+I83)/((3*S83+2*G83)*S83+H83),0)</f>
        <v>9.67841609185832E-018</v>
      </c>
      <c r="U83" s="45" t="n">
        <f aca="false">IF(ABS(T83)&lt;0.1*ABS(S83),S83-T83,S83)</f>
        <v>0.949449992539925</v>
      </c>
      <c r="V83" s="45" t="n">
        <f aca="false">IFERROR((((U83+G83)*U83+H83)*U83+I83)/((3*U83+2*G83)*U83+H83),0)</f>
        <v>9.67841609185832E-018</v>
      </c>
      <c r="W83" s="45" t="n">
        <f aca="false">IF(ABS(V83)&lt;0.1*ABS(U83),U83-V83,U83)</f>
        <v>0.949449992539925</v>
      </c>
      <c r="X83" s="45" t="n">
        <f aca="false">-I83/W83</f>
        <v>0.00250840814247751</v>
      </c>
      <c r="Y83" s="45" t="n">
        <f aca="false">(H83-X83)/W83</f>
        <v>0.00819653890944739</v>
      </c>
      <c r="Z83" s="45" t="n">
        <f aca="false">Y83^2-4*X83</f>
        <v>-0.00996644931981596</v>
      </c>
      <c r="AA83" s="47" t="n">
        <f aca="false">IF(Z83&gt;=0,(Y83+IF(Y83&gt;=0,1,-1)*SQRT(Z83))/2,0)</f>
        <v>0</v>
      </c>
      <c r="AB83" s="48" t="n">
        <f aca="false">IF(AND(Z83&gt;=0,AA83&lt;&gt;0),MIN(AA83,X83/AA83),-1)</f>
        <v>-1</v>
      </c>
      <c r="AC83" s="45" t="n">
        <f aca="false">AND(Z83&gt;=0,AB83&gt;F83,ABS(W83-AB83)&gt;=0.00005*MAX(W83,AB83))</f>
        <v>0</v>
      </c>
      <c r="AD83" s="45" t="n">
        <f aca="false">IF(AC83,IFERROR((((AB83+G83)*AB83+H83)*AB83+I83)/((3*AB83+2*G83)*AB83+H83),0),0)</f>
        <v>0</v>
      </c>
      <c r="AE83" s="48" t="n">
        <f aca="false">IF(ABS(AD83)&lt;0.1*ABS(AB83),AB83-AD83,AB83)</f>
        <v>-1</v>
      </c>
      <c r="AF83" s="45" t="n">
        <f aca="false">IF(AC83,IFERROR((((AE83+G83)*AE83+H83)*AE83+I83)/((3*AE83+2*G83)*AE83+H83),0),0)</f>
        <v>0</v>
      </c>
      <c r="AG83" s="48" t="n">
        <f aca="false">IF(ABS(AF83)&lt;0.1*ABS(AE83),AE83-AF83,AE83)</f>
        <v>-1</v>
      </c>
      <c r="AH83" s="45" t="n">
        <f aca="false">IF(AC83,MAX(W83,AG83),W83)</f>
        <v>0.949449992539925</v>
      </c>
      <c r="AI83" s="48" t="n">
        <f aca="false">IF(AC83,MIN(W83,AG83),-1)</f>
        <v>-1</v>
      </c>
      <c r="AJ83" s="45" t="n">
        <f aca="false">AH83-1-LN(AH83-F83)-E83/(2*SQRT(2)*F83)*LN((AH83+(1+SQRT(2))*F83)/(AH83+(1-SQRT(2))*F83))</f>
        <v>-0.0543754636792659</v>
      </c>
      <c r="AK83" s="45" t="n">
        <f aca="false">IF(AC83,AI83-1-LN(AI83-F83)-E83/(2*SQRT(2)*F83)*LN((AI83+(1+SQRT(2))*F83)/(AI83+(1-SQRT(2))*F83)),0)</f>
        <v>0</v>
      </c>
      <c r="AL83" s="45" t="n">
        <f aca="false">IF(AC83,AK83-AJ83,0)</f>
        <v>0</v>
      </c>
      <c r="AM83" s="45" t="n">
        <f aca="false">IF(AC83,AL83&gt;0,AH83*'EOS steps'!$D$13*'EOS steps'!$D$7/D83&gt;=$E$9)</f>
        <v>1</v>
      </c>
      <c r="AN83" s="45" t="n">
        <f aca="false">IF(AC83,IF(AH83&gt;AI83,D83*EXP(MAX(-50,MIN(50,AL83/(AH83-AI83)))),D83),IF(AM83,D83*$E$14,D83/$E$14))</f>
        <v>3670512.74886791</v>
      </c>
      <c r="AO83" s="45" t="n">
        <f aca="false">IF(AM83,D83,B83)</f>
        <v>4609423.49773294</v>
      </c>
      <c r="AP83" s="45" t="n">
        <f aca="false">IF(AM83,C83,D83)</f>
        <v>4610000</v>
      </c>
      <c r="AQ83" s="46" t="n">
        <f aca="false">IF(AC83,IF(AND(AN83&gt;=AO83*(1-0.000000001),AN83&lt;=AP83*(1+0.000000001)),AN83,SQRT(AO83*AP83)),IF(AND(AO83&gt;$E$11,AP83&lt;$E$12),SQRT(AO83*AP83),IF(AND(AN83&gt;=AO83*(1-0.000000001),AN83&lt;=AP83*(1+0.000000001)),AN83,SQRT(AO83*AP83))))</f>
        <v>4609711.73985412</v>
      </c>
    </row>
    <row r="84" customFormat="false" ht="15" hidden="false" customHeight="false" outlineLevel="0" collapsed="false">
      <c r="A84" s="44" t="n">
        <v>5</v>
      </c>
      <c r="B84" s="45" t="n">
        <f aca="false">AO83</f>
        <v>4609423.49773294</v>
      </c>
      <c r="C84" s="45" t="n">
        <f aca="false">AP83</f>
        <v>4610000</v>
      </c>
      <c r="D84" s="46" t="n">
        <f aca="false">AQ83</f>
        <v>4609711.73985412</v>
      </c>
      <c r="E84" s="45" t="n">
        <f aca="false">$E$7*D84/('EOS steps'!$D$13*'EOS steps'!$D$7)^2</f>
        <v>0.100385274967529</v>
      </c>
      <c r="F84" s="45" t="n">
        <f aca="false">$E$8*D84/('EOS steps'!$D$13*'EOS steps'!$D$7)</f>
        <v>0.0423561170496471</v>
      </c>
      <c r="G84" s="45" t="n">
        <f aca="false">-(1-F84)</f>
        <v>-0.957643882950353</v>
      </c>
      <c r="H84" s="45" t="n">
        <f aca="false">E84-3*F84^2-2*F84</f>
        <v>0.0102909189136645</v>
      </c>
      <c r="I84" s="45" t="n">
        <f aca="false">-(E84*F84-F84^2-F84^3)</f>
        <v>-0.0023819012092345</v>
      </c>
      <c r="J84" s="45" t="n">
        <f aca="false">H84-G84^2/3</f>
        <v>-0.295403016603745</v>
      </c>
      <c r="K84" s="45" t="n">
        <f aca="false">2*G84^3/27-G84*H84/3+I84</f>
        <v>-0.0641515398940909</v>
      </c>
      <c r="L84" s="45" t="n">
        <f aca="false">K84^2/4+J84^3/27</f>
        <v>7.41240410627987E-005</v>
      </c>
      <c r="M84" s="45" t="n">
        <f aca="false">-K84/2-IF(K84&gt;=0,1,-1)*SQRT(MAX(L84,0))</f>
        <v>0.0406853019356496</v>
      </c>
      <c r="N84" s="45" t="n">
        <f aca="false">SIGN(M84)*ABS(M84)^(1/3)</f>
        <v>0.343937223580624</v>
      </c>
      <c r="O84" s="45" t="n">
        <f aca="false">IF(N84=0,0,N84-J84/(3*N84))</f>
        <v>0.630232702668732</v>
      </c>
      <c r="P84" s="45" t="n">
        <f aca="false">2*SQRT(MAX(-J84,0)/3)</f>
        <v>0.627591179674311</v>
      </c>
      <c r="Q84" s="45" t="n">
        <f aca="false">ACOS(IF(P84=0,0,MAX(-1,MIN(1,3*K84/(J84*P84)))))</f>
        <v>0</v>
      </c>
      <c r="R84" s="45" t="n">
        <f aca="false">P84*COS(Q84/3)</f>
        <v>0.627591179674311</v>
      </c>
      <c r="S84" s="45" t="n">
        <f aca="false">IF(L84&lt;0,R84,O84)-G84/3</f>
        <v>0.94944733031885</v>
      </c>
      <c r="T84" s="45" t="n">
        <f aca="false">IFERROR((((S84+G84)*S84+H84)*S84+I84)/((3*S84+2*G84)*S84+H84),0)</f>
        <v>0</v>
      </c>
      <c r="U84" s="45" t="n">
        <f aca="false">IF(ABS(T84)&lt;0.1*ABS(S84),S84-T84,S84)</f>
        <v>0.94944733031885</v>
      </c>
      <c r="V84" s="45" t="n">
        <f aca="false">IFERROR((((U84+G84)*U84+H84)*U84+I84)/((3*U84+2*G84)*U84+H84),0)</f>
        <v>0</v>
      </c>
      <c r="W84" s="45" t="n">
        <f aca="false">IF(ABS(V84)&lt;0.1*ABS(U84),U84-V84,U84)</f>
        <v>0.94944733031885</v>
      </c>
      <c r="X84" s="45" t="n">
        <f aca="false">-I84/W84</f>
        <v>0.00250872389986562</v>
      </c>
      <c r="Y84" s="45" t="n">
        <f aca="false">(H84-X84)/W84</f>
        <v>0.00819655263150343</v>
      </c>
      <c r="Z84" s="45" t="n">
        <f aca="false">Y84^2-4*X84</f>
        <v>-0.00996771212442146</v>
      </c>
      <c r="AA84" s="47" t="n">
        <f aca="false">IF(Z84&gt;=0,(Y84+IF(Y84&gt;=0,1,-1)*SQRT(Z84))/2,0)</f>
        <v>0</v>
      </c>
      <c r="AB84" s="48" t="n">
        <f aca="false">IF(AND(Z84&gt;=0,AA84&lt;&gt;0),MIN(AA84,X84/AA84),-1)</f>
        <v>-1</v>
      </c>
      <c r="AC84" s="45" t="n">
        <f aca="false">AND(Z84&gt;=0,AB84&gt;F84,ABS(W84-AB84)&gt;=0.00005*MAX(W84,AB84))</f>
        <v>0</v>
      </c>
      <c r="AD84" s="45" t="n">
        <f aca="false">IF(AC84,IFERROR((((AB84+G84)*AB84+H84)*AB84+I84)/((3*AB84+2*G84)*AB84+H84),0),0)</f>
        <v>0</v>
      </c>
      <c r="AE84" s="48" t="n">
        <f aca="false">IF(ABS(AD84)&lt;0.1*ABS(AB84),AB84-AD84,AB84)</f>
        <v>-1</v>
      </c>
      <c r="AF84" s="45" t="n">
        <f aca="false">IF(AC84,IFERROR((((AE84+G84)*AE84+H84)*AE84+I84)/((3*AE84+2*G84)*AE84+H84),0),0)</f>
        <v>0</v>
      </c>
      <c r="AG84" s="48" t="n">
        <f aca="false">IF(ABS(AF84)&lt;0.1*ABS(AE84),AE84-AF84,AE84)</f>
        <v>-1</v>
      </c>
      <c r="AH84" s="45" t="n">
        <f aca="false">IF(AC84,MAX(W84,AG84),W84)</f>
        <v>0.94944733031885</v>
      </c>
      <c r="AI84" s="48" t="n">
        <f aca="false">IF(AC84,MIN(W84,AG84),-1)</f>
        <v>-1</v>
      </c>
      <c r="AJ84" s="45" t="n">
        <f aca="false">AH84-1-LN(AH84-F84)-E84/(2*SQRT(2)*F84)*LN((AH84+(1+SQRT(2))*F84)/(AH84+(1-SQRT(2))*F84))</f>
        <v>-0.0543786247187094</v>
      </c>
      <c r="AK84" s="45" t="n">
        <f aca="false">IF(AC84,AI84-1-LN(AI84-F84)-E84/(2*SQRT(2)*F84)*LN((AI84+(1+SQRT(2))*F84)/(AI84+(1-SQRT(2))*F84)),0)</f>
        <v>0</v>
      </c>
      <c r="AL84" s="45" t="n">
        <f aca="false">IF(AC84,AK84-AJ84,0)</f>
        <v>0</v>
      </c>
      <c r="AM84" s="45" t="n">
        <f aca="false">IF(AC84,AL84&gt;0,AH84*'EOS steps'!$D$13*'EOS steps'!$D$7/D84&gt;=$E$9)</f>
        <v>1</v>
      </c>
      <c r="AN84" s="45" t="n">
        <f aca="false">IF(AC84,IF(AH84&gt;AI84,D84*EXP(MAX(-50,MIN(50,AL84/(AH84-AI84)))),D84),IF(AM84,D84*$E$14,D84/$E$14))</f>
        <v>3670742.27787106</v>
      </c>
      <c r="AO84" s="45" t="n">
        <f aca="false">IF(AM84,D84,B84)</f>
        <v>4609711.73985412</v>
      </c>
      <c r="AP84" s="45" t="n">
        <f aca="false">IF(AM84,C84,D84)</f>
        <v>4610000</v>
      </c>
      <c r="AQ84" s="46" t="n">
        <f aca="false">IF(AC84,IF(AND(AN84&gt;=AO84*(1-0.000000001),AN84&lt;=AP84*(1+0.000000001)),AN84,SQRT(AO84*AP84)),IF(AND(AO84&gt;$E$11,AP84&lt;$E$12),SQRT(AO84*AP84),IF(AND(AN84&gt;=AO84*(1-0.000000001),AN84&lt;=AP84*(1+0.000000001)),AN84,SQRT(AO84*AP84))))</f>
        <v>4609855.8676739</v>
      </c>
    </row>
    <row r="85" customFormat="false" ht="15" hidden="false" customHeight="false" outlineLevel="0" collapsed="false">
      <c r="A85" s="44" t="n">
        <v>6</v>
      </c>
      <c r="B85" s="45" t="n">
        <f aca="false">AO84</f>
        <v>4609711.73985412</v>
      </c>
      <c r="C85" s="45" t="n">
        <f aca="false">AP84</f>
        <v>4610000</v>
      </c>
      <c r="D85" s="46" t="n">
        <f aca="false">AQ84</f>
        <v>4609855.8676739</v>
      </c>
      <c r="E85" s="45" t="n">
        <f aca="false">$E$7*D85/('EOS steps'!$D$13*'EOS steps'!$D$7)^2</f>
        <v>0.100388413626004</v>
      </c>
      <c r="F85" s="45" t="n">
        <f aca="false">$E$8*D85/('EOS steps'!$D$13*'EOS steps'!$D$7)</f>
        <v>0.0423574413612633</v>
      </c>
      <c r="G85" s="45" t="n">
        <f aca="false">-(1-F85)</f>
        <v>-0.957642558638737</v>
      </c>
      <c r="H85" s="45" t="n">
        <f aca="false">E85-3*F85^2-2*F85</f>
        <v>0.0102910723874585</v>
      </c>
      <c r="I85" s="45" t="n">
        <f aca="false">-(E85*F85-F85^2-F85^3)</f>
        <v>-0.00238204778118361</v>
      </c>
      <c r="J85" s="45" t="n">
        <f aca="false">H85-G85^2/3</f>
        <v>-0.295402017651257</v>
      </c>
      <c r="K85" s="45" t="n">
        <f aca="false">2*G85^3/27-G85*H85/3+I85</f>
        <v>-0.0641513721288422</v>
      </c>
      <c r="L85" s="45" t="n">
        <f aca="false">K85^2/4+J85^3/27</f>
        <v>7.41283455634802E-005</v>
      </c>
      <c r="M85" s="45" t="n">
        <f aca="false">-K85/2-IF(K85&gt;=0,1,-1)*SQRT(MAX(L85,0))</f>
        <v>0.0406854680339881</v>
      </c>
      <c r="N85" s="45" t="n">
        <f aca="false">SIGN(M85)*ABS(M85)^(1/3)</f>
        <v>0.343937691622897</v>
      </c>
      <c r="O85" s="45" t="n">
        <f aca="false">IF(N85=0,0,N85-J85/(3*N85))</f>
        <v>0.630231812957665</v>
      </c>
      <c r="P85" s="45" t="n">
        <f aca="false">2*SQRT(MAX(-J85,0)/3)</f>
        <v>0.627590118523501</v>
      </c>
      <c r="Q85" s="45" t="n">
        <f aca="false">ACOS(IF(P85=0,0,MAX(-1,MIN(1,3*K85/(J85*P85)))))</f>
        <v>0</v>
      </c>
      <c r="R85" s="45" t="n">
        <f aca="false">P85*COS(Q85/3)</f>
        <v>0.627590118523501</v>
      </c>
      <c r="S85" s="45" t="n">
        <f aca="false">IF(L85&lt;0,R85,O85)-G85/3</f>
        <v>0.949445999170577</v>
      </c>
      <c r="T85" s="45" t="n">
        <f aca="false">IFERROR((((S85+G85)*S85+H85)*S85+I85)/((3*S85+2*G85)*S85+H85),0)</f>
        <v>-4.50049911849272E-017</v>
      </c>
      <c r="U85" s="45" t="n">
        <f aca="false">IF(ABS(T85)&lt;0.1*ABS(S85),S85-T85,S85)</f>
        <v>0.949445999170577</v>
      </c>
      <c r="V85" s="45" t="n">
        <f aca="false">IFERROR((((U85+G85)*U85+H85)*U85+I85)/((3*U85+2*G85)*U85+H85),0)</f>
        <v>-4.50049911849272E-017</v>
      </c>
      <c r="W85" s="45" t="n">
        <f aca="false">IF(ABS(V85)&lt;0.1*ABS(U85),U85-V85,U85)</f>
        <v>0.949445999170577</v>
      </c>
      <c r="X85" s="45" t="n">
        <f aca="false">-I85/W85</f>
        <v>0.00250888179345064</v>
      </c>
      <c r="Y85" s="45" t="n">
        <f aca="false">(H85-X85)/W85</f>
        <v>0.00819655946815963</v>
      </c>
      <c r="Z85" s="45" t="n">
        <f aca="false">Y85^2-4*X85</f>
        <v>-0.00996834358668748</v>
      </c>
      <c r="AA85" s="47" t="n">
        <f aca="false">IF(Z85&gt;=0,(Y85+IF(Y85&gt;=0,1,-1)*SQRT(Z85))/2,0)</f>
        <v>0</v>
      </c>
      <c r="AB85" s="48" t="n">
        <f aca="false">IF(AND(Z85&gt;=0,AA85&lt;&gt;0),MIN(AA85,X85/AA85),-1)</f>
        <v>-1</v>
      </c>
      <c r="AC85" s="45" t="n">
        <f aca="false">AND(Z85&gt;=0,AB85&gt;F85,ABS(W85-AB85)&gt;=0.00005*MAX(W85,AB85))</f>
        <v>0</v>
      </c>
      <c r="AD85" s="45" t="n">
        <f aca="false">IF(AC85,IFERROR((((AB85+G85)*AB85+H85)*AB85+I85)/((3*AB85+2*G85)*AB85+H85),0),0)</f>
        <v>0</v>
      </c>
      <c r="AE85" s="48" t="n">
        <f aca="false">IF(ABS(AD85)&lt;0.1*ABS(AB85),AB85-AD85,AB85)</f>
        <v>-1</v>
      </c>
      <c r="AF85" s="45" t="n">
        <f aca="false">IF(AC85,IFERROR((((AE85+G85)*AE85+H85)*AE85+I85)/((3*AE85+2*G85)*AE85+H85),0),0)</f>
        <v>0</v>
      </c>
      <c r="AG85" s="48" t="n">
        <f aca="false">IF(ABS(AF85)&lt;0.1*ABS(AE85),AE85-AF85,AE85)</f>
        <v>-1</v>
      </c>
      <c r="AH85" s="45" t="n">
        <f aca="false">IF(AC85,MAX(W85,AG85),W85)</f>
        <v>0.949445999170577</v>
      </c>
      <c r="AI85" s="48" t="n">
        <f aca="false">IF(AC85,MIN(W85,AG85),-1)</f>
        <v>-1</v>
      </c>
      <c r="AJ85" s="45" t="n">
        <f aca="false">AH85-1-LN(AH85-F85)-E85/(2*SQRT(2)*F85)*LN((AH85+(1+SQRT(2))*F85)/(AH85+(1-SQRT(2))*F85))</f>
        <v>-0.0543802053008589</v>
      </c>
      <c r="AK85" s="45" t="n">
        <f aca="false">IF(AC85,AI85-1-LN(AI85-F85)-E85/(2*SQRT(2)*F85)*LN((AI85+(1+SQRT(2))*F85)/(AI85+(1-SQRT(2))*F85)),0)</f>
        <v>0</v>
      </c>
      <c r="AL85" s="45" t="n">
        <f aca="false">IF(AC85,AK85-AJ85,0)</f>
        <v>0</v>
      </c>
      <c r="AM85" s="45" t="n">
        <f aca="false">IF(AC85,AL85&gt;0,AH85*'EOS steps'!$D$13*'EOS steps'!$D$7/D85&gt;=$E$9)</f>
        <v>1</v>
      </c>
      <c r="AN85" s="45" t="n">
        <f aca="false">IF(AC85,IF(AH85&gt;AI85,D85*EXP(MAX(-50,MIN(50,AL85/(AH85-AI85)))),D85),IF(AM85,D85*$E$14,D85/$E$14))</f>
        <v>3670857.04775502</v>
      </c>
      <c r="AO85" s="45" t="n">
        <f aca="false">IF(AM85,D85,B85)</f>
        <v>4609855.8676739</v>
      </c>
      <c r="AP85" s="45" t="n">
        <f aca="false">IF(AM85,C85,D85)</f>
        <v>4610000</v>
      </c>
      <c r="AQ85" s="46" t="n">
        <f aca="false">IF(AC85,IF(AND(AN85&gt;=AO85*(1-0.000000001),AN85&lt;=AP85*(1+0.000000001)),AN85,SQRT(AO85*AP85)),IF(AND(AO85&gt;$E$11,AP85&lt;$E$12),SQRT(AO85*AP85),IF(AND(AN85&gt;=AO85*(1-0.000000001),AN85&lt;=AP85*(1+0.000000001)),AN85,SQRT(AO85*AP85))))</f>
        <v>4609927.93327365</v>
      </c>
    </row>
    <row r="86" customFormat="false" ht="15" hidden="false" customHeight="false" outlineLevel="0" collapsed="false">
      <c r="A86" s="44" t="n">
        <v>7</v>
      </c>
      <c r="B86" s="45" t="n">
        <f aca="false">AO85</f>
        <v>4609855.8676739</v>
      </c>
      <c r="C86" s="45" t="n">
        <f aca="false">AP85</f>
        <v>4610000</v>
      </c>
      <c r="D86" s="46" t="n">
        <f aca="false">AQ85</f>
        <v>4609927.93327365</v>
      </c>
      <c r="E86" s="45" t="n">
        <f aca="false">$E$7*D86/('EOS steps'!$D$13*'EOS steps'!$D$7)^2</f>
        <v>0.100389982992041</v>
      </c>
      <c r="F86" s="45" t="n">
        <f aca="false">$E$8*D86/('EOS steps'!$D$13*'EOS steps'!$D$7)</f>
        <v>0.0423581035325987</v>
      </c>
      <c r="G86" s="45" t="n">
        <f aca="false">-(1-F86)</f>
        <v>-0.957641896467401</v>
      </c>
      <c r="H86" s="45" t="n">
        <f aca="false">E86-3*F86^2-2*F86</f>
        <v>0.0102911491222088</v>
      </c>
      <c r="I86" s="45" t="n">
        <f aca="false">-(E86*F86-F86^2-F86^3)</f>
        <v>-0.00238212107051166</v>
      </c>
      <c r="J86" s="45" t="n">
        <f aca="false">H86-G86^2/3</f>
        <v>-0.295401518167685</v>
      </c>
      <c r="K86" s="45" t="n">
        <f aca="false">2*G86^3/27-G86*H86/3+I86</f>
        <v>-0.0641512882474763</v>
      </c>
      <c r="L86" s="45" t="n">
        <f aca="false">K86^2/4+J86^3/27</f>
        <v>7.41304979059446E-005</v>
      </c>
      <c r="M86" s="45" t="n">
        <f aca="false">-K86/2-IF(K86&gt;=0,1,-1)*SQRT(MAX(L86,0))</f>
        <v>0.0406855510864146</v>
      </c>
      <c r="N86" s="45" t="n">
        <f aca="false">SIGN(M86)*ABS(M86)^(1/3)</f>
        <v>0.343937925652735</v>
      </c>
      <c r="O86" s="45" t="n">
        <f aca="false">IF(N86=0,0,N86-J86/(3*N86))</f>
        <v>0.630231368097874</v>
      </c>
      <c r="P86" s="45" t="n">
        <f aca="false">2*SQRT(MAX(-J86,0)/3)</f>
        <v>0.62758958793964</v>
      </c>
      <c r="Q86" s="45" t="n">
        <f aca="false">ACOS(IF(P86=0,0,MAX(-1,MIN(1,3*K86/(J86*P86)))))</f>
        <v>0</v>
      </c>
      <c r="R86" s="45" t="n">
        <f aca="false">P86*COS(Q86/3)</f>
        <v>0.62758958793964</v>
      </c>
      <c r="S86" s="45" t="n">
        <f aca="false">IF(L86&lt;0,R86,O86)-G86/3</f>
        <v>0.949445333587007</v>
      </c>
      <c r="T86" s="45" t="n">
        <f aca="false">IFERROR((((S86+G86)*S86+H86)*S86+I86)/((3*S86+2*G86)*S86+H86),0)</f>
        <v>-2.27444879271527E-017</v>
      </c>
      <c r="U86" s="45" t="n">
        <f aca="false">IF(ABS(T86)&lt;0.1*ABS(S86),S86-T86,S86)</f>
        <v>0.949445333587007</v>
      </c>
      <c r="V86" s="45" t="n">
        <f aca="false">IFERROR((((U86+G86)*U86+H86)*U86+I86)/((3*U86+2*G86)*U86+H86),0)</f>
        <v>-2.27444879271527E-017</v>
      </c>
      <c r="W86" s="45" t="n">
        <f aca="false">IF(ABS(V86)&lt;0.1*ABS(U86),U86-V86,U86)</f>
        <v>0.949445333587007</v>
      </c>
      <c r="X86" s="45" t="n">
        <f aca="false">-I86/W86</f>
        <v>0.00250896074396617</v>
      </c>
      <c r="Y86" s="45" t="n">
        <f aca="false">(H86-X86)/W86</f>
        <v>0.00819656288039403</v>
      </c>
      <c r="Z86" s="45" t="n">
        <f aca="false">Y86^2-4*X86</f>
        <v>-0.00996865933281241</v>
      </c>
      <c r="AA86" s="47" t="n">
        <f aca="false">IF(Z86&gt;=0,(Y86+IF(Y86&gt;=0,1,-1)*SQRT(Z86))/2,0)</f>
        <v>0</v>
      </c>
      <c r="AB86" s="48" t="n">
        <f aca="false">IF(AND(Z86&gt;=0,AA86&lt;&gt;0),MIN(AA86,X86/AA86),-1)</f>
        <v>-1</v>
      </c>
      <c r="AC86" s="45" t="n">
        <f aca="false">AND(Z86&gt;=0,AB86&gt;F86,ABS(W86-AB86)&gt;=0.00005*MAX(W86,AB86))</f>
        <v>0</v>
      </c>
      <c r="AD86" s="45" t="n">
        <f aca="false">IF(AC86,IFERROR((((AB86+G86)*AB86+H86)*AB86+I86)/((3*AB86+2*G86)*AB86+H86),0),0)</f>
        <v>0</v>
      </c>
      <c r="AE86" s="48" t="n">
        <f aca="false">IF(ABS(AD86)&lt;0.1*ABS(AB86),AB86-AD86,AB86)</f>
        <v>-1</v>
      </c>
      <c r="AF86" s="45" t="n">
        <f aca="false">IF(AC86,IFERROR((((AE86+G86)*AE86+H86)*AE86+I86)/((3*AE86+2*G86)*AE86+H86),0),0)</f>
        <v>0</v>
      </c>
      <c r="AG86" s="48" t="n">
        <f aca="false">IF(ABS(AF86)&lt;0.1*ABS(AE86),AE86-AF86,AE86)</f>
        <v>-1</v>
      </c>
      <c r="AH86" s="45" t="n">
        <f aca="false">IF(AC86,MAX(W86,AG86),W86)</f>
        <v>0.949445333587007</v>
      </c>
      <c r="AI86" s="48" t="n">
        <f aca="false">IF(AC86,MIN(W86,AG86),-1)</f>
        <v>-1</v>
      </c>
      <c r="AJ86" s="45" t="n">
        <f aca="false">AH86-1-LN(AH86-F86)-E86/(2*SQRT(2)*F86)*LN((AH86+(1+SQRT(2))*F86)/(AH86+(1-SQRT(2))*F86))</f>
        <v>-0.0543809956075408</v>
      </c>
      <c r="AK86" s="45" t="n">
        <f aca="false">IF(AC86,AI86-1-LN(AI86-F86)-E86/(2*SQRT(2)*F86)*LN((AI86+(1+SQRT(2))*F86)/(AI86+(1-SQRT(2))*F86)),0)</f>
        <v>0</v>
      </c>
      <c r="AL86" s="45" t="n">
        <f aca="false">IF(AC86,AK86-AJ86,0)</f>
        <v>0</v>
      </c>
      <c r="AM86" s="45" t="n">
        <f aca="false">IF(AC86,AL86&gt;0,AH86*'EOS steps'!$D$13*'EOS steps'!$D$7/D86&gt;=$E$9)</f>
        <v>1</v>
      </c>
      <c r="AN86" s="45" t="n">
        <f aca="false">IF(AC86,IF(AH86&gt;AI86,D86*EXP(MAX(-50,MIN(50,AL86/(AH86-AI86)))),D86),IF(AM86,D86*$E$14,D86/$E$14))</f>
        <v>3670914.43404265</v>
      </c>
      <c r="AO86" s="45" t="n">
        <f aca="false">IF(AM86,D86,B86)</f>
        <v>4609927.93327365</v>
      </c>
      <c r="AP86" s="45" t="n">
        <f aca="false">IF(AM86,C86,D86)</f>
        <v>4610000</v>
      </c>
      <c r="AQ86" s="46" t="n">
        <f aca="false">IF(AC86,IF(AND(AN86&gt;=AO86*(1-0.000000001),AN86&lt;=AP86*(1+0.000000001)),AN86,SQRT(AO86*AP86)),IF(AND(AO86&gt;$E$11,AP86&lt;$E$12),SQRT(AO86*AP86),IF(AND(AN86&gt;=AO86*(1-0.000000001),AN86&lt;=AP86*(1+0.000000001)),AN86,SQRT(AO86*AP86))))</f>
        <v>4609963.966496</v>
      </c>
    </row>
    <row r="87" customFormat="false" ht="15" hidden="false" customHeight="false" outlineLevel="0" collapsed="false">
      <c r="A87" s="44" t="n">
        <v>8</v>
      </c>
      <c r="B87" s="45" t="n">
        <f aca="false">AO86</f>
        <v>4609927.93327365</v>
      </c>
      <c r="C87" s="45" t="n">
        <f aca="false">AP86</f>
        <v>4610000</v>
      </c>
      <c r="D87" s="46" t="n">
        <f aca="false">AQ86</f>
        <v>4609963.966496</v>
      </c>
      <c r="E87" s="45" t="n">
        <f aca="false">$E$7*D87/('EOS steps'!$D$13*'EOS steps'!$D$7)^2</f>
        <v>0.10039076768426</v>
      </c>
      <c r="F87" s="45" t="n">
        <f aca="false">$E$8*D87/('EOS steps'!$D$13*'EOS steps'!$D$7)</f>
        <v>0.0423584346221482</v>
      </c>
      <c r="G87" s="45" t="n">
        <f aca="false">-(1-F87)</f>
        <v>-0.957641565377852</v>
      </c>
      <c r="H87" s="45" t="n">
        <f aca="false">E87-3*F87^2-2*F87</f>
        <v>0.0102911874890472</v>
      </c>
      <c r="I87" s="45" t="n">
        <f aca="false">-(E87*F87-F87^2-F87^3)</f>
        <v>-0.00238215771601409</v>
      </c>
      <c r="J87" s="45" t="n">
        <f aca="false">H87-G87^2/3</f>
        <v>-0.295401268424067</v>
      </c>
      <c r="K87" s="45" t="n">
        <f aca="false">2*G87^3/27-G87*H87/3+I87</f>
        <v>-0.064151246307108</v>
      </c>
      <c r="L87" s="45" t="n">
        <f aca="false">K87^2/4+J87^3/27</f>
        <v>7.41315741002095E-005</v>
      </c>
      <c r="M87" s="45" t="n">
        <f aca="false">-K87/2-IF(K87&gt;=0,1,-1)*SQRT(MAX(L87,0))</f>
        <v>0.0406855926134423</v>
      </c>
      <c r="N87" s="45" t="n">
        <f aca="false">SIGN(M87)*ABS(M87)^(1/3)</f>
        <v>0.343938042669829</v>
      </c>
      <c r="O87" s="45" t="n">
        <f aca="false">IF(N87=0,0,N87-J87/(3*N87))</f>
        <v>0.630231145666913</v>
      </c>
      <c r="P87" s="45" t="n">
        <f aca="false">2*SQRT(MAX(-J87,0)/3)</f>
        <v>0.627589322645594</v>
      </c>
      <c r="Q87" s="45" t="n">
        <f aca="false">ACOS(IF(P87=0,0,MAX(-1,MIN(1,3*K87/(J87*P87)))))</f>
        <v>0</v>
      </c>
      <c r="R87" s="45" t="n">
        <f aca="false">P87*COS(Q87/3)</f>
        <v>0.627589322645594</v>
      </c>
      <c r="S87" s="45" t="n">
        <f aca="false">IF(L87&lt;0,R87,O87)-G87/3</f>
        <v>0.949445000792864</v>
      </c>
      <c r="T87" s="45" t="n">
        <f aca="false">IFERROR((((S87+G87)*S87+H87)*S87+I87)/((3*S87+2*G87)*S87+H87),0)</f>
        <v>0</v>
      </c>
      <c r="U87" s="45" t="n">
        <f aca="false">IF(ABS(T87)&lt;0.1*ABS(S87),S87-T87,S87)</f>
        <v>0.949445000792864</v>
      </c>
      <c r="V87" s="45" t="n">
        <f aca="false">IFERROR((((U87+G87)*U87+H87)*U87+I87)/((3*U87+2*G87)*U87+H87),0)</f>
        <v>0</v>
      </c>
      <c r="W87" s="45" t="n">
        <f aca="false">IF(ABS(V87)&lt;0.1*ABS(U87),U87-V87,U87)</f>
        <v>0.949445000792864</v>
      </c>
      <c r="X87" s="45" t="n">
        <f aca="false">-I87/W87</f>
        <v>0.00250900022015471</v>
      </c>
      <c r="Y87" s="45" t="n">
        <f aca="false">(H87-X87)/W87</f>
        <v>0.00819656458498774</v>
      </c>
      <c r="Z87" s="45" t="n">
        <f aca="false">Y87^2-4*X87</f>
        <v>-0.00996881720962298</v>
      </c>
      <c r="AA87" s="47" t="n">
        <f aca="false">IF(Z87&gt;=0,(Y87+IF(Y87&gt;=0,1,-1)*SQRT(Z87))/2,0)</f>
        <v>0</v>
      </c>
      <c r="AB87" s="48" t="n">
        <f aca="false">IF(AND(Z87&gt;=0,AA87&lt;&gt;0),MIN(AA87,X87/AA87),-1)</f>
        <v>-1</v>
      </c>
      <c r="AC87" s="45" t="n">
        <f aca="false">AND(Z87&gt;=0,AB87&gt;F87,ABS(W87-AB87)&gt;=0.00005*MAX(W87,AB87))</f>
        <v>0</v>
      </c>
      <c r="AD87" s="45" t="n">
        <f aca="false">IF(AC87,IFERROR((((AB87+G87)*AB87+H87)*AB87+I87)/((3*AB87+2*G87)*AB87+H87),0),0)</f>
        <v>0</v>
      </c>
      <c r="AE87" s="48" t="n">
        <f aca="false">IF(ABS(AD87)&lt;0.1*ABS(AB87),AB87-AD87,AB87)</f>
        <v>-1</v>
      </c>
      <c r="AF87" s="45" t="n">
        <f aca="false">IF(AC87,IFERROR((((AE87+G87)*AE87+H87)*AE87+I87)/((3*AE87+2*G87)*AE87+H87),0),0)</f>
        <v>0</v>
      </c>
      <c r="AG87" s="48" t="n">
        <f aca="false">IF(ABS(AF87)&lt;0.1*ABS(AE87),AE87-AF87,AE87)</f>
        <v>-1</v>
      </c>
      <c r="AH87" s="45" t="n">
        <f aca="false">IF(AC87,MAX(W87,AG87),W87)</f>
        <v>0.949445000792864</v>
      </c>
      <c r="AI87" s="48" t="n">
        <f aca="false">IF(AC87,MIN(W87,AG87),-1)</f>
        <v>-1</v>
      </c>
      <c r="AJ87" s="45" t="n">
        <f aca="false">AH87-1-LN(AH87-F87)-E87/(2*SQRT(2)*F87)*LN((AH87+(1+SQRT(2))*F87)/(AH87+(1-SQRT(2))*F87))</f>
        <v>-0.0543813907647838</v>
      </c>
      <c r="AK87" s="45" t="n">
        <f aca="false">IF(AC87,AI87-1-LN(AI87-F87)-E87/(2*SQRT(2)*F87)*LN((AI87+(1+SQRT(2))*F87)/(AI87+(1-SQRT(2))*F87)),0)</f>
        <v>0</v>
      </c>
      <c r="AL87" s="45" t="n">
        <f aca="false">IF(AC87,AK87-AJ87,0)</f>
        <v>0</v>
      </c>
      <c r="AM87" s="45" t="n">
        <f aca="false">IF(AC87,AL87&gt;0,AH87*'EOS steps'!$D$13*'EOS steps'!$D$7/D87&gt;=$E$9)</f>
        <v>1</v>
      </c>
      <c r="AN87" s="45" t="n">
        <f aca="false">IF(AC87,IF(AH87&gt;AI87,D87*EXP(MAX(-50,MIN(50,AL87/(AH87-AI87)))),D87),IF(AM87,D87*$E$14,D87/$E$14))</f>
        <v>3670943.12752288</v>
      </c>
      <c r="AO87" s="45" t="n">
        <f aca="false">IF(AM87,D87,B87)</f>
        <v>4609963.966496</v>
      </c>
      <c r="AP87" s="45" t="n">
        <f aca="false">IF(AM87,C87,D87)</f>
        <v>4610000</v>
      </c>
      <c r="AQ87" s="46" t="n">
        <f aca="false">IF(AC87,IF(AND(AN87&gt;=AO87*(1-0.000000001),AN87&lt;=AP87*(1+0.000000001)),AN87,SQRT(AO87*AP87)),IF(AND(AO87&gt;$E$11,AP87&lt;$E$12),SQRT(AO87*AP87),IF(AND(AN87&gt;=AO87*(1-0.000000001),AN87&lt;=AP87*(1+0.000000001)),AN87,SQRT(AO87*AP87))))</f>
        <v>4609981.98321279</v>
      </c>
    </row>
    <row r="88" customFormat="false" ht="15" hidden="false" customHeight="false" outlineLevel="0" collapsed="false">
      <c r="A88" s="44" t="n">
        <v>9</v>
      </c>
      <c r="B88" s="45" t="n">
        <f aca="false">AO87</f>
        <v>4609963.966496</v>
      </c>
      <c r="C88" s="45" t="n">
        <f aca="false">AP87</f>
        <v>4610000</v>
      </c>
      <c r="D88" s="46" t="n">
        <f aca="false">AQ87</f>
        <v>4609981.98321279</v>
      </c>
      <c r="E88" s="45" t="n">
        <f aca="false">$E$7*D88/('EOS steps'!$D$13*'EOS steps'!$D$7)^2</f>
        <v>0.10039116003267</v>
      </c>
      <c r="F88" s="45" t="n">
        <f aca="false">$E$8*D88/('EOS steps'!$D$13*'EOS steps'!$D$7)</f>
        <v>0.0423586001678935</v>
      </c>
      <c r="G88" s="45" t="n">
        <f aca="false">-(1-F88)</f>
        <v>-0.957641399832107</v>
      </c>
      <c r="H88" s="45" t="n">
        <f aca="false">E88-3*F88^2-2*F88</f>
        <v>0.0102912066723322</v>
      </c>
      <c r="I88" s="45" t="n">
        <f aca="false">-(E88*F88-F88^2-F88^3)</f>
        <v>-0.00238217603897491</v>
      </c>
      <c r="J88" s="45" t="n">
        <f aca="false">H88-G88^2/3</f>
        <v>-0.2954011435518</v>
      </c>
      <c r="K88" s="45" t="n">
        <f aca="false">2*G88^3/27-G88*H88/3+I88</f>
        <v>-0.0641512253370025</v>
      </c>
      <c r="L88" s="45" t="n">
        <f aca="false">K88^2/4+J88^3/27</f>
        <v>7.41321122030994E-005</v>
      </c>
      <c r="M88" s="45" t="n">
        <f aca="false">-K88/2-IF(K88&gt;=0,1,-1)*SQRT(MAX(L88,0))</f>
        <v>0.0406856133771597</v>
      </c>
      <c r="N88" s="45" t="n">
        <f aca="false">SIGN(M88)*ABS(M88)^(1/3)</f>
        <v>0.34393810117892</v>
      </c>
      <c r="O88" s="45" t="n">
        <f aca="false">IF(N88=0,0,N88-J88/(3*N88))</f>
        <v>0.630231034451167</v>
      </c>
      <c r="P88" s="45" t="n">
        <f aca="false">2*SQRT(MAX(-J88,0)/3)</f>
        <v>0.627589189998043</v>
      </c>
      <c r="Q88" s="45" t="n">
        <f aca="false">ACOS(IF(P88=0,0,MAX(-1,MIN(1,3*K88/(J88*P88)))))</f>
        <v>0</v>
      </c>
      <c r="R88" s="45" t="n">
        <f aca="false">P88*COS(Q88/3)</f>
        <v>0.627589189998043</v>
      </c>
      <c r="S88" s="45" t="n">
        <f aca="false">IF(L88&lt;0,R88,O88)-G88/3</f>
        <v>0.949444834395203</v>
      </c>
      <c r="T88" s="45" t="n">
        <f aca="false">IFERROR((((S88+G88)*S88+H88)*S88+I88)/((3*S88+2*G88)*S88+H88),0)</f>
        <v>-1.28240324819304E-016</v>
      </c>
      <c r="U88" s="45" t="n">
        <f aca="false">IF(ABS(T88)&lt;0.1*ABS(S88),S88-T88,S88)</f>
        <v>0.949444834395203</v>
      </c>
      <c r="V88" s="45" t="n">
        <f aca="false">IFERROR((((U88+G88)*U88+H88)*U88+I88)/((3*U88+2*G88)*U88+H88),0)</f>
        <v>-1.79052528992991E-017</v>
      </c>
      <c r="W88" s="45" t="n">
        <f aca="false">IF(ABS(V88)&lt;0.1*ABS(U88),U88-V88,U88)</f>
        <v>0.949444834395203</v>
      </c>
      <c r="X88" s="45" t="n">
        <f aca="false">-I88/W88</f>
        <v>0.00250901995848169</v>
      </c>
      <c r="Y88" s="45" t="n">
        <f aca="false">(H88-X88)/W88</f>
        <v>0.00819656543690371</v>
      </c>
      <c r="Z88" s="45" t="n">
        <f aca="false">Y88^2-4*X88</f>
        <v>-0.00996889614896532</v>
      </c>
      <c r="AA88" s="47" t="n">
        <f aca="false">IF(Z88&gt;=0,(Y88+IF(Y88&gt;=0,1,-1)*SQRT(Z88))/2,0)</f>
        <v>0</v>
      </c>
      <c r="AB88" s="48" t="n">
        <f aca="false">IF(AND(Z88&gt;=0,AA88&lt;&gt;0),MIN(AA88,X88/AA88),-1)</f>
        <v>-1</v>
      </c>
      <c r="AC88" s="45" t="n">
        <f aca="false">AND(Z88&gt;=0,AB88&gt;F88,ABS(W88-AB88)&gt;=0.00005*MAX(W88,AB88))</f>
        <v>0</v>
      </c>
      <c r="AD88" s="45" t="n">
        <f aca="false">IF(AC88,IFERROR((((AB88+G88)*AB88+H88)*AB88+I88)/((3*AB88+2*G88)*AB88+H88),0),0)</f>
        <v>0</v>
      </c>
      <c r="AE88" s="48" t="n">
        <f aca="false">IF(ABS(AD88)&lt;0.1*ABS(AB88),AB88-AD88,AB88)</f>
        <v>-1</v>
      </c>
      <c r="AF88" s="45" t="n">
        <f aca="false">IF(AC88,IFERROR((((AE88+G88)*AE88+H88)*AE88+I88)/((3*AE88+2*G88)*AE88+H88),0),0)</f>
        <v>0</v>
      </c>
      <c r="AG88" s="48" t="n">
        <f aca="false">IF(ABS(AF88)&lt;0.1*ABS(AE88),AE88-AF88,AE88)</f>
        <v>-1</v>
      </c>
      <c r="AH88" s="45" t="n">
        <f aca="false">IF(AC88,MAX(W88,AG88),W88)</f>
        <v>0.949444834395203</v>
      </c>
      <c r="AI88" s="48" t="n">
        <f aca="false">IF(AC88,MIN(W88,AG88),-1)</f>
        <v>-1</v>
      </c>
      <c r="AJ88" s="45" t="n">
        <f aca="false">AH88-1-LN(AH88-F88)-E88/(2*SQRT(2)*F88)*LN((AH88+(1+SQRT(2))*F88)/(AH88+(1-SQRT(2))*F88))</f>
        <v>-0.0543815883443807</v>
      </c>
      <c r="AK88" s="45" t="n">
        <f aca="false">IF(AC88,AI88-1-LN(AI88-F88)-E88/(2*SQRT(2)*F88)*LN((AI88+(1+SQRT(2))*F88)/(AI88+(1-SQRT(2))*F88)),0)</f>
        <v>0</v>
      </c>
      <c r="AL88" s="45" t="n">
        <f aca="false">IF(AC88,AK88-AJ88,0)</f>
        <v>0</v>
      </c>
      <c r="AM88" s="45" t="n">
        <f aca="false">IF(AC88,AL88&gt;0,AH88*'EOS steps'!$D$13*'EOS steps'!$D$7/D88&gt;=$E$9)</f>
        <v>1</v>
      </c>
      <c r="AN88" s="45" t="n">
        <f aca="false">IF(AC88,IF(AH88&gt;AI88,D88*EXP(MAX(-50,MIN(50,AL88/(AH88-AI88)))),D88),IF(AM88,D88*$E$14,D88/$E$14))</f>
        <v>3670957.47434711</v>
      </c>
      <c r="AO88" s="45" t="n">
        <f aca="false">IF(AM88,D88,B88)</f>
        <v>4609981.98321279</v>
      </c>
      <c r="AP88" s="45" t="n">
        <f aca="false">IF(AM88,C88,D88)</f>
        <v>4610000</v>
      </c>
      <c r="AQ88" s="46" t="n">
        <f aca="false">IF(AC88,IF(AND(AN88&gt;=AO88*(1-0.000000001),AN88&lt;=AP88*(1+0.000000001)),AN88,SQRT(AO88*AP88)),IF(AND(AO88&gt;$E$11,AP88&lt;$E$12),SQRT(AO88*AP88),IF(AND(AN88&gt;=AO88*(1-0.000000001),AN88&lt;=AP88*(1+0.000000001)),AN88,SQRT(AO88*AP88))))</f>
        <v>4609990.9915976</v>
      </c>
    </row>
    <row r="89" customFormat="false" ht="15" hidden="false" customHeight="false" outlineLevel="0" collapsed="false">
      <c r="A89" s="44" t="n">
        <v>10</v>
      </c>
      <c r="B89" s="45" t="n">
        <f aca="false">AO88</f>
        <v>4609981.98321279</v>
      </c>
      <c r="C89" s="45" t="n">
        <f aca="false">AP88</f>
        <v>4610000</v>
      </c>
      <c r="D89" s="46" t="n">
        <f aca="false">AQ88</f>
        <v>4609990.9915976</v>
      </c>
      <c r="E89" s="45" t="n">
        <f aca="false">$E$7*D89/('EOS steps'!$D$13*'EOS steps'!$D$7)^2</f>
        <v>0.100391356207449</v>
      </c>
      <c r="F89" s="45" t="n">
        <f aca="false">$E$8*D89/('EOS steps'!$D$13*'EOS steps'!$D$7)</f>
        <v>0.0423586829410087</v>
      </c>
      <c r="G89" s="45" t="n">
        <f aca="false">-(1-F89)</f>
        <v>-0.957641317058991</v>
      </c>
      <c r="H89" s="45" t="n">
        <f aca="false">E89-3*F89^2-2*F89</f>
        <v>0.0102912162639411</v>
      </c>
      <c r="I89" s="45" t="n">
        <f aca="false">-(E89*F89-F89^2-F89^3)</f>
        <v>-0.00238218520050772</v>
      </c>
      <c r="J89" s="45" t="n">
        <f aca="false">H89-G89^2/3</f>
        <v>-0.295401081115552</v>
      </c>
      <c r="K89" s="45" t="n">
        <f aca="false">2*G89^3/27-G89*H89/3+I89</f>
        <v>-0.0641512148519694</v>
      </c>
      <c r="L89" s="45" t="n">
        <f aca="false">K89^2/4+J89^3/27</f>
        <v>7.41323812559836E-005</v>
      </c>
      <c r="M89" s="45" t="n">
        <f aca="false">-K89/2-IF(K89&gt;=0,1,-1)*SQRT(MAX(L89,0))</f>
        <v>0.0406856237590693</v>
      </c>
      <c r="N89" s="45" t="n">
        <f aca="false">SIGN(M89)*ABS(M89)^(1/3)</f>
        <v>0.343938130433601</v>
      </c>
      <c r="O89" s="45" t="n">
        <f aca="false">IF(N89=0,0,N89-J89/(3*N89))</f>
        <v>0.630230978843228</v>
      </c>
      <c r="P89" s="45" t="n">
        <f aca="false">2*SQRT(MAX(-J89,0)/3)</f>
        <v>0.627589123674136</v>
      </c>
      <c r="Q89" s="45" t="n">
        <f aca="false">ACOS(IF(P89=0,0,MAX(-1,MIN(1,3*K89/(J89*P89)))))</f>
        <v>0</v>
      </c>
      <c r="R89" s="45" t="n">
        <f aca="false">P89*COS(Q89/3)</f>
        <v>0.627589123674136</v>
      </c>
      <c r="S89" s="45" t="n">
        <f aca="false">IF(L89&lt;0,R89,O89)-G89/3</f>
        <v>0.949444751196225</v>
      </c>
      <c r="T89" s="45" t="n">
        <f aca="false">IFERROR((((S89+G89)*S89+H89)*S89+I89)/((3*S89+2*G89)*S89+H89),0)</f>
        <v>-5.46836192269588E-017</v>
      </c>
      <c r="U89" s="45" t="n">
        <f aca="false">IF(ABS(T89)&lt;0.1*ABS(S89),S89-T89,S89)</f>
        <v>0.949444751196225</v>
      </c>
      <c r="V89" s="45" t="n">
        <f aca="false">IFERROR((((U89+G89)*U89+H89)*U89+I89)/((3*U89+2*G89)*U89+H89),0)</f>
        <v>-5.46836192269588E-017</v>
      </c>
      <c r="W89" s="45" t="n">
        <f aca="false">IF(ABS(V89)&lt;0.1*ABS(U89),U89-V89,U89)</f>
        <v>0.949444751196225</v>
      </c>
      <c r="X89" s="45" t="n">
        <f aca="false">-I89/W89</f>
        <v>0.00250902982770335</v>
      </c>
      <c r="Y89" s="45" t="n">
        <f aca="false">(H89-X89)/W89</f>
        <v>0.00819656586276646</v>
      </c>
      <c r="Z89" s="45" t="n">
        <f aca="false">Y89^2-4*X89</f>
        <v>-0.00996893561887075</v>
      </c>
      <c r="AA89" s="47" t="n">
        <f aca="false">IF(Z89&gt;=0,(Y89+IF(Y89&gt;=0,1,-1)*SQRT(Z89))/2,0)</f>
        <v>0</v>
      </c>
      <c r="AB89" s="48" t="n">
        <f aca="false">IF(AND(Z89&gt;=0,AA89&lt;&gt;0),MIN(AA89,X89/AA89),-1)</f>
        <v>-1</v>
      </c>
      <c r="AC89" s="45" t="n">
        <f aca="false">AND(Z89&gt;=0,AB89&gt;F89,ABS(W89-AB89)&gt;=0.00005*MAX(W89,AB89))</f>
        <v>0</v>
      </c>
      <c r="AD89" s="45" t="n">
        <f aca="false">IF(AC89,IFERROR((((AB89+G89)*AB89+H89)*AB89+I89)/((3*AB89+2*G89)*AB89+H89),0),0)</f>
        <v>0</v>
      </c>
      <c r="AE89" s="48" t="n">
        <f aca="false">IF(ABS(AD89)&lt;0.1*ABS(AB89),AB89-AD89,AB89)</f>
        <v>-1</v>
      </c>
      <c r="AF89" s="45" t="n">
        <f aca="false">IF(AC89,IFERROR((((AE89+G89)*AE89+H89)*AE89+I89)/((3*AE89+2*G89)*AE89+H89),0),0)</f>
        <v>0</v>
      </c>
      <c r="AG89" s="48" t="n">
        <f aca="false">IF(ABS(AF89)&lt;0.1*ABS(AE89),AE89-AF89,AE89)</f>
        <v>-1</v>
      </c>
      <c r="AH89" s="45" t="n">
        <f aca="false">IF(AC89,MAX(W89,AG89),W89)</f>
        <v>0.949444751196225</v>
      </c>
      <c r="AI89" s="48" t="n">
        <f aca="false">IF(AC89,MIN(W89,AG89),-1)</f>
        <v>-1</v>
      </c>
      <c r="AJ89" s="45" t="n">
        <f aca="false">AH89-1-LN(AH89-F89)-E89/(2*SQRT(2)*F89)*LN((AH89+(1+SQRT(2))*F89)/(AH89+(1-SQRT(2))*F89))</f>
        <v>-0.0543816871344229</v>
      </c>
      <c r="AK89" s="45" t="n">
        <f aca="false">IF(AC89,AI89-1-LN(AI89-F89)-E89/(2*SQRT(2)*F89)*LN((AI89+(1+SQRT(2))*F89)/(AI89+(1-SQRT(2))*F89)),0)</f>
        <v>0</v>
      </c>
      <c r="AL89" s="45" t="n">
        <f aca="false">IF(AC89,AK89-AJ89,0)</f>
        <v>0</v>
      </c>
      <c r="AM89" s="45" t="n">
        <f aca="false">IF(AC89,AL89&gt;0,AH89*'EOS steps'!$D$13*'EOS steps'!$D$7/D89&gt;=$E$9)</f>
        <v>1</v>
      </c>
      <c r="AN89" s="45" t="n">
        <f aca="false">IF(AC89,IF(AH89&gt;AI89,D89*EXP(MAX(-50,MIN(50,AL89/(AH89-AI89)))),D89),IF(AM89,D89*$E$14,D89/$E$14))</f>
        <v>3670964.64778024</v>
      </c>
      <c r="AO89" s="45" t="n">
        <f aca="false">IF(AM89,D89,B89)</f>
        <v>4609990.9915976</v>
      </c>
      <c r="AP89" s="45" t="n">
        <f aca="false">IF(AM89,C89,D89)</f>
        <v>4610000</v>
      </c>
      <c r="AQ89" s="46" t="n">
        <f aca="false">IF(AC89,IF(AND(AN89&gt;=AO89*(1-0.000000001),AN89&lt;=AP89*(1+0.000000001)),AN89,SQRT(AO89*AP89)),IF(AND(AO89&gt;$E$11,AP89&lt;$E$12),SQRT(AO89*AP89),IF(AND(AN89&gt;=AO89*(1-0.000000001),AN89&lt;=AP89*(1+0.000000001)),AN89,SQRT(AO89*AP89))))</f>
        <v>4609995.4957966</v>
      </c>
    </row>
    <row r="90" customFormat="false" ht="15" hidden="false" customHeight="false" outlineLevel="0" collapsed="false">
      <c r="A90" s="44" t="n">
        <v>11</v>
      </c>
      <c r="B90" s="45" t="n">
        <f aca="false">AO89</f>
        <v>4609990.9915976</v>
      </c>
      <c r="C90" s="45" t="n">
        <f aca="false">AP89</f>
        <v>4610000</v>
      </c>
      <c r="D90" s="46" t="n">
        <f aca="false">AQ89</f>
        <v>4609995.4957966</v>
      </c>
      <c r="E90" s="45" t="n">
        <f aca="false">$E$7*D90/('EOS steps'!$D$13*'EOS steps'!$D$7)^2</f>
        <v>0.100391454294983</v>
      </c>
      <c r="F90" s="45" t="n">
        <f aca="false">$E$8*D90/('EOS steps'!$D$13*'EOS steps'!$D$7)</f>
        <v>0.042358724327627</v>
      </c>
      <c r="G90" s="45" t="n">
        <f aca="false">-(1-F90)</f>
        <v>-0.957641275672373</v>
      </c>
      <c r="H90" s="45" t="n">
        <f aca="false">E90-3*F90^2-2*F90</f>
        <v>0.0102912210597372</v>
      </c>
      <c r="I90" s="45" t="n">
        <f aca="false">-(E90*F90-F90^2-F90^3)</f>
        <v>-0.00238218978128722</v>
      </c>
      <c r="J90" s="45" t="n">
        <f aca="false">H90-G90^2/3</f>
        <v>-0.295401049897399</v>
      </c>
      <c r="K90" s="45" t="n">
        <f aca="false">2*G90^3/27-G90*H90/3+I90</f>
        <v>-0.0641512096094578</v>
      </c>
      <c r="L90" s="45" t="n">
        <f aca="false">K90^2/4+J90^3/27</f>
        <v>7.41325157827861E-005</v>
      </c>
      <c r="M90" s="45" t="n">
        <f aca="false">-K90/2-IF(K90&gt;=0,1,-1)*SQRT(MAX(L90,0))</f>
        <v>0.0406856289500368</v>
      </c>
      <c r="N90" s="45" t="n">
        <f aca="false">SIGN(M90)*ABS(M90)^(1/3)</f>
        <v>0.343938145060976</v>
      </c>
      <c r="O90" s="45" t="n">
        <f aca="false">IF(N90=0,0,N90-J90/(3*N90))</f>
        <v>0.630230951039241</v>
      </c>
      <c r="P90" s="45" t="n">
        <f aca="false">2*SQRT(MAX(-J90,0)/3)</f>
        <v>0.627589090512149</v>
      </c>
      <c r="Q90" s="45" t="n">
        <f aca="false">ACOS(IF(P90=0,0,MAX(-1,MIN(1,3*K90/(J90*P90)))))</f>
        <v>0</v>
      </c>
      <c r="R90" s="45" t="n">
        <f aca="false">P90*COS(Q90/3)</f>
        <v>0.627589090512149</v>
      </c>
      <c r="S90" s="45" t="n">
        <f aca="false">IF(L90&lt;0,R90,O90)-G90/3</f>
        <v>0.949444709596699</v>
      </c>
      <c r="T90" s="45" t="n">
        <f aca="false">IFERROR((((S90+G90)*S90+H90)*S90+I90)/((3*S90+2*G90)*S90+H90),0)</f>
        <v>1.48081317377539E-016</v>
      </c>
      <c r="U90" s="45" t="n">
        <f aca="false">IF(ABS(T90)&lt;0.1*ABS(S90),S90-T90,S90)</f>
        <v>0.949444709596699</v>
      </c>
      <c r="V90" s="45" t="n">
        <f aca="false">IFERROR((((U90+G90)*U90+H90)*U90+I90)/((3*U90+2*G90)*U90+H90),0)</f>
        <v>3.72622922812761E-017</v>
      </c>
      <c r="W90" s="45" t="n">
        <f aca="false">IF(ABS(V90)&lt;0.1*ABS(U90),U90-V90,U90)</f>
        <v>0.949444709596699</v>
      </c>
      <c r="X90" s="45" t="n">
        <f aca="false">-I90/W90</f>
        <v>0.00250903476232873</v>
      </c>
      <c r="Y90" s="45" t="n">
        <f aca="false">(H90-X90)/W90</f>
        <v>0.00819656607567402</v>
      </c>
      <c r="Z90" s="45" t="n">
        <f aca="false">Y90^2-4*X90</f>
        <v>-0.00996895535388203</v>
      </c>
      <c r="AA90" s="47" t="n">
        <f aca="false">IF(Z90&gt;=0,(Y90+IF(Y90&gt;=0,1,-1)*SQRT(Z90))/2,0)</f>
        <v>0</v>
      </c>
      <c r="AB90" s="48" t="n">
        <f aca="false">IF(AND(Z90&gt;=0,AA90&lt;&gt;0),MIN(AA90,X90/AA90),-1)</f>
        <v>-1</v>
      </c>
      <c r="AC90" s="45" t="n">
        <f aca="false">AND(Z90&gt;=0,AB90&gt;F90,ABS(W90-AB90)&gt;=0.00005*MAX(W90,AB90))</f>
        <v>0</v>
      </c>
      <c r="AD90" s="45" t="n">
        <f aca="false">IF(AC90,IFERROR((((AB90+G90)*AB90+H90)*AB90+I90)/((3*AB90+2*G90)*AB90+H90),0),0)</f>
        <v>0</v>
      </c>
      <c r="AE90" s="48" t="n">
        <f aca="false">IF(ABS(AD90)&lt;0.1*ABS(AB90),AB90-AD90,AB90)</f>
        <v>-1</v>
      </c>
      <c r="AF90" s="45" t="n">
        <f aca="false">IF(AC90,IFERROR((((AE90+G90)*AE90+H90)*AE90+I90)/((3*AE90+2*G90)*AE90+H90),0),0)</f>
        <v>0</v>
      </c>
      <c r="AG90" s="48" t="n">
        <f aca="false">IF(ABS(AF90)&lt;0.1*ABS(AE90),AE90-AF90,AE90)</f>
        <v>-1</v>
      </c>
      <c r="AH90" s="45" t="n">
        <f aca="false">IF(AC90,MAX(W90,AG90),W90)</f>
        <v>0.949444709596699</v>
      </c>
      <c r="AI90" s="48" t="n">
        <f aca="false">IF(AC90,MIN(W90,AG90),-1)</f>
        <v>-1</v>
      </c>
      <c r="AJ90" s="45" t="n">
        <f aca="false">AH90-1-LN(AH90-F90)-E90/(2*SQRT(2)*F90)*LN((AH90+(1+SQRT(2))*F90)/(AH90+(1-SQRT(2))*F90))</f>
        <v>-0.0543817365295052</v>
      </c>
      <c r="AK90" s="45" t="n">
        <f aca="false">IF(AC90,AI90-1-LN(AI90-F90)-E90/(2*SQRT(2)*F90)*LN((AI90+(1+SQRT(2))*F90)/(AI90+(1-SQRT(2))*F90)),0)</f>
        <v>0</v>
      </c>
      <c r="AL90" s="45" t="n">
        <f aca="false">IF(AC90,AK90-AJ90,0)</f>
        <v>0</v>
      </c>
      <c r="AM90" s="45" t="n">
        <f aca="false">IF(AC90,AL90&gt;0,AH90*'EOS steps'!$D$13*'EOS steps'!$D$7/D90&gt;=$E$9)</f>
        <v>1</v>
      </c>
      <c r="AN90" s="45" t="n">
        <f aca="false">IF(AC90,IF(AH90&gt;AI90,D90*EXP(MAX(-50,MIN(50,AL90/(AH90-AI90)))),D90),IF(AM90,D90*$E$14,D90/$E$14))</f>
        <v>3670968.23450207</v>
      </c>
      <c r="AO90" s="45" t="n">
        <f aca="false">IF(AM90,D90,B90)</f>
        <v>4609995.4957966</v>
      </c>
      <c r="AP90" s="45" t="n">
        <f aca="false">IF(AM90,C90,D90)</f>
        <v>4610000</v>
      </c>
      <c r="AQ90" s="46" t="n">
        <f aca="false">IF(AC90,IF(AND(AN90&gt;=AO90*(1-0.000000001),AN90&lt;=AP90*(1+0.000000001)),AN90,SQRT(AO90*AP90)),IF(AND(AO90&gt;$E$11,AP90&lt;$E$12),SQRT(AO90*AP90),IF(AND(AN90&gt;=AO90*(1-0.000000001),AN90&lt;=AP90*(1+0.000000001)),AN90,SQRT(AO90*AP90))))</f>
        <v>4609997.74789775</v>
      </c>
    </row>
    <row r="91" customFormat="false" ht="15" hidden="false" customHeight="false" outlineLevel="0" collapsed="false">
      <c r="A91" s="44" t="n">
        <v>12</v>
      </c>
      <c r="B91" s="45" t="n">
        <f aca="false">AO90</f>
        <v>4609995.4957966</v>
      </c>
      <c r="C91" s="45" t="n">
        <f aca="false">AP90</f>
        <v>4610000</v>
      </c>
      <c r="D91" s="46" t="n">
        <f aca="false">AQ90</f>
        <v>4609997.74789775</v>
      </c>
      <c r="E91" s="45" t="n">
        <f aca="false">$E$7*D91/('EOS steps'!$D$13*'EOS steps'!$D$7)^2</f>
        <v>0.100391503338786</v>
      </c>
      <c r="F91" s="45" t="n">
        <f aca="false">$E$8*D91/('EOS steps'!$D$13*'EOS steps'!$D$7)</f>
        <v>0.0423587450209513</v>
      </c>
      <c r="G91" s="45" t="n">
        <f aca="false">-(1-F91)</f>
        <v>-0.957641254979049</v>
      </c>
      <c r="H91" s="45" t="n">
        <f aca="false">E91-3*F91^2-2*F91</f>
        <v>0.0102912234576332</v>
      </c>
      <c r="I91" s="45" t="n">
        <f aca="false">-(E91*F91-F91^2-F91^3)</f>
        <v>-0.00238219207168025</v>
      </c>
      <c r="J91" s="45" t="n">
        <f aca="false">H91-G91^2/3</f>
        <v>-0.295401034288316</v>
      </c>
      <c r="K91" s="45" t="n">
        <f aca="false">2*G91^3/27-G91*H91/3+I91</f>
        <v>-0.0641512069882032</v>
      </c>
      <c r="L91" s="45" t="n">
        <f aca="false">K91^2/4+J91^3/27</f>
        <v>7.41325830462771E-005</v>
      </c>
      <c r="M91" s="45" t="n">
        <f aca="false">-K91/2-IF(K91&gt;=0,1,-1)*SQRT(MAX(L91,0))</f>
        <v>0.0406856315455238</v>
      </c>
      <c r="N91" s="45" t="n">
        <f aca="false">SIGN(M91)*ABS(M91)^(1/3)</f>
        <v>0.343938152374672</v>
      </c>
      <c r="O91" s="45" t="n">
        <f aca="false">IF(N91=0,0,N91-J91/(3*N91))</f>
        <v>0.630230937137244</v>
      </c>
      <c r="P91" s="45" t="n">
        <f aca="false">2*SQRT(MAX(-J91,0)/3)</f>
        <v>0.627589073931147</v>
      </c>
      <c r="Q91" s="45" t="n">
        <f aca="false">ACOS(IF(P91=0,0,MAX(-1,MIN(1,3*K91/(J91*P91)))))</f>
        <v>0</v>
      </c>
      <c r="R91" s="45" t="n">
        <f aca="false">P91*COS(Q91/3)</f>
        <v>0.627589073931147</v>
      </c>
      <c r="S91" s="45" t="n">
        <f aca="false">IF(L91&lt;0,R91,O91)-G91/3</f>
        <v>0.949444688796927</v>
      </c>
      <c r="T91" s="45" t="n">
        <f aca="false">IFERROR((((S91+G91)*S91+H91)*S91+I91)/((3*S91+2*G91)*S91+H91),0)</f>
        <v>2.3228442899557E-017</v>
      </c>
      <c r="U91" s="45" t="n">
        <f aca="false">IF(ABS(T91)&lt;0.1*ABS(S91),S91-T91,S91)</f>
        <v>0.949444688796927</v>
      </c>
      <c r="V91" s="45" t="n">
        <f aca="false">IFERROR((((U91+G91)*U91+H91)*U91+I91)/((3*U91+2*G91)*U91+H91),0)</f>
        <v>2.3228442899557E-017</v>
      </c>
      <c r="W91" s="45" t="n">
        <f aca="false">IF(ABS(V91)&lt;0.1*ABS(U91),U91-V91,U91)</f>
        <v>0.949444688796927</v>
      </c>
      <c r="X91" s="45" t="n">
        <f aca="false">-I91/W91</f>
        <v>0.00250903722964505</v>
      </c>
      <c r="Y91" s="45" t="n">
        <f aca="false">(H91-X91)/W91</f>
        <v>0.00819656618212186</v>
      </c>
      <c r="Z91" s="45" t="n">
        <f aca="false">Y91^2-4*X91</f>
        <v>-0.00996896522140231</v>
      </c>
      <c r="AA91" s="47" t="n">
        <f aca="false">IF(Z91&gt;=0,(Y91+IF(Y91&gt;=0,1,-1)*SQRT(Z91))/2,0)</f>
        <v>0</v>
      </c>
      <c r="AB91" s="48" t="n">
        <f aca="false">IF(AND(Z91&gt;=0,AA91&lt;&gt;0),MIN(AA91,X91/AA91),-1)</f>
        <v>-1</v>
      </c>
      <c r="AC91" s="45" t="n">
        <f aca="false">AND(Z91&gt;=0,AB91&gt;F91,ABS(W91-AB91)&gt;=0.00005*MAX(W91,AB91))</f>
        <v>0</v>
      </c>
      <c r="AD91" s="45" t="n">
        <f aca="false">IF(AC91,IFERROR((((AB91+G91)*AB91+H91)*AB91+I91)/((3*AB91+2*G91)*AB91+H91),0),0)</f>
        <v>0</v>
      </c>
      <c r="AE91" s="48" t="n">
        <f aca="false">IF(ABS(AD91)&lt;0.1*ABS(AB91),AB91-AD91,AB91)</f>
        <v>-1</v>
      </c>
      <c r="AF91" s="45" t="n">
        <f aca="false">IF(AC91,IFERROR((((AE91+G91)*AE91+H91)*AE91+I91)/((3*AE91+2*G91)*AE91+H91),0),0)</f>
        <v>0</v>
      </c>
      <c r="AG91" s="48" t="n">
        <f aca="false">IF(ABS(AF91)&lt;0.1*ABS(AE91),AE91-AF91,AE91)</f>
        <v>-1</v>
      </c>
      <c r="AH91" s="45" t="n">
        <f aca="false">IF(AC91,MAX(W91,AG91),W91)</f>
        <v>0.949444688796927</v>
      </c>
      <c r="AI91" s="48" t="n">
        <f aca="false">IF(AC91,MIN(W91,AG91),-1)</f>
        <v>-1</v>
      </c>
      <c r="AJ91" s="45" t="n">
        <f aca="false">AH91-1-LN(AH91-F91)-E91/(2*SQRT(2)*F91)*LN((AH91+(1+SQRT(2))*F91)/(AH91+(1-SQRT(2))*F91))</f>
        <v>-0.0543817612270614</v>
      </c>
      <c r="AK91" s="45" t="n">
        <f aca="false">IF(AC91,AI91-1-LN(AI91-F91)-E91/(2*SQRT(2)*F91)*LN((AI91+(1+SQRT(2))*F91)/(AI91+(1-SQRT(2))*F91)),0)</f>
        <v>0</v>
      </c>
      <c r="AL91" s="45" t="n">
        <f aca="false">IF(AC91,AK91-AJ91,0)</f>
        <v>0</v>
      </c>
      <c r="AM91" s="45" t="n">
        <f aca="false">IF(AC91,AL91&gt;0,AH91*'EOS steps'!$D$13*'EOS steps'!$D$7/D91&gt;=$E$9)</f>
        <v>1</v>
      </c>
      <c r="AN91" s="45" t="n">
        <f aca="false">IF(AC91,IF(AH91&gt;AI91,D91*EXP(MAX(-50,MIN(50,AL91/(AH91-AI91)))),D91),IF(AM91,D91*$E$14,D91/$E$14))</f>
        <v>3670970.02786429</v>
      </c>
      <c r="AO91" s="45" t="n">
        <f aca="false">IF(AM91,D91,B91)</f>
        <v>4609997.74789775</v>
      </c>
      <c r="AP91" s="45" t="n">
        <f aca="false">IF(AM91,C91,D91)</f>
        <v>4610000</v>
      </c>
      <c r="AQ91" s="46" t="n">
        <f aca="false">IF(AC91,IF(AND(AN91&gt;=AO91*(1-0.000000001),AN91&lt;=AP91*(1+0.000000001)),AN91,SQRT(AO91*AP91)),IF(AND(AO91&gt;$E$11,AP91&lt;$E$12),SQRT(AO91*AP91),IF(AND(AN91&gt;=AO91*(1-0.000000001),AN91&lt;=AP91*(1+0.000000001)),AN91,SQRT(AO91*AP91))))</f>
        <v>4609998.87394874</v>
      </c>
    </row>
    <row r="92" customFormat="false" ht="15" hidden="false" customHeight="false" outlineLevel="0" collapsed="false">
      <c r="A92" s="44" t="n">
        <v>13</v>
      </c>
      <c r="B92" s="45" t="n">
        <f aca="false">AO91</f>
        <v>4609997.74789775</v>
      </c>
      <c r="C92" s="45" t="n">
        <f aca="false">AP91</f>
        <v>4610000</v>
      </c>
      <c r="D92" s="46" t="n">
        <f aca="false">AQ91</f>
        <v>4609998.87394874</v>
      </c>
      <c r="E92" s="45" t="n">
        <f aca="false">$E$7*D92/('EOS steps'!$D$13*'EOS steps'!$D$7)^2</f>
        <v>0.100391527860696</v>
      </c>
      <c r="F92" s="45" t="n">
        <f aca="false">$E$8*D92/('EOS steps'!$D$13*'EOS steps'!$D$7)</f>
        <v>0.0423587553676172</v>
      </c>
      <c r="G92" s="45" t="n">
        <f aca="false">-(1-F92)</f>
        <v>-0.957641244632383</v>
      </c>
      <c r="H92" s="45" t="n">
        <f aca="false">E92-3*F92^2-2*F92</f>
        <v>0.0102912246565806</v>
      </c>
      <c r="I92" s="45" t="n">
        <f aca="false">-(E92*F92-F92^2-F92^3)</f>
        <v>-0.00238219321687758</v>
      </c>
      <c r="J92" s="45" t="n">
        <f aca="false">H92-G92^2/3</f>
        <v>-0.295401026483773</v>
      </c>
      <c r="K92" s="45" t="n">
        <f aca="false">2*G92^3/27-G92*H92/3+I92</f>
        <v>-0.0641512056775762</v>
      </c>
      <c r="L92" s="45" t="n">
        <f aca="false">K92^2/4+J92^3/27</f>
        <v>7.41326166780451E-005</v>
      </c>
      <c r="M92" s="45" t="n">
        <f aca="false">-K92/2-IF(K92&gt;=0,1,-1)*SQRT(MAX(L92,0))</f>
        <v>0.040685632843268</v>
      </c>
      <c r="N92" s="45" t="n">
        <f aca="false">SIGN(M92)*ABS(M92)^(1/3)</f>
        <v>0.343938156031522</v>
      </c>
      <c r="O92" s="45" t="n">
        <f aca="false">IF(N92=0,0,N92-J92/(3*N92))</f>
        <v>0.630230930186244</v>
      </c>
      <c r="P92" s="45" t="n">
        <f aca="false">2*SQRT(MAX(-J92,0)/3)</f>
        <v>0.627589065640644</v>
      </c>
      <c r="Q92" s="45" t="n">
        <f aca="false">ACOS(IF(P92=0,0,MAX(-1,MIN(1,3*K92/(J92*P92)))))</f>
        <v>0</v>
      </c>
      <c r="R92" s="45" t="n">
        <f aca="false">P92*COS(Q92/3)</f>
        <v>0.627589065640644</v>
      </c>
      <c r="S92" s="45" t="n">
        <f aca="false">IF(L92&lt;0,R92,O92)-G92/3</f>
        <v>0.949444678397039</v>
      </c>
      <c r="T92" s="45" t="n">
        <f aca="false">IFERROR((((S92+G92)*S92+H92)*S92+I92)/((3*S92+2*G92)*S92+H92),0)</f>
        <v>1.88731102450704E-017</v>
      </c>
      <c r="U92" s="45" t="n">
        <f aca="false">IF(ABS(T92)&lt;0.1*ABS(S92),S92-T92,S92)</f>
        <v>0.949444678397039</v>
      </c>
      <c r="V92" s="45" t="n">
        <f aca="false">IFERROR((((U92+G92)*U92+H92)*U92+I92)/((3*U92+2*G92)*U92+H92),0)</f>
        <v>1.88731102450704E-017</v>
      </c>
      <c r="W92" s="45" t="n">
        <f aca="false">IF(ABS(V92)&lt;0.1*ABS(U92),U92-V92,U92)</f>
        <v>0.949444678397039</v>
      </c>
      <c r="X92" s="45" t="n">
        <f aca="false">-I92/W92</f>
        <v>0.00250903846330412</v>
      </c>
      <c r="Y92" s="45" t="n">
        <f aca="false">(H92-X92)/W92</f>
        <v>0.00819656623534428</v>
      </c>
      <c r="Z92" s="45" t="n">
        <f aca="false">Y92^2-4*X92</f>
        <v>-0.00996897015516611</v>
      </c>
      <c r="AA92" s="47" t="n">
        <f aca="false">IF(Z92&gt;=0,(Y92+IF(Y92&gt;=0,1,-1)*SQRT(Z92))/2,0)</f>
        <v>0</v>
      </c>
      <c r="AB92" s="48" t="n">
        <f aca="false">IF(AND(Z92&gt;=0,AA92&lt;&gt;0),MIN(AA92,X92/AA92),-1)</f>
        <v>-1</v>
      </c>
      <c r="AC92" s="45" t="n">
        <f aca="false">AND(Z92&gt;=0,AB92&gt;F92,ABS(W92-AB92)&gt;=0.00005*MAX(W92,AB92))</f>
        <v>0</v>
      </c>
      <c r="AD92" s="45" t="n">
        <f aca="false">IF(AC92,IFERROR((((AB92+G92)*AB92+H92)*AB92+I92)/((3*AB92+2*G92)*AB92+H92),0),0)</f>
        <v>0</v>
      </c>
      <c r="AE92" s="48" t="n">
        <f aca="false">IF(ABS(AD92)&lt;0.1*ABS(AB92),AB92-AD92,AB92)</f>
        <v>-1</v>
      </c>
      <c r="AF92" s="45" t="n">
        <f aca="false">IF(AC92,IFERROR((((AE92+G92)*AE92+H92)*AE92+I92)/((3*AE92+2*G92)*AE92+H92),0),0)</f>
        <v>0</v>
      </c>
      <c r="AG92" s="48" t="n">
        <f aca="false">IF(ABS(AF92)&lt;0.1*ABS(AE92),AE92-AF92,AE92)</f>
        <v>-1</v>
      </c>
      <c r="AH92" s="45" t="n">
        <f aca="false">IF(AC92,MAX(W92,AG92),W92)</f>
        <v>0.949444678397039</v>
      </c>
      <c r="AI92" s="48" t="n">
        <f aca="false">IF(AC92,MIN(W92,AG92),-1)</f>
        <v>-1</v>
      </c>
      <c r="AJ92" s="45" t="n">
        <f aca="false">AH92-1-LN(AH92-F92)-E92/(2*SQRT(2)*F92)*LN((AH92+(1+SQRT(2))*F92)/(AH92+(1-SQRT(2))*F92))</f>
        <v>-0.0543817735758435</v>
      </c>
      <c r="AK92" s="45" t="n">
        <f aca="false">IF(AC92,AI92-1-LN(AI92-F92)-E92/(2*SQRT(2)*F92)*LN((AI92+(1+SQRT(2))*F92)/(AI92+(1-SQRT(2))*F92)),0)</f>
        <v>0</v>
      </c>
      <c r="AL92" s="45" t="n">
        <f aca="false">IF(AC92,AK92-AJ92,0)</f>
        <v>0</v>
      </c>
      <c r="AM92" s="45" t="n">
        <f aca="false">IF(AC92,AL92&gt;0,AH92*'EOS steps'!$D$13*'EOS steps'!$D$7/D92&gt;=$E$9)</f>
        <v>1</v>
      </c>
      <c r="AN92" s="45" t="n">
        <f aca="false">IF(AC92,IF(AH92&gt;AI92,D92*EXP(MAX(-50,MIN(50,AL92/(AH92-AI92)))),D92),IF(AM92,D92*$E$14,D92/$E$14))</f>
        <v>3670970.92454574</v>
      </c>
      <c r="AO92" s="45" t="n">
        <f aca="false">IF(AM92,D92,B92)</f>
        <v>4609998.87394874</v>
      </c>
      <c r="AP92" s="45" t="n">
        <f aca="false">IF(AM92,C92,D92)</f>
        <v>4610000</v>
      </c>
      <c r="AQ92" s="46" t="n">
        <f aca="false">IF(AC92,IF(AND(AN92&gt;=AO92*(1-0.000000001),AN92&lt;=AP92*(1+0.000000001)),AN92,SQRT(AO92*AP92)),IF(AND(AO92&gt;$E$11,AP92&lt;$E$12),SQRT(AO92*AP92),IF(AND(AN92&gt;=AO92*(1-0.000000001),AN92&lt;=AP92*(1+0.000000001)),AN92,SQRT(AO92*AP92))))</f>
        <v>4609999.43697433</v>
      </c>
    </row>
    <row r="93" customFormat="false" ht="15" hidden="false" customHeight="false" outlineLevel="0" collapsed="false">
      <c r="A93" s="44" t="n">
        <v>14</v>
      </c>
      <c r="B93" s="45" t="n">
        <f aca="false">AO92</f>
        <v>4609998.87394874</v>
      </c>
      <c r="C93" s="45" t="n">
        <f aca="false">AP92</f>
        <v>4610000</v>
      </c>
      <c r="D93" s="46" t="n">
        <f aca="false">AQ92</f>
        <v>4609999.43697433</v>
      </c>
      <c r="E93" s="45" t="n">
        <f aca="false">$E$7*D93/('EOS steps'!$D$13*'EOS steps'!$D$7)^2</f>
        <v>0.100391540121653</v>
      </c>
      <c r="F93" s="45" t="n">
        <f aca="false">$E$8*D93/('EOS steps'!$D$13*'EOS steps'!$D$7)</f>
        <v>0.0423587605409512</v>
      </c>
      <c r="G93" s="45" t="n">
        <f aca="false">-(1-F93)</f>
        <v>-0.957641239459049</v>
      </c>
      <c r="H93" s="45" t="n">
        <f aca="false">E93-3*F93^2-2*F93</f>
        <v>0.0102912252560542</v>
      </c>
      <c r="I93" s="45" t="n">
        <f aca="false">-(E93*F93-F93^2-F93^3)</f>
        <v>-0.00238219378947646</v>
      </c>
      <c r="J93" s="45" t="n">
        <f aca="false">H93-G93^2/3</f>
        <v>-0.2954010225815</v>
      </c>
      <c r="K93" s="45" t="n">
        <f aca="false">2*G93^3/27-G93*H93/3+I93</f>
        <v>-0.0641512050222628</v>
      </c>
      <c r="L93" s="45" t="n">
        <f aca="false">K93^2/4+J93^3/27</f>
        <v>7.41326334939345E-005</v>
      </c>
      <c r="M93" s="45" t="n">
        <f aca="false">-K93/2-IF(K93&gt;=0,1,-1)*SQRT(MAX(L93,0))</f>
        <v>0.0406856334921404</v>
      </c>
      <c r="N93" s="45" t="n">
        <f aca="false">SIGN(M93)*ABS(M93)^(1/3)</f>
        <v>0.343938157859947</v>
      </c>
      <c r="O93" s="45" t="n">
        <f aca="false">IF(N93=0,0,N93-J93/(3*N93))</f>
        <v>0.630230926710744</v>
      </c>
      <c r="P93" s="45" t="n">
        <f aca="false">2*SQRT(MAX(-J93,0)/3)</f>
        <v>0.627589061495392</v>
      </c>
      <c r="Q93" s="45" t="n">
        <f aca="false">ACOS(IF(P93=0,0,MAX(-1,MIN(1,3*K93/(J93*P93)))))</f>
        <v>0</v>
      </c>
      <c r="R93" s="45" t="n">
        <f aca="false">P93*COS(Q93/3)</f>
        <v>0.627589061495392</v>
      </c>
      <c r="S93" s="45" t="n">
        <f aca="false">IF(L93&lt;0,R93,O93)-G93/3</f>
        <v>0.949444673197094</v>
      </c>
      <c r="T93" s="45" t="n">
        <f aca="false">IFERROR((((S93+G93)*S93+H93)*S93+I93)/((3*S93+2*G93)*S93+H93),0)</f>
        <v>5.12961463231801E-017</v>
      </c>
      <c r="U93" s="45" t="n">
        <f aca="false">IF(ABS(T93)&lt;0.1*ABS(S93),S93-T93,S93)</f>
        <v>0.949444673197094</v>
      </c>
      <c r="V93" s="45" t="n">
        <f aca="false">IFERROR((((U93+G93)*U93+H93)*U93+I93)/((3*U93+2*G93)*U93+H93),0)</f>
        <v>5.12961463231801E-017</v>
      </c>
      <c r="W93" s="45" t="n">
        <f aca="false">IF(ABS(V93)&lt;0.1*ABS(U93),U93-V93,U93)</f>
        <v>0.949444673197094</v>
      </c>
      <c r="X93" s="45" t="n">
        <f aca="false">-I93/W93</f>
        <v>0.00250903908013389</v>
      </c>
      <c r="Y93" s="45" t="n">
        <f aca="false">(H93-X93)/W93</f>
        <v>0.00819656626195514</v>
      </c>
      <c r="Z93" s="45" t="n">
        <f aca="false">Y93^2-4*X93</f>
        <v>-0.00996897262204893</v>
      </c>
      <c r="AA93" s="47" t="n">
        <f aca="false">IF(Z93&gt;=0,(Y93+IF(Y93&gt;=0,1,-1)*SQRT(Z93))/2,0)</f>
        <v>0</v>
      </c>
      <c r="AB93" s="48" t="n">
        <f aca="false">IF(AND(Z93&gt;=0,AA93&lt;&gt;0),MIN(AA93,X93/AA93),-1)</f>
        <v>-1</v>
      </c>
      <c r="AC93" s="45" t="n">
        <f aca="false">AND(Z93&gt;=0,AB93&gt;F93,ABS(W93-AB93)&gt;=0.00005*MAX(W93,AB93))</f>
        <v>0</v>
      </c>
      <c r="AD93" s="45" t="n">
        <f aca="false">IF(AC93,IFERROR((((AB93+G93)*AB93+H93)*AB93+I93)/((3*AB93+2*G93)*AB93+H93),0),0)</f>
        <v>0</v>
      </c>
      <c r="AE93" s="48" t="n">
        <f aca="false">IF(ABS(AD93)&lt;0.1*ABS(AB93),AB93-AD93,AB93)</f>
        <v>-1</v>
      </c>
      <c r="AF93" s="45" t="n">
        <f aca="false">IF(AC93,IFERROR((((AE93+G93)*AE93+H93)*AE93+I93)/((3*AE93+2*G93)*AE93+H93),0),0)</f>
        <v>0</v>
      </c>
      <c r="AG93" s="48" t="n">
        <f aca="false">IF(ABS(AF93)&lt;0.1*ABS(AE93),AE93-AF93,AE93)</f>
        <v>-1</v>
      </c>
      <c r="AH93" s="45" t="n">
        <f aca="false">IF(AC93,MAX(W93,AG93),W93)</f>
        <v>0.949444673197094</v>
      </c>
      <c r="AI93" s="48" t="n">
        <f aca="false">IF(AC93,MIN(W93,AG93),-1)</f>
        <v>-1</v>
      </c>
      <c r="AJ93" s="45" t="n">
        <f aca="false">AH93-1-LN(AH93-F93)-E93/(2*SQRT(2)*F93)*LN((AH93+(1+SQRT(2))*F93)/(AH93+(1-SQRT(2))*F93))</f>
        <v>-0.0543817797502353</v>
      </c>
      <c r="AK93" s="45" t="n">
        <f aca="false">IF(AC93,AI93-1-LN(AI93-F93)-E93/(2*SQRT(2)*F93)*LN((AI93+(1+SQRT(2))*F93)/(AI93+(1-SQRT(2))*F93)),0)</f>
        <v>0</v>
      </c>
      <c r="AL93" s="45" t="n">
        <f aca="false">IF(AC93,AK93-AJ93,0)</f>
        <v>0</v>
      </c>
      <c r="AM93" s="45" t="n">
        <f aca="false">IF(AC93,AL93&gt;0,AH93*'EOS steps'!$D$13*'EOS steps'!$D$7/D93&gt;=$E$9)</f>
        <v>1</v>
      </c>
      <c r="AN93" s="45" t="n">
        <f aca="false">IF(AC93,IF(AH93&gt;AI93,D93*EXP(MAX(-50,MIN(50,AL93/(AH93-AI93)))),D93),IF(AM93,D93*$E$14,D93/$E$14))</f>
        <v>3670971.37288654</v>
      </c>
      <c r="AO93" s="45" t="n">
        <f aca="false">IF(AM93,D93,B93)</f>
        <v>4609999.43697433</v>
      </c>
      <c r="AP93" s="45" t="n">
        <f aca="false">IF(AM93,C93,D93)</f>
        <v>4610000</v>
      </c>
      <c r="AQ93" s="46" t="n">
        <f aca="false">IF(AC93,IF(AND(AN93&gt;=AO93*(1-0.000000001),AN93&lt;=AP93*(1+0.000000001)),AN93,SQRT(AO93*AP93)),IF(AND(AO93&gt;$E$11,AP93&lt;$E$12),SQRT(AO93*AP93),IF(AND(AN93&gt;=AO93*(1-0.000000001),AN93&lt;=AP93*(1+0.000000001)),AN93,SQRT(AO93*AP93))))</f>
        <v>4609999.71848716</v>
      </c>
    </row>
    <row r="94" customFormat="false" ht="15" hidden="false" customHeight="false" outlineLevel="0" collapsed="false">
      <c r="A94" s="44" t="n">
        <v>15</v>
      </c>
      <c r="B94" s="45" t="n">
        <f aca="false">AO93</f>
        <v>4609999.43697433</v>
      </c>
      <c r="C94" s="45" t="n">
        <f aca="false">AP93</f>
        <v>4610000</v>
      </c>
      <c r="D94" s="46" t="n">
        <f aca="false">AQ93</f>
        <v>4609999.71848716</v>
      </c>
      <c r="E94" s="45" t="n">
        <f aca="false">$E$7*D94/('EOS steps'!$D$13*'EOS steps'!$D$7)^2</f>
        <v>0.100391546252133</v>
      </c>
      <c r="F94" s="45" t="n">
        <f aca="false">$E$8*D94/('EOS steps'!$D$13*'EOS steps'!$D$7)</f>
        <v>0.0423587631276184</v>
      </c>
      <c r="G94" s="45" t="n">
        <f aca="false">-(1-F94)</f>
        <v>-0.957641236872382</v>
      </c>
      <c r="H94" s="45" t="n">
        <f aca="false">E94-3*F94^2-2*F94</f>
        <v>0.010291225555791</v>
      </c>
      <c r="I94" s="45" t="n">
        <f aca="false">-(E94*F94-F94^2-F94^3)</f>
        <v>-0.00238219407577594</v>
      </c>
      <c r="J94" s="45" t="n">
        <f aca="false">H94-G94^2/3</f>
        <v>-0.295401020630364</v>
      </c>
      <c r="K94" s="45" t="n">
        <f aca="false">2*G94^3/27-G94*H94/3+I94</f>
        <v>-0.0641512046946061</v>
      </c>
      <c r="L94" s="45" t="n">
        <f aca="false">K94^2/4+J94^3/27</f>
        <v>7.41326419018809E-005</v>
      </c>
      <c r="M94" s="45" t="n">
        <f aca="false">-K94/2-IF(K94&gt;=0,1,-1)*SQRT(MAX(L94,0))</f>
        <v>0.0406856338165766</v>
      </c>
      <c r="N94" s="45" t="n">
        <f aca="false">SIGN(M94)*ABS(M94)^(1/3)</f>
        <v>0.34393815877416</v>
      </c>
      <c r="O94" s="45" t="n">
        <f aca="false">IF(N94=0,0,N94-J94/(3*N94))</f>
        <v>0.630230924972994</v>
      </c>
      <c r="P94" s="45" t="n">
        <f aca="false">2*SQRT(MAX(-J94,0)/3)</f>
        <v>0.627589059422766</v>
      </c>
      <c r="Q94" s="45" t="n">
        <f aca="false">ACOS(IF(P94=0,0,MAX(-1,MIN(1,3*K94/(J94*P94)))))</f>
        <v>0</v>
      </c>
      <c r="R94" s="45" t="n">
        <f aca="false">P94*COS(Q94/3)</f>
        <v>0.627589059422766</v>
      </c>
      <c r="S94" s="45" t="n">
        <f aca="false">IF(L94&lt;0,R94,O94)-G94/3</f>
        <v>0.949444670597121</v>
      </c>
      <c r="T94" s="45" t="n">
        <f aca="false">IFERROR((((S94+G94)*S94+H94)*S94+I94)/((3*S94+2*G94)*S94+H94),0)</f>
        <v>1.32595699669894E-016</v>
      </c>
      <c r="U94" s="45" t="n">
        <f aca="false">IF(ABS(T94)&lt;0.1*ABS(S94),S94-T94,S94)</f>
        <v>0.949444670597121</v>
      </c>
      <c r="V94" s="45" t="n">
        <f aca="false">IFERROR((((U94+G94)*U94+H94)*U94+I94)/((3*U94+2*G94)*U94+H94),0)</f>
        <v>2.22605919153836E-017</v>
      </c>
      <c r="W94" s="45" t="n">
        <f aca="false">IF(ABS(V94)&lt;0.1*ABS(U94),U94-V94,U94)</f>
        <v>0.949444670597121</v>
      </c>
      <c r="X94" s="45" t="n">
        <f aca="false">-I94/W94</f>
        <v>0.00250903938854883</v>
      </c>
      <c r="Y94" s="45" t="n">
        <f aca="false">(H94-X94)/W94</f>
        <v>0.00819656627526046</v>
      </c>
      <c r="Z94" s="45" t="n">
        <f aca="false">Y94^2-4*X94</f>
        <v>-0.00996897385549057</v>
      </c>
      <c r="AA94" s="47" t="n">
        <f aca="false">IF(Z94&gt;=0,(Y94+IF(Y94&gt;=0,1,-1)*SQRT(Z94))/2,0)</f>
        <v>0</v>
      </c>
      <c r="AB94" s="48" t="n">
        <f aca="false">IF(AND(Z94&gt;=0,AA94&lt;&gt;0),MIN(AA94,X94/AA94),-1)</f>
        <v>-1</v>
      </c>
      <c r="AC94" s="45" t="n">
        <f aca="false">AND(Z94&gt;=0,AB94&gt;F94,ABS(W94-AB94)&gt;=0.00005*MAX(W94,AB94))</f>
        <v>0</v>
      </c>
      <c r="AD94" s="45" t="n">
        <f aca="false">IF(AC94,IFERROR((((AB94+G94)*AB94+H94)*AB94+I94)/((3*AB94+2*G94)*AB94+H94),0),0)</f>
        <v>0</v>
      </c>
      <c r="AE94" s="48" t="n">
        <f aca="false">IF(ABS(AD94)&lt;0.1*ABS(AB94),AB94-AD94,AB94)</f>
        <v>-1</v>
      </c>
      <c r="AF94" s="45" t="n">
        <f aca="false">IF(AC94,IFERROR((((AE94+G94)*AE94+H94)*AE94+I94)/((3*AE94+2*G94)*AE94+H94),0),0)</f>
        <v>0</v>
      </c>
      <c r="AG94" s="48" t="n">
        <f aca="false">IF(ABS(AF94)&lt;0.1*ABS(AE94),AE94-AF94,AE94)</f>
        <v>-1</v>
      </c>
      <c r="AH94" s="45" t="n">
        <f aca="false">IF(AC94,MAX(W94,AG94),W94)</f>
        <v>0.949444670597121</v>
      </c>
      <c r="AI94" s="48" t="n">
        <f aca="false">IF(AC94,MIN(W94,AG94),-1)</f>
        <v>-1</v>
      </c>
      <c r="AJ94" s="45" t="n">
        <f aca="false">AH94-1-LN(AH94-F94)-E94/(2*SQRT(2)*F94)*LN((AH94+(1+SQRT(2))*F94)/(AH94+(1-SQRT(2))*F94))</f>
        <v>-0.0543817828374314</v>
      </c>
      <c r="AK94" s="45" t="n">
        <f aca="false">IF(AC94,AI94-1-LN(AI94-F94)-E94/(2*SQRT(2)*F94)*LN((AI94+(1+SQRT(2))*F94)/(AI94+(1-SQRT(2))*F94)),0)</f>
        <v>0</v>
      </c>
      <c r="AL94" s="45" t="n">
        <f aca="false">IF(AC94,AK94-AJ94,0)</f>
        <v>0</v>
      </c>
      <c r="AM94" s="45" t="n">
        <f aca="false">IF(AC94,AL94&gt;0,AH94*'EOS steps'!$D$13*'EOS steps'!$D$7/D94&gt;=$E$9)</f>
        <v>1</v>
      </c>
      <c r="AN94" s="45" t="n">
        <f aca="false">IF(AC94,IF(AH94&gt;AI94,D94*EXP(MAX(-50,MIN(50,AL94/(AH94-AI94)))),D94),IF(AM94,D94*$E$14,D94/$E$14))</f>
        <v>3670971.59705696</v>
      </c>
      <c r="AO94" s="45" t="n">
        <f aca="false">IF(AM94,D94,B94)</f>
        <v>4609999.71848716</v>
      </c>
      <c r="AP94" s="45" t="n">
        <f aca="false">IF(AM94,C94,D94)</f>
        <v>4610000</v>
      </c>
      <c r="AQ94" s="46" t="n">
        <f aca="false">IF(AC94,IF(AND(AN94&gt;=AO94*(1-0.000000001),AN94&lt;=AP94*(1+0.000000001)),AN94,SQRT(AO94*AP94)),IF(AND(AO94&gt;$E$11,AP94&lt;$E$12),SQRT(AO94*AP94),IF(AND(AN94&gt;=AO94*(1-0.000000001),AN94&lt;=AP94*(1+0.000000001)),AN94,SQRT(AO94*AP94))))</f>
        <v>4609999.85924358</v>
      </c>
    </row>
    <row r="95" customFormat="false" ht="15" hidden="false" customHeight="false" outlineLevel="0" collapsed="false">
      <c r="A95" s="44" t="n">
        <v>16</v>
      </c>
      <c r="B95" s="45" t="n">
        <f aca="false">AO94</f>
        <v>4609999.71848716</v>
      </c>
      <c r="C95" s="45" t="n">
        <f aca="false">AP94</f>
        <v>4610000</v>
      </c>
      <c r="D95" s="46" t="n">
        <f aca="false">AQ94</f>
        <v>4609999.85924358</v>
      </c>
      <c r="E95" s="45" t="n">
        <f aca="false">$E$7*D95/('EOS steps'!$D$13*'EOS steps'!$D$7)^2</f>
        <v>0.100391549317373</v>
      </c>
      <c r="F95" s="45" t="n">
        <f aca="false">$E$8*D95/('EOS steps'!$D$13*'EOS steps'!$D$7)</f>
        <v>0.042358764420952</v>
      </c>
      <c r="G95" s="45" t="n">
        <f aca="false">-(1-F95)</f>
        <v>-0.957641235579048</v>
      </c>
      <c r="H95" s="45" t="n">
        <f aca="false">E95-3*F95^2-2*F95</f>
        <v>0.0102912257056594</v>
      </c>
      <c r="I95" s="45" t="n">
        <f aca="false">-(E95*F95-F95^2-F95^3)</f>
        <v>-0.0023821942189257</v>
      </c>
      <c r="J95" s="45" t="n">
        <f aca="false">H95-G95^2/3</f>
        <v>-0.295401019654796</v>
      </c>
      <c r="K95" s="45" t="n">
        <f aca="false">2*G95^3/27-G95*H95/3+I95</f>
        <v>-0.0641512045307777</v>
      </c>
      <c r="L95" s="45" t="n">
        <f aca="false">K95^2/4+J95^3/27</f>
        <v>7.41326461058542E-005</v>
      </c>
      <c r="M95" s="45" t="n">
        <f aca="false">-K95/2-IF(K95&gt;=0,1,-1)*SQRT(MAX(L95,0))</f>
        <v>0.0406856339787947</v>
      </c>
      <c r="N95" s="45" t="n">
        <f aca="false">SIGN(M95)*ABS(M95)^(1/3)</f>
        <v>0.343938159231267</v>
      </c>
      <c r="O95" s="45" t="n">
        <f aca="false">IF(N95=0,0,N95-J95/(3*N95))</f>
        <v>0.630230924104119</v>
      </c>
      <c r="P95" s="45" t="n">
        <f aca="false">2*SQRT(MAX(-J95,0)/3)</f>
        <v>0.627589058386453</v>
      </c>
      <c r="Q95" s="45" t="n">
        <f aca="false">ACOS(IF(P95=0,0,MAX(-1,MIN(1,3*K95/(J95*P95)))))</f>
        <v>0</v>
      </c>
      <c r="R95" s="45" t="n">
        <f aca="false">P95*COS(Q95/3)</f>
        <v>0.627589058386453</v>
      </c>
      <c r="S95" s="45" t="n">
        <f aca="false">IF(L95&lt;0,R95,O95)-G95/3</f>
        <v>0.949444669297135</v>
      </c>
      <c r="T95" s="45" t="n">
        <f aca="false">IFERROR((((S95+G95)*S95+H95)*S95+I95)/((3*S95+2*G95)*S95+H95),0)</f>
        <v>-1.18561848550585E-016</v>
      </c>
      <c r="U95" s="45" t="n">
        <f aca="false">IF(ABS(T95)&lt;0.1*ABS(S95),S95-T95,S95)</f>
        <v>0.949444669297135</v>
      </c>
      <c r="V95" s="45" t="n">
        <f aca="false">IFERROR((((U95+G95)*U95+H95)*U95+I95)/((3*U95+2*G95)*U95+H95),0)</f>
        <v>0</v>
      </c>
      <c r="W95" s="45" t="n">
        <f aca="false">IF(ABS(V95)&lt;0.1*ABS(U95),U95-V95,U95)</f>
        <v>0.949444669297135</v>
      </c>
      <c r="X95" s="45" t="n">
        <f aca="false">-I95/W95</f>
        <v>0.00250903954275631</v>
      </c>
      <c r="Y95" s="45" t="n">
        <f aca="false">(H95-X95)/W95</f>
        <v>0.00819656628191311</v>
      </c>
      <c r="Z95" s="45" t="n">
        <f aca="false">Y95^2-4*X95</f>
        <v>-0.00996897447221144</v>
      </c>
      <c r="AA95" s="47" t="n">
        <f aca="false">IF(Z95&gt;=0,(Y95+IF(Y95&gt;=0,1,-1)*SQRT(Z95))/2,0)</f>
        <v>0</v>
      </c>
      <c r="AB95" s="48" t="n">
        <f aca="false">IF(AND(Z95&gt;=0,AA95&lt;&gt;0),MIN(AA95,X95/AA95),-1)</f>
        <v>-1</v>
      </c>
      <c r="AC95" s="45" t="n">
        <f aca="false">AND(Z95&gt;=0,AB95&gt;F95,ABS(W95-AB95)&gt;=0.00005*MAX(W95,AB95))</f>
        <v>0</v>
      </c>
      <c r="AD95" s="45" t="n">
        <f aca="false">IF(AC95,IFERROR((((AB95+G95)*AB95+H95)*AB95+I95)/((3*AB95+2*G95)*AB95+H95),0),0)</f>
        <v>0</v>
      </c>
      <c r="AE95" s="48" t="n">
        <f aca="false">IF(ABS(AD95)&lt;0.1*ABS(AB95),AB95-AD95,AB95)</f>
        <v>-1</v>
      </c>
      <c r="AF95" s="45" t="n">
        <f aca="false">IF(AC95,IFERROR((((AE95+G95)*AE95+H95)*AE95+I95)/((3*AE95+2*G95)*AE95+H95),0),0)</f>
        <v>0</v>
      </c>
      <c r="AG95" s="48" t="n">
        <f aca="false">IF(ABS(AF95)&lt;0.1*ABS(AE95),AE95-AF95,AE95)</f>
        <v>-1</v>
      </c>
      <c r="AH95" s="45" t="n">
        <f aca="false">IF(AC95,MAX(W95,AG95),W95)</f>
        <v>0.949444669297135</v>
      </c>
      <c r="AI95" s="48" t="n">
        <f aca="false">IF(AC95,MIN(W95,AG95),-1)</f>
        <v>-1</v>
      </c>
      <c r="AJ95" s="45" t="n">
        <f aca="false">AH95-1-LN(AH95-F95)-E95/(2*SQRT(2)*F95)*LN((AH95+(1+SQRT(2))*F95)/(AH95+(1-SQRT(2))*F95))</f>
        <v>-0.0543817843810298</v>
      </c>
      <c r="AK95" s="45" t="n">
        <f aca="false">IF(AC95,AI95-1-LN(AI95-F95)-E95/(2*SQRT(2)*F95)*LN((AI95+(1+SQRT(2))*F95)/(AI95+(1-SQRT(2))*F95)),0)</f>
        <v>0</v>
      </c>
      <c r="AL95" s="45" t="n">
        <f aca="false">IF(AC95,AK95-AJ95,0)</f>
        <v>0</v>
      </c>
      <c r="AM95" s="45" t="n">
        <f aca="false">IF(AC95,AL95&gt;0,AH95*'EOS steps'!$D$13*'EOS steps'!$D$7/D95&gt;=$E$9)</f>
        <v>1</v>
      </c>
      <c r="AN95" s="45" t="n">
        <f aca="false">IF(AC95,IF(AH95&gt;AI95,D95*EXP(MAX(-50,MIN(50,AL95/(AH95-AI95)))),D95),IF(AM95,D95*$E$14,D95/$E$14))</f>
        <v>3670971.70914218</v>
      </c>
      <c r="AO95" s="45" t="n">
        <f aca="false">IF(AM95,D95,B95)</f>
        <v>4609999.85924358</v>
      </c>
      <c r="AP95" s="45" t="n">
        <f aca="false">IF(AM95,C95,D95)</f>
        <v>4610000</v>
      </c>
      <c r="AQ95" s="46" t="n">
        <f aca="false">IF(AC95,IF(AND(AN95&gt;=AO95*(1-0.000000001),AN95&lt;=AP95*(1+0.000000001)),AN95,SQRT(AO95*AP95)),IF(AND(AO95&gt;$E$11,AP95&lt;$E$12),SQRT(AO95*AP95),IF(AND(AN95&gt;=AO95*(1-0.000000001),AN95&lt;=AP95*(1+0.000000001)),AN95,SQRT(AO95*AP95))))</f>
        <v>4609999.92962179</v>
      </c>
    </row>
    <row r="96" customFormat="false" ht="15" hidden="false" customHeight="false" outlineLevel="0" collapsed="false">
      <c r="A96" s="44" t="n">
        <v>17</v>
      </c>
      <c r="B96" s="45" t="n">
        <f aca="false">AO95</f>
        <v>4609999.85924358</v>
      </c>
      <c r="C96" s="45" t="n">
        <f aca="false">AP95</f>
        <v>4610000</v>
      </c>
      <c r="D96" s="46" t="n">
        <f aca="false">AQ95</f>
        <v>4609999.92962179</v>
      </c>
      <c r="E96" s="45" t="n">
        <f aca="false">$E$7*D96/('EOS steps'!$D$13*'EOS steps'!$D$7)^2</f>
        <v>0.100391550849992</v>
      </c>
      <c r="F96" s="45" t="n">
        <f aca="false">$E$8*D96/('EOS steps'!$D$13*'EOS steps'!$D$7)</f>
        <v>0.0423587650676189</v>
      </c>
      <c r="G96" s="45" t="n">
        <f aca="false">-(1-F96)</f>
        <v>-0.957641234932381</v>
      </c>
      <c r="H96" s="45" t="n">
        <f aca="false">E96-3*F96^2-2*F96</f>
        <v>0.0102912257805935</v>
      </c>
      <c r="I96" s="45" t="n">
        <f aca="false">-(E96*F96-F96^2-F96^3)</f>
        <v>-0.00238219429050058</v>
      </c>
      <c r="J96" s="45" t="n">
        <f aca="false">H96-G96^2/3</f>
        <v>-0.295401019167012</v>
      </c>
      <c r="K96" s="45" t="n">
        <f aca="false">2*G96^3/27-G96*H96/3+I96</f>
        <v>-0.0641512044488636</v>
      </c>
      <c r="L96" s="45" t="n">
        <f aca="false">K96^2/4+J96^3/27</f>
        <v>7.41326482078423E-005</v>
      </c>
      <c r="M96" s="45" t="n">
        <f aca="false">-K96/2-IF(K96&gt;=0,1,-1)*SQRT(MAX(L96,0))</f>
        <v>0.0406856340599038</v>
      </c>
      <c r="N96" s="45" t="n">
        <f aca="false">SIGN(M96)*ABS(M96)^(1/3)</f>
        <v>0.34393815945982</v>
      </c>
      <c r="O96" s="45" t="n">
        <f aca="false">IF(N96=0,0,N96-J96/(3*N96))</f>
        <v>0.630230923669681</v>
      </c>
      <c r="P96" s="45" t="n">
        <f aca="false">2*SQRT(MAX(-J96,0)/3)</f>
        <v>0.627589057868296</v>
      </c>
      <c r="Q96" s="45" t="n">
        <f aca="false">ACOS(IF(P96=0,0,MAX(-1,MIN(1,3*K96/(J96*P96)))))</f>
        <v>0</v>
      </c>
      <c r="R96" s="45" t="n">
        <f aca="false">P96*COS(Q96/3)</f>
        <v>0.627589057868296</v>
      </c>
      <c r="S96" s="45" t="n">
        <f aca="false">IF(L96&lt;0,R96,O96)-G96/3</f>
        <v>0.949444668647142</v>
      </c>
      <c r="T96" s="45" t="n">
        <f aca="false">IFERROR((((S96+G96)*S96+H96)*S96+I96)/((3*S96+2*G96)*S96+H96),0)</f>
        <v>-1.44693848009441E-016</v>
      </c>
      <c r="U96" s="45" t="n">
        <f aca="false">IF(ABS(T96)&lt;0.1*ABS(S96),S96-T96,S96)</f>
        <v>0.949444668647142</v>
      </c>
      <c r="V96" s="45" t="n">
        <f aca="false">IFERROR((((U96+G96)*U96+H96)*U96+I96)/((3*U96+2*G96)*U96+H96),0)</f>
        <v>-3.33908880021786E-017</v>
      </c>
      <c r="W96" s="45" t="n">
        <f aca="false">IF(ABS(V96)&lt;0.1*ABS(U96),U96-V96,U96)</f>
        <v>0.949444668647142</v>
      </c>
      <c r="X96" s="45" t="n">
        <f aca="false">-I96/W96</f>
        <v>0.00250903961986006</v>
      </c>
      <c r="Y96" s="45" t="n">
        <f aca="false">(H96-X96)/W96</f>
        <v>0.00819656628523943</v>
      </c>
      <c r="Z96" s="45" t="n">
        <f aca="false">Y96^2-4*X96</f>
        <v>-0.0099689747805719</v>
      </c>
      <c r="AA96" s="47" t="n">
        <f aca="false">IF(Z96&gt;=0,(Y96+IF(Y96&gt;=0,1,-1)*SQRT(Z96))/2,0)</f>
        <v>0</v>
      </c>
      <c r="AB96" s="48" t="n">
        <f aca="false">IF(AND(Z96&gt;=0,AA96&lt;&gt;0),MIN(AA96,X96/AA96),-1)</f>
        <v>-1</v>
      </c>
      <c r="AC96" s="45" t="n">
        <f aca="false">AND(Z96&gt;=0,AB96&gt;F96,ABS(W96-AB96)&gt;=0.00005*MAX(W96,AB96))</f>
        <v>0</v>
      </c>
      <c r="AD96" s="45" t="n">
        <f aca="false">IF(AC96,IFERROR((((AB96+G96)*AB96+H96)*AB96+I96)/((3*AB96+2*G96)*AB96+H96),0),0)</f>
        <v>0</v>
      </c>
      <c r="AE96" s="48" t="n">
        <f aca="false">IF(ABS(AD96)&lt;0.1*ABS(AB96),AB96-AD96,AB96)</f>
        <v>-1</v>
      </c>
      <c r="AF96" s="45" t="n">
        <f aca="false">IF(AC96,IFERROR((((AE96+G96)*AE96+H96)*AE96+I96)/((3*AE96+2*G96)*AE96+H96),0),0)</f>
        <v>0</v>
      </c>
      <c r="AG96" s="48" t="n">
        <f aca="false">IF(ABS(AF96)&lt;0.1*ABS(AE96),AE96-AF96,AE96)</f>
        <v>-1</v>
      </c>
      <c r="AH96" s="45" t="n">
        <f aca="false">IF(AC96,MAX(W96,AG96),W96)</f>
        <v>0.949444668647142</v>
      </c>
      <c r="AI96" s="48" t="n">
        <f aca="false">IF(AC96,MIN(W96,AG96),-1)</f>
        <v>-1</v>
      </c>
      <c r="AJ96" s="45" t="n">
        <f aca="false">AH96-1-LN(AH96-F96)-E96/(2*SQRT(2)*F96)*LN((AH96+(1+SQRT(2))*F96)/(AH96+(1-SQRT(2))*F96))</f>
        <v>-0.0543817851528288</v>
      </c>
      <c r="AK96" s="45" t="n">
        <f aca="false">IF(AC96,AI96-1-LN(AI96-F96)-E96/(2*SQRT(2)*F96)*LN((AI96+(1+SQRT(2))*F96)/(AI96+(1-SQRT(2))*F96)),0)</f>
        <v>0</v>
      </c>
      <c r="AL96" s="45" t="n">
        <f aca="false">IF(AC96,AK96-AJ96,0)</f>
        <v>0</v>
      </c>
      <c r="AM96" s="45" t="n">
        <f aca="false">IF(AC96,AL96&gt;0,AH96*'EOS steps'!$D$13*'EOS steps'!$D$7/D96&gt;=$E$9)</f>
        <v>1</v>
      </c>
      <c r="AN96" s="45" t="n">
        <f aca="false">IF(AC96,IF(AH96&gt;AI96,D96*EXP(MAX(-50,MIN(50,AL96/(AH96-AI96)))),D96),IF(AM96,D96*$E$14,D96/$E$14))</f>
        <v>3670971.76518479</v>
      </c>
      <c r="AO96" s="45" t="n">
        <f aca="false">IF(AM96,D96,B96)</f>
        <v>4609999.92962179</v>
      </c>
      <c r="AP96" s="45" t="n">
        <f aca="false">IF(AM96,C96,D96)</f>
        <v>4610000</v>
      </c>
      <c r="AQ96" s="46" t="n">
        <f aca="false">IF(AC96,IF(AND(AN96&gt;=AO96*(1-0.000000001),AN96&lt;=AP96*(1+0.000000001)),AN96,SQRT(AO96*AP96)),IF(AND(AO96&gt;$E$11,AP96&lt;$E$12),SQRT(AO96*AP96),IF(AND(AN96&gt;=AO96*(1-0.000000001),AN96&lt;=AP96*(1+0.000000001)),AN96,SQRT(AO96*AP96))))</f>
        <v>4609999.96481089</v>
      </c>
    </row>
    <row r="97" customFormat="false" ht="15" hidden="false" customHeight="false" outlineLevel="0" collapsed="false">
      <c r="A97" s="44" t="n">
        <v>18</v>
      </c>
      <c r="B97" s="45" t="n">
        <f aca="false">AO96</f>
        <v>4609999.92962179</v>
      </c>
      <c r="C97" s="45" t="n">
        <f aca="false">AP96</f>
        <v>4610000</v>
      </c>
      <c r="D97" s="46" t="n">
        <f aca="false">AQ96</f>
        <v>4609999.96481089</v>
      </c>
      <c r="E97" s="45" t="n">
        <f aca="false">$E$7*D97/('EOS steps'!$D$13*'EOS steps'!$D$7)^2</f>
        <v>0.100391551616302</v>
      </c>
      <c r="F97" s="45" t="n">
        <f aca="false">$E$8*D97/('EOS steps'!$D$13*'EOS steps'!$D$7)</f>
        <v>0.0423587653909523</v>
      </c>
      <c r="G97" s="45" t="n">
        <f aca="false">-(1-F97)</f>
        <v>-0.957641234609048</v>
      </c>
      <c r="H97" s="45" t="n">
        <f aca="false">E97-3*F97^2-2*F97</f>
        <v>0.0102912258180606</v>
      </c>
      <c r="I97" s="45" t="n">
        <f aca="false">-(E97*F97-F97^2-F97^3)</f>
        <v>-0.00238219432628802</v>
      </c>
      <c r="J97" s="45" t="n">
        <f aca="false">H97-G97^2/3</f>
        <v>-0.29540101892312</v>
      </c>
      <c r="K97" s="45" t="n">
        <f aca="false">2*G97^3/27-G97*H97/3+I97</f>
        <v>-0.0641512044079065</v>
      </c>
      <c r="L97" s="45" t="n">
        <f aca="false">K97^2/4+J97^3/27</f>
        <v>7.41326492588345E-005</v>
      </c>
      <c r="M97" s="45" t="n">
        <f aca="false">-K97/2-IF(K97&gt;=0,1,-1)*SQRT(MAX(L97,0))</f>
        <v>0.0406856341004583</v>
      </c>
      <c r="N97" s="45" t="n">
        <f aca="false">SIGN(M97)*ABS(M97)^(1/3)</f>
        <v>0.343938159574097</v>
      </c>
      <c r="O97" s="45" t="n">
        <f aca="false">IF(N97=0,0,N97-J97/(3*N97))</f>
        <v>0.630230923452463</v>
      </c>
      <c r="P97" s="45" t="n">
        <f aca="false">2*SQRT(MAX(-J97,0)/3)</f>
        <v>0.627589057609218</v>
      </c>
      <c r="Q97" s="45" t="n">
        <f aca="false">ACOS(IF(P97=0,0,MAX(-1,MIN(1,3*K97/(J97*P97)))))</f>
        <v>0</v>
      </c>
      <c r="R97" s="45" t="n">
        <f aca="false">P97*COS(Q97/3)</f>
        <v>0.627589057609218</v>
      </c>
      <c r="S97" s="45" t="n">
        <f aca="false">IF(L97&lt;0,R97,O97)-G97/3</f>
        <v>0.949444668322145</v>
      </c>
      <c r="T97" s="45" t="n">
        <f aca="false">IFERROR((((S97+G97)*S97+H97)*S97+I97)/((3*S97+2*G97)*S97+H97),0)</f>
        <v>1.54856292283806E-017</v>
      </c>
      <c r="U97" s="45" t="n">
        <f aca="false">IF(ABS(T97)&lt;0.1*ABS(S97),S97-T97,S97)</f>
        <v>0.949444668322145</v>
      </c>
      <c r="V97" s="45" t="n">
        <f aca="false">IFERROR((((U97+G97)*U97+H97)*U97+I97)/((3*U97+2*G97)*U97+H97),0)</f>
        <v>1.54856292283806E-017</v>
      </c>
      <c r="W97" s="45" t="n">
        <f aca="false">IF(ABS(V97)&lt;0.1*ABS(U97),U97-V97,U97)</f>
        <v>0.949444668322145</v>
      </c>
      <c r="X97" s="45" t="n">
        <f aca="false">-I97/W97</f>
        <v>0.00250903965841193</v>
      </c>
      <c r="Y97" s="45" t="n">
        <f aca="false">(H97-X97)/W97</f>
        <v>0.00819656628690259</v>
      </c>
      <c r="Z97" s="45" t="n">
        <f aca="false">Y97^2-4*X97</f>
        <v>-0.00996897493475213</v>
      </c>
      <c r="AA97" s="47" t="n">
        <f aca="false">IF(Z97&gt;=0,(Y97+IF(Y97&gt;=0,1,-1)*SQRT(Z97))/2,0)</f>
        <v>0</v>
      </c>
      <c r="AB97" s="48" t="n">
        <f aca="false">IF(AND(Z97&gt;=0,AA97&lt;&gt;0),MIN(AA97,X97/AA97),-1)</f>
        <v>-1</v>
      </c>
      <c r="AC97" s="45" t="n">
        <f aca="false">AND(Z97&gt;=0,AB97&gt;F97,ABS(W97-AB97)&gt;=0.00005*MAX(W97,AB97))</f>
        <v>0</v>
      </c>
      <c r="AD97" s="45" t="n">
        <f aca="false">IF(AC97,IFERROR((((AB97+G97)*AB97+H97)*AB97+I97)/((3*AB97+2*G97)*AB97+H97),0),0)</f>
        <v>0</v>
      </c>
      <c r="AE97" s="48" t="n">
        <f aca="false">IF(ABS(AD97)&lt;0.1*ABS(AB97),AB97-AD97,AB97)</f>
        <v>-1</v>
      </c>
      <c r="AF97" s="45" t="n">
        <f aca="false">IF(AC97,IFERROR((((AE97+G97)*AE97+H97)*AE97+I97)/((3*AE97+2*G97)*AE97+H97),0),0)</f>
        <v>0</v>
      </c>
      <c r="AG97" s="48" t="n">
        <f aca="false">IF(ABS(AF97)&lt;0.1*ABS(AE97),AE97-AF97,AE97)</f>
        <v>-1</v>
      </c>
      <c r="AH97" s="45" t="n">
        <f aca="false">IF(AC97,MAX(W97,AG97),W97)</f>
        <v>0.949444668322145</v>
      </c>
      <c r="AI97" s="48" t="n">
        <f aca="false">IF(AC97,MIN(W97,AG97),-1)</f>
        <v>-1</v>
      </c>
      <c r="AJ97" s="45" t="n">
        <f aca="false">AH97-1-LN(AH97-F97)-E97/(2*SQRT(2)*F97)*LN((AH97+(1+SQRT(2))*F97)/(AH97+(1-SQRT(2))*F97))</f>
        <v>-0.0543817855387283</v>
      </c>
      <c r="AK97" s="45" t="n">
        <f aca="false">IF(AC97,AI97-1-LN(AI97-F97)-E97/(2*SQRT(2)*F97)*LN((AI97+(1+SQRT(2))*F97)/(AI97+(1-SQRT(2))*F97)),0)</f>
        <v>0</v>
      </c>
      <c r="AL97" s="45" t="n">
        <f aca="false">IF(AC97,AK97-AJ97,0)</f>
        <v>0</v>
      </c>
      <c r="AM97" s="45" t="n">
        <f aca="false">IF(AC97,AL97&gt;0,AH97*'EOS steps'!$D$13*'EOS steps'!$D$7/D97&gt;=$E$9)</f>
        <v>1</v>
      </c>
      <c r="AN97" s="45" t="n">
        <f aca="false">IF(AC97,IF(AH97&gt;AI97,D97*EXP(MAX(-50,MIN(50,AL97/(AH97-AI97)))),D97),IF(AM97,D97*$E$14,D97/$E$14))</f>
        <v>3670971.79320609</v>
      </c>
      <c r="AO97" s="45" t="n">
        <f aca="false">IF(AM97,D97,B97)</f>
        <v>4609999.96481089</v>
      </c>
      <c r="AP97" s="45" t="n">
        <f aca="false">IF(AM97,C97,D97)</f>
        <v>4610000</v>
      </c>
      <c r="AQ97" s="46" t="n">
        <f aca="false">IF(AC97,IF(AND(AN97&gt;=AO97*(1-0.000000001),AN97&lt;=AP97*(1+0.000000001)),AN97,SQRT(AO97*AP97)),IF(AND(AO97&gt;$E$11,AP97&lt;$E$12),SQRT(AO97*AP97),IF(AND(AN97&gt;=AO97*(1-0.000000001),AN97&lt;=AP97*(1+0.000000001)),AN97,SQRT(AO97*AP97))))</f>
        <v>4609999.98240545</v>
      </c>
    </row>
    <row r="98" customFormat="false" ht="15" hidden="false" customHeight="false" outlineLevel="0" collapsed="false">
      <c r="A98" s="44" t="n">
        <v>19</v>
      </c>
      <c r="B98" s="45" t="n">
        <f aca="false">AO97</f>
        <v>4609999.96481089</v>
      </c>
      <c r="C98" s="45" t="n">
        <f aca="false">AP97</f>
        <v>4610000</v>
      </c>
      <c r="D98" s="46" t="n">
        <f aca="false">AQ97</f>
        <v>4609999.98240545</v>
      </c>
      <c r="E98" s="45" t="n">
        <f aca="false">$E$7*D98/('EOS steps'!$D$13*'EOS steps'!$D$7)^2</f>
        <v>0.100391551999457</v>
      </c>
      <c r="F98" s="45" t="n">
        <f aca="false">$E$8*D98/('EOS steps'!$D$13*'EOS steps'!$D$7)</f>
        <v>0.042358765552619</v>
      </c>
      <c r="G98" s="45" t="n">
        <f aca="false">-(1-F98)</f>
        <v>-0.957641234447381</v>
      </c>
      <c r="H98" s="45" t="n">
        <f aca="false">E98-3*F98^2-2*F98</f>
        <v>0.0102912258367942</v>
      </c>
      <c r="I98" s="45" t="n">
        <f aca="false">-(E98*F98-F98^2-F98^3)</f>
        <v>-0.00238219434418174</v>
      </c>
      <c r="J98" s="45" t="n">
        <f aca="false">H98-G98^2/3</f>
        <v>-0.295401018801174</v>
      </c>
      <c r="K98" s="45" t="n">
        <f aca="false">2*G98^3/27-G98*H98/3+I98</f>
        <v>-0.0641512043874279</v>
      </c>
      <c r="L98" s="45" t="n">
        <f aca="false">K98^2/4+J98^3/27</f>
        <v>7.41326497843319E-005</v>
      </c>
      <c r="M98" s="45" t="n">
        <f aca="false">-K98/2-IF(K98&gt;=0,1,-1)*SQRT(MAX(L98,0))</f>
        <v>0.0406856341207356</v>
      </c>
      <c r="N98" s="45" t="n">
        <f aca="false">SIGN(M98)*ABS(M98)^(1/3)</f>
        <v>0.343938159631235</v>
      </c>
      <c r="O98" s="45" t="n">
        <f aca="false">IF(N98=0,0,N98-J98/(3*N98))</f>
        <v>0.630230923343853</v>
      </c>
      <c r="P98" s="45" t="n">
        <f aca="false">2*SQRT(MAX(-J98,0)/3)</f>
        <v>0.627589057479679</v>
      </c>
      <c r="Q98" s="45" t="n">
        <f aca="false">ACOS(IF(P98=0,0,MAX(-1,MIN(1,3*K98/(J98*P98)))))</f>
        <v>0</v>
      </c>
      <c r="R98" s="45" t="n">
        <f aca="false">P98*COS(Q98/3)</f>
        <v>0.627589057479679</v>
      </c>
      <c r="S98" s="45" t="n">
        <f aca="false">IF(L98&lt;0,R98,O98)-G98/3</f>
        <v>0.949444668159647</v>
      </c>
      <c r="T98" s="45" t="n">
        <f aca="false">IFERROR((((S98+G98)*S98+H98)*S98+I98)/((3*S98+2*G98)*S98+H98),0)</f>
        <v>1.8389184714627E-017</v>
      </c>
      <c r="U98" s="45" t="n">
        <f aca="false">IF(ABS(T98)&lt;0.1*ABS(S98),S98-T98,S98)</f>
        <v>0.949444668159647</v>
      </c>
      <c r="V98" s="45" t="n">
        <f aca="false">IFERROR((((U98+G98)*U98+H98)*U98+I98)/((3*U98+2*G98)*U98+H98),0)</f>
        <v>1.8389184714627E-017</v>
      </c>
      <c r="W98" s="45" t="n">
        <f aca="false">IF(ABS(V98)&lt;0.1*ABS(U98),U98-V98,U98)</f>
        <v>0.949444668159647</v>
      </c>
      <c r="X98" s="45" t="n">
        <f aca="false">-I98/W98</f>
        <v>0.00250903967768787</v>
      </c>
      <c r="Y98" s="45" t="n">
        <f aca="false">(H98-X98)/W98</f>
        <v>0.00819656628773415</v>
      </c>
      <c r="Z98" s="45" t="n">
        <f aca="false">Y98^2-4*X98</f>
        <v>-0.00996897501184224</v>
      </c>
      <c r="AA98" s="47" t="n">
        <f aca="false">IF(Z98&gt;=0,(Y98+IF(Y98&gt;=0,1,-1)*SQRT(Z98))/2,0)</f>
        <v>0</v>
      </c>
      <c r="AB98" s="48" t="n">
        <f aca="false">IF(AND(Z98&gt;=0,AA98&lt;&gt;0),MIN(AA98,X98/AA98),-1)</f>
        <v>-1</v>
      </c>
      <c r="AC98" s="45" t="n">
        <f aca="false">AND(Z98&gt;=0,AB98&gt;F98,ABS(W98-AB98)&gt;=0.00005*MAX(W98,AB98))</f>
        <v>0</v>
      </c>
      <c r="AD98" s="45" t="n">
        <f aca="false">IF(AC98,IFERROR((((AB98+G98)*AB98+H98)*AB98+I98)/((3*AB98+2*G98)*AB98+H98),0),0)</f>
        <v>0</v>
      </c>
      <c r="AE98" s="48" t="n">
        <f aca="false">IF(ABS(AD98)&lt;0.1*ABS(AB98),AB98-AD98,AB98)</f>
        <v>-1</v>
      </c>
      <c r="AF98" s="45" t="n">
        <f aca="false">IF(AC98,IFERROR((((AE98+G98)*AE98+H98)*AE98+I98)/((3*AE98+2*G98)*AE98+H98),0),0)</f>
        <v>0</v>
      </c>
      <c r="AG98" s="48" t="n">
        <f aca="false">IF(ABS(AF98)&lt;0.1*ABS(AE98),AE98-AF98,AE98)</f>
        <v>-1</v>
      </c>
      <c r="AH98" s="45" t="n">
        <f aca="false">IF(AC98,MAX(W98,AG98),W98)</f>
        <v>0.949444668159647</v>
      </c>
      <c r="AI98" s="48" t="n">
        <f aca="false">IF(AC98,MIN(W98,AG98),-1)</f>
        <v>-1</v>
      </c>
      <c r="AJ98" s="45" t="n">
        <f aca="false">AH98-1-LN(AH98-F98)-E98/(2*SQRT(2)*F98)*LN((AH98+(1+SQRT(2))*F98)/(AH98+(1-SQRT(2))*F98))</f>
        <v>-0.0543817857316781</v>
      </c>
      <c r="AK98" s="45" t="n">
        <f aca="false">IF(AC98,AI98-1-LN(AI98-F98)-E98/(2*SQRT(2)*F98)*LN((AI98+(1+SQRT(2))*F98)/(AI98+(1-SQRT(2))*F98)),0)</f>
        <v>0</v>
      </c>
      <c r="AL98" s="45" t="n">
        <f aca="false">IF(AC98,AK98-AJ98,0)</f>
        <v>0</v>
      </c>
      <c r="AM98" s="45" t="n">
        <f aca="false">IF(AC98,AL98&gt;0,AH98*'EOS steps'!$D$13*'EOS steps'!$D$7/D98&gt;=$E$9)</f>
        <v>1</v>
      </c>
      <c r="AN98" s="45" t="n">
        <f aca="false">IF(AC98,IF(AH98&gt;AI98,D98*EXP(MAX(-50,MIN(50,AL98/(AH98-AI98)))),D98),IF(AM98,D98*$E$14,D98/$E$14))</f>
        <v>3670971.80721674</v>
      </c>
      <c r="AO98" s="45" t="n">
        <f aca="false">IF(AM98,D98,B98)</f>
        <v>4609999.98240545</v>
      </c>
      <c r="AP98" s="45" t="n">
        <f aca="false">IF(AM98,C98,D98)</f>
        <v>4610000</v>
      </c>
      <c r="AQ98" s="46" t="n">
        <f aca="false">IF(AC98,IF(AND(AN98&gt;=AO98*(1-0.000000001),AN98&lt;=AP98*(1+0.000000001)),AN98,SQRT(AO98*AP98)),IF(AND(AO98&gt;$E$11,AP98&lt;$E$12),SQRT(AO98*AP98),IF(AND(AN98&gt;=AO98*(1-0.000000001),AN98&lt;=AP98*(1+0.000000001)),AN98,SQRT(AO98*AP98))))</f>
        <v>4609999.99120272</v>
      </c>
    </row>
    <row r="99" customFormat="false" ht="15" hidden="false" customHeight="false" outlineLevel="0" collapsed="false">
      <c r="A99" s="44" t="n">
        <v>20</v>
      </c>
      <c r="B99" s="45" t="n">
        <f aca="false">AO98</f>
        <v>4609999.98240545</v>
      </c>
      <c r="C99" s="45" t="n">
        <f aca="false">AP98</f>
        <v>4610000</v>
      </c>
      <c r="D99" s="46" t="n">
        <f aca="false">AQ98</f>
        <v>4609999.99120272</v>
      </c>
      <c r="E99" s="45" t="n">
        <f aca="false">$E$7*D99/('EOS steps'!$D$13*'EOS steps'!$D$7)^2</f>
        <v>0.100391552191035</v>
      </c>
      <c r="F99" s="45" t="n">
        <f aca="false">$E$8*D99/('EOS steps'!$D$13*'EOS steps'!$D$7)</f>
        <v>0.0423587656334524</v>
      </c>
      <c r="G99" s="45" t="n">
        <f aca="false">-(1-F99)</f>
        <v>-0.957641234366548</v>
      </c>
      <c r="H99" s="45" t="n">
        <f aca="false">E99-3*F99^2-2*F99</f>
        <v>0.0102912258461609</v>
      </c>
      <c r="I99" s="45" t="n">
        <f aca="false">-(E99*F99-F99^2-F99^3)</f>
        <v>-0.0023821943531286</v>
      </c>
      <c r="J99" s="45" t="n">
        <f aca="false">H99-G99^2/3</f>
        <v>-0.295401018740201</v>
      </c>
      <c r="K99" s="45" t="n">
        <f aca="false">2*G99^3/27-G99*H99/3+I99</f>
        <v>-0.0641512043771887</v>
      </c>
      <c r="L99" s="45" t="n">
        <f aca="false">K99^2/4+J99^3/27</f>
        <v>7.41326500470797E-005</v>
      </c>
      <c r="M99" s="45" t="n">
        <f aca="false">-K99/2-IF(K99&gt;=0,1,-1)*SQRT(MAX(L99,0))</f>
        <v>0.0406856341308742</v>
      </c>
      <c r="N99" s="45" t="n">
        <f aca="false">SIGN(M99)*ABS(M99)^(1/3)</f>
        <v>0.343938159659804</v>
      </c>
      <c r="O99" s="45" t="n">
        <f aca="false">IF(N99=0,0,N99-J99/(3*N99))</f>
        <v>0.630230923289549</v>
      </c>
      <c r="P99" s="45" t="n">
        <f aca="false">2*SQRT(MAX(-J99,0)/3)</f>
        <v>0.627589057414909</v>
      </c>
      <c r="Q99" s="45" t="n">
        <f aca="false">ACOS(IF(P99=0,0,MAX(-1,MIN(1,3*K99/(J99*P99)))))</f>
        <v>0</v>
      </c>
      <c r="R99" s="45" t="n">
        <f aca="false">P99*COS(Q99/3)</f>
        <v>0.627589057414909</v>
      </c>
      <c r="S99" s="45" t="n">
        <f aca="false">IF(L99&lt;0,R99,O99)-G99/3</f>
        <v>0.949444668078398</v>
      </c>
      <c r="T99" s="45" t="n">
        <f aca="false">IFERROR((((S99+G99)*S99+H99)*S99+I99)/((3*S99+2*G99)*S99+H99),0)</f>
        <v>4.11337026577661E-017</v>
      </c>
      <c r="U99" s="45" t="n">
        <f aca="false">IF(ABS(T99)&lt;0.1*ABS(S99),S99-T99,S99)</f>
        <v>0.949444668078398</v>
      </c>
      <c r="V99" s="45" t="n">
        <f aca="false">IFERROR((((U99+G99)*U99+H99)*U99+I99)/((3*U99+2*G99)*U99+H99),0)</f>
        <v>4.11337026577661E-017</v>
      </c>
      <c r="W99" s="45" t="n">
        <f aca="false">IF(ABS(V99)&lt;0.1*ABS(U99),U99-V99,U99)</f>
        <v>0.949444668078398</v>
      </c>
      <c r="X99" s="45" t="n">
        <f aca="false">-I99/W99</f>
        <v>0.00250903968732583</v>
      </c>
      <c r="Y99" s="45" t="n">
        <f aca="false">(H99-X99)/W99</f>
        <v>0.00819656628814995</v>
      </c>
      <c r="Z99" s="45" t="n">
        <f aca="false">Y99^2-4*X99</f>
        <v>-0.0099689750503873</v>
      </c>
      <c r="AA99" s="47" t="n">
        <f aca="false">IF(Z99&gt;=0,(Y99+IF(Y99&gt;=0,1,-1)*SQRT(Z99))/2,0)</f>
        <v>0</v>
      </c>
      <c r="AB99" s="48" t="n">
        <f aca="false">IF(AND(Z99&gt;=0,AA99&lt;&gt;0),MIN(AA99,X99/AA99),-1)</f>
        <v>-1</v>
      </c>
      <c r="AC99" s="45" t="n">
        <f aca="false">AND(Z99&gt;=0,AB99&gt;F99,ABS(W99-AB99)&gt;=0.00005*MAX(W99,AB99))</f>
        <v>0</v>
      </c>
      <c r="AD99" s="45" t="n">
        <f aca="false">IF(AC99,IFERROR((((AB99+G99)*AB99+H99)*AB99+I99)/((3*AB99+2*G99)*AB99+H99),0),0)</f>
        <v>0</v>
      </c>
      <c r="AE99" s="48" t="n">
        <f aca="false">IF(ABS(AD99)&lt;0.1*ABS(AB99),AB99-AD99,AB99)</f>
        <v>-1</v>
      </c>
      <c r="AF99" s="45" t="n">
        <f aca="false">IF(AC99,IFERROR((((AE99+G99)*AE99+H99)*AE99+I99)/((3*AE99+2*G99)*AE99+H99),0),0)</f>
        <v>0</v>
      </c>
      <c r="AG99" s="48" t="n">
        <f aca="false">IF(ABS(AF99)&lt;0.1*ABS(AE99),AE99-AF99,AE99)</f>
        <v>-1</v>
      </c>
      <c r="AH99" s="45" t="n">
        <f aca="false">IF(AC99,MAX(W99,AG99),W99)</f>
        <v>0.949444668078398</v>
      </c>
      <c r="AI99" s="48" t="n">
        <f aca="false">IF(AC99,MIN(W99,AG99),-1)</f>
        <v>-1</v>
      </c>
      <c r="AJ99" s="45" t="n">
        <f aca="false">AH99-1-LN(AH99-F99)-E99/(2*SQRT(2)*F99)*LN((AH99+(1+SQRT(2))*F99)/(AH99+(1-SQRT(2))*F99))</f>
        <v>-0.0543817858281532</v>
      </c>
      <c r="AK99" s="45" t="n">
        <f aca="false">IF(AC99,AI99-1-LN(AI99-F99)-E99/(2*SQRT(2)*F99)*LN((AI99+(1+SQRT(2))*F99)/(AI99+(1-SQRT(2))*F99)),0)</f>
        <v>0</v>
      </c>
      <c r="AL99" s="45" t="n">
        <f aca="false">IF(AC99,AK99-AJ99,0)</f>
        <v>0</v>
      </c>
      <c r="AM99" s="45" t="n">
        <f aca="false">IF(AC99,AL99&gt;0,AH99*'EOS steps'!$D$13*'EOS steps'!$D$7/D99&gt;=$E$9)</f>
        <v>1</v>
      </c>
      <c r="AN99" s="45" t="n">
        <f aca="false">IF(AC99,IF(AH99&gt;AI99,D99*EXP(MAX(-50,MIN(50,AL99/(AH99-AI99)))),D99),IF(AM99,D99*$E$14,D99/$E$14))</f>
        <v>3670971.81422207</v>
      </c>
      <c r="AO99" s="45" t="n">
        <f aca="false">IF(AM99,D99,B99)</f>
        <v>4609999.99120272</v>
      </c>
      <c r="AP99" s="45" t="n">
        <f aca="false">IF(AM99,C99,D99)</f>
        <v>4610000</v>
      </c>
      <c r="AQ99" s="46" t="n">
        <f aca="false">IF(AC99,IF(AND(AN99&gt;=AO99*(1-0.000000001),AN99&lt;=AP99*(1+0.000000001)),AN99,SQRT(AO99*AP99)),IF(AND(AO99&gt;$E$11,AP99&lt;$E$12),SQRT(AO99*AP99),IF(AND(AN99&gt;=AO99*(1-0.000000001),AN99&lt;=AP99*(1+0.000000001)),AN99,SQRT(AO99*AP99))))</f>
        <v>4609999.99560136</v>
      </c>
    </row>
    <row r="100" customFormat="false" ht="15" hidden="false" customHeight="false" outlineLevel="0" collapsed="false">
      <c r="A100" s="44" t="n">
        <v>21</v>
      </c>
      <c r="B100" s="45" t="n">
        <f aca="false">AO99</f>
        <v>4609999.99120272</v>
      </c>
      <c r="C100" s="45" t="n">
        <f aca="false">AP99</f>
        <v>4610000</v>
      </c>
      <c r="D100" s="46" t="n">
        <f aca="false">AQ99</f>
        <v>4609999.99560136</v>
      </c>
      <c r="E100" s="45" t="n">
        <f aca="false">$E$7*D100/('EOS steps'!$D$13*'EOS steps'!$D$7)^2</f>
        <v>0.100391552286824</v>
      </c>
      <c r="F100" s="45" t="n">
        <f aca="false">$E$8*D100/('EOS steps'!$D$13*'EOS steps'!$D$7)</f>
        <v>0.042358765673869</v>
      </c>
      <c r="G100" s="45" t="n">
        <f aca="false">-(1-F100)</f>
        <v>-0.957641234326131</v>
      </c>
      <c r="H100" s="45" t="n">
        <f aca="false">E100-3*F100^2-2*F100</f>
        <v>0.0102912258508443</v>
      </c>
      <c r="I100" s="45" t="n">
        <f aca="false">-(E100*F100-F100^2-F100^3)</f>
        <v>-0.00238219435760203</v>
      </c>
      <c r="J100" s="45" t="n">
        <f aca="false">H100-G100^2/3</f>
        <v>-0.295401018709714</v>
      </c>
      <c r="K100" s="45" t="n">
        <f aca="false">2*G100^3/27-G100*H100/3+I100</f>
        <v>-0.064151204372069</v>
      </c>
      <c r="L100" s="45" t="n">
        <f aca="false">K100^2/4+J100^3/27</f>
        <v>7.41326501784549E-005</v>
      </c>
      <c r="M100" s="45" t="n">
        <f aca="false">-K100/2-IF(K100&gt;=0,1,-1)*SQRT(MAX(L100,0))</f>
        <v>0.0406856341359436</v>
      </c>
      <c r="N100" s="45" t="n">
        <f aca="false">SIGN(M100)*ABS(M100)^(1/3)</f>
        <v>0.343938159674089</v>
      </c>
      <c r="O100" s="45" t="n">
        <f aca="false">IF(N100=0,0,N100-J100/(3*N100))</f>
        <v>0.630230923262396</v>
      </c>
      <c r="P100" s="45" t="n">
        <f aca="false">2*SQRT(MAX(-J100,0)/3)</f>
        <v>0.627589057382525</v>
      </c>
      <c r="Q100" s="45" t="n">
        <f aca="false">ACOS(IF(P100=0,0,MAX(-1,MIN(1,3*K100/(J100*P100)))))</f>
        <v>0</v>
      </c>
      <c r="R100" s="45" t="n">
        <f aca="false">P100*COS(Q100/3)</f>
        <v>0.627589057382525</v>
      </c>
      <c r="S100" s="45" t="n">
        <f aca="false">IF(L100&lt;0,R100,O100)-G100/3</f>
        <v>0.949444668037773</v>
      </c>
      <c r="T100" s="45" t="n">
        <f aca="false">IFERROR((((S100+G100)*S100+H100)*S100+I100)/((3*S100+2*G100)*S100+H100),0)</f>
        <v>-1.74213328917513E-017</v>
      </c>
      <c r="U100" s="45" t="n">
        <f aca="false">IF(ABS(T100)&lt;0.1*ABS(S100),S100-T100,S100)</f>
        <v>0.949444668037773</v>
      </c>
      <c r="V100" s="45" t="n">
        <f aca="false">IFERROR((((U100+G100)*U100+H100)*U100+I100)/((3*U100+2*G100)*U100+H100),0)</f>
        <v>-1.74213328917513E-017</v>
      </c>
      <c r="W100" s="45" t="n">
        <f aca="false">IF(ABS(V100)&lt;0.1*ABS(U100),U100-V100,U100)</f>
        <v>0.949444668037773</v>
      </c>
      <c r="X100" s="45" t="n">
        <f aca="false">-I100/W100</f>
        <v>0.00250903969214482</v>
      </c>
      <c r="Y100" s="45" t="n">
        <f aca="false">(H100-X100)/W100</f>
        <v>0.00819656628835784</v>
      </c>
      <c r="Z100" s="45" t="n">
        <f aca="false">Y100^2-4*X100</f>
        <v>-0.00996897506965983</v>
      </c>
      <c r="AA100" s="47" t="n">
        <f aca="false">IF(Z100&gt;=0,(Y100+IF(Y100&gt;=0,1,-1)*SQRT(Z100))/2,0)</f>
        <v>0</v>
      </c>
      <c r="AB100" s="48" t="n">
        <f aca="false">IF(AND(Z100&gt;=0,AA100&lt;&gt;0),MIN(AA100,X100/AA100),-1)</f>
        <v>-1</v>
      </c>
      <c r="AC100" s="45" t="n">
        <f aca="false">AND(Z100&gt;=0,AB100&gt;F100,ABS(W100-AB100)&gt;=0.00005*MAX(W100,AB100))</f>
        <v>0</v>
      </c>
      <c r="AD100" s="45" t="n">
        <f aca="false">IF(AC100,IFERROR((((AB100+G100)*AB100+H100)*AB100+I100)/((3*AB100+2*G100)*AB100+H100),0),0)</f>
        <v>0</v>
      </c>
      <c r="AE100" s="48" t="n">
        <f aca="false">IF(ABS(AD100)&lt;0.1*ABS(AB100),AB100-AD100,AB100)</f>
        <v>-1</v>
      </c>
      <c r="AF100" s="45" t="n">
        <f aca="false">IF(AC100,IFERROR((((AE100+G100)*AE100+H100)*AE100+I100)/((3*AE100+2*G100)*AE100+H100),0),0)</f>
        <v>0</v>
      </c>
      <c r="AG100" s="48" t="n">
        <f aca="false">IF(ABS(AF100)&lt;0.1*ABS(AE100),AE100-AF100,AE100)</f>
        <v>-1</v>
      </c>
      <c r="AH100" s="45" t="n">
        <f aca="false">IF(AC100,MAX(W100,AG100),W100)</f>
        <v>0.949444668037773</v>
      </c>
      <c r="AI100" s="48" t="n">
        <f aca="false">IF(AC100,MIN(W100,AG100),-1)</f>
        <v>-1</v>
      </c>
      <c r="AJ100" s="45" t="n">
        <f aca="false">AH100-1-LN(AH100-F100)-E100/(2*SQRT(2)*F100)*LN((AH100+(1+SQRT(2))*F100)/(AH100+(1-SQRT(2))*F100))</f>
        <v>-0.0543817858763904</v>
      </c>
      <c r="AK100" s="45" t="n">
        <f aca="false">IF(AC100,AI100-1-LN(AI100-F100)-E100/(2*SQRT(2)*F100)*LN((AI100+(1+SQRT(2))*F100)/(AI100+(1-SQRT(2))*F100)),0)</f>
        <v>0</v>
      </c>
      <c r="AL100" s="45" t="n">
        <f aca="false">IF(AC100,AK100-AJ100,0)</f>
        <v>0</v>
      </c>
      <c r="AM100" s="45" t="n">
        <f aca="false">IF(AC100,AL100&gt;0,AH100*'EOS steps'!$D$13*'EOS steps'!$D$7/D100&gt;=$E$9)</f>
        <v>1</v>
      </c>
      <c r="AN100" s="45" t="n">
        <f aca="false">IF(AC100,IF(AH100&gt;AI100,D100*EXP(MAX(-50,MIN(50,AL100/(AH100-AI100)))),D100),IF(AM100,D100*$E$14,D100/$E$14))</f>
        <v>3670971.81772473</v>
      </c>
      <c r="AO100" s="45" t="n">
        <f aca="false">IF(AM100,D100,B100)</f>
        <v>4609999.99560136</v>
      </c>
      <c r="AP100" s="45" t="n">
        <f aca="false">IF(AM100,C100,D100)</f>
        <v>4610000</v>
      </c>
      <c r="AQ100" s="46" t="n">
        <f aca="false">IF(AC100,IF(AND(AN100&gt;=AO100*(1-0.000000001),AN100&lt;=AP100*(1+0.000000001)),AN100,SQRT(AO100*AP100)),IF(AND(AO100&gt;$E$11,AP100&lt;$E$12),SQRT(AO100*AP100),IF(AND(AN100&gt;=AO100*(1-0.000000001),AN100&lt;=AP100*(1+0.000000001)),AN100,SQRT(AO100*AP100))))</f>
        <v>4609999.99780068</v>
      </c>
    </row>
    <row r="101" customFormat="false" ht="15" hidden="false" customHeight="false" outlineLevel="0" collapsed="false">
      <c r="A101" s="44" t="n">
        <v>22</v>
      </c>
      <c r="B101" s="45" t="n">
        <f aca="false">AO100</f>
        <v>4609999.99560136</v>
      </c>
      <c r="C101" s="45" t="n">
        <f aca="false">AP100</f>
        <v>4610000</v>
      </c>
      <c r="D101" s="46" t="n">
        <f aca="false">AQ100</f>
        <v>4609999.99780068</v>
      </c>
      <c r="E101" s="45" t="n">
        <f aca="false">$E$7*D101/('EOS steps'!$D$13*'EOS steps'!$D$7)^2</f>
        <v>0.100391552334718</v>
      </c>
      <c r="F101" s="45" t="n">
        <f aca="false">$E$8*D101/('EOS steps'!$D$13*'EOS steps'!$D$7)</f>
        <v>0.0423587656940774</v>
      </c>
      <c r="G101" s="45" t="n">
        <f aca="false">-(1-F101)</f>
        <v>-0.957641234305923</v>
      </c>
      <c r="H101" s="45" t="n">
        <f aca="false">E101-3*F101^2-2*F101</f>
        <v>0.010291225853186</v>
      </c>
      <c r="I101" s="45" t="n">
        <f aca="false">-(E101*F101-F101^2-F101^3)</f>
        <v>-0.00238219435983875</v>
      </c>
      <c r="J101" s="45" t="n">
        <f aca="false">H101-G101^2/3</f>
        <v>-0.295401018694471</v>
      </c>
      <c r="K101" s="45" t="n">
        <f aca="false">2*G101^3/27-G101*H101/3+I101</f>
        <v>-0.0641512043695092</v>
      </c>
      <c r="L101" s="45" t="n">
        <f aca="false">K101^2/4+J101^3/27</f>
        <v>7.41326502441411E-005</v>
      </c>
      <c r="M101" s="45" t="n">
        <f aca="false">-K101/2-IF(K101&gt;=0,1,-1)*SQRT(MAX(L101,0))</f>
        <v>0.0406856341384782</v>
      </c>
      <c r="N101" s="45" t="n">
        <f aca="false">SIGN(M101)*ABS(M101)^(1/3)</f>
        <v>0.343938159681231</v>
      </c>
      <c r="O101" s="45" t="n">
        <f aca="false">IF(N101=0,0,N101-J101/(3*N101))</f>
        <v>0.63023092324882</v>
      </c>
      <c r="P101" s="45" t="n">
        <f aca="false">2*SQRT(MAX(-J101,0)/3)</f>
        <v>0.627589057366332</v>
      </c>
      <c r="Q101" s="45" t="n">
        <f aca="false">ACOS(IF(P101=0,0,MAX(-1,MIN(1,3*K101/(J101*P101)))))</f>
        <v>0</v>
      </c>
      <c r="R101" s="45" t="n">
        <f aca="false">P101*COS(Q101/3)</f>
        <v>0.627589057366332</v>
      </c>
      <c r="S101" s="45" t="n">
        <f aca="false">IF(L101&lt;0,R101,O101)-G101/3</f>
        <v>0.949444668017461</v>
      </c>
      <c r="T101" s="45" t="n">
        <f aca="false">IFERROR((((S101+G101)*S101+H101)*S101+I101)/((3*S101+2*G101)*S101+H101),0)</f>
        <v>1.69374069787737E-017</v>
      </c>
      <c r="U101" s="45" t="n">
        <f aca="false">IF(ABS(T101)&lt;0.1*ABS(S101),S101-T101,S101)</f>
        <v>0.949444668017461</v>
      </c>
      <c r="V101" s="45" t="n">
        <f aca="false">IFERROR((((U101+G101)*U101+H101)*U101+I101)/((3*U101+2*G101)*U101+H101),0)</f>
        <v>1.69374069787737E-017</v>
      </c>
      <c r="W101" s="45" t="n">
        <f aca="false">IF(ABS(V101)&lt;0.1*ABS(U101),U101-V101,U101)</f>
        <v>0.949444668017461</v>
      </c>
      <c r="X101" s="45" t="n">
        <f aca="false">-I101/W101</f>
        <v>0.00250903969455431</v>
      </c>
      <c r="Y101" s="45" t="n">
        <f aca="false">(H101-X101)/W101</f>
        <v>0.00819656628846179</v>
      </c>
      <c r="Z101" s="45" t="n">
        <f aca="false">Y101^2-4*X101</f>
        <v>-0.00996897507929609</v>
      </c>
      <c r="AA101" s="47" t="n">
        <f aca="false">IF(Z101&gt;=0,(Y101+IF(Y101&gt;=0,1,-1)*SQRT(Z101))/2,0)</f>
        <v>0</v>
      </c>
      <c r="AB101" s="48" t="n">
        <f aca="false">IF(AND(Z101&gt;=0,AA101&lt;&gt;0),MIN(AA101,X101/AA101),-1)</f>
        <v>-1</v>
      </c>
      <c r="AC101" s="45" t="n">
        <f aca="false">AND(Z101&gt;=0,AB101&gt;F101,ABS(W101-AB101)&gt;=0.00005*MAX(W101,AB101))</f>
        <v>0</v>
      </c>
      <c r="AD101" s="45" t="n">
        <f aca="false">IF(AC101,IFERROR((((AB101+G101)*AB101+H101)*AB101+I101)/((3*AB101+2*G101)*AB101+H101),0),0)</f>
        <v>0</v>
      </c>
      <c r="AE101" s="48" t="n">
        <f aca="false">IF(ABS(AD101)&lt;0.1*ABS(AB101),AB101-AD101,AB101)</f>
        <v>-1</v>
      </c>
      <c r="AF101" s="45" t="n">
        <f aca="false">IF(AC101,IFERROR((((AE101+G101)*AE101+H101)*AE101+I101)/((3*AE101+2*G101)*AE101+H101),0),0)</f>
        <v>0</v>
      </c>
      <c r="AG101" s="48" t="n">
        <f aca="false">IF(ABS(AF101)&lt;0.1*ABS(AE101),AE101-AF101,AE101)</f>
        <v>-1</v>
      </c>
      <c r="AH101" s="45" t="n">
        <f aca="false">IF(AC101,MAX(W101,AG101),W101)</f>
        <v>0.949444668017461</v>
      </c>
      <c r="AI101" s="48" t="n">
        <f aca="false">IF(AC101,MIN(W101,AG101),-1)</f>
        <v>-1</v>
      </c>
      <c r="AJ101" s="45" t="n">
        <f aca="false">AH101-1-LN(AH101-F101)-E101/(2*SQRT(2)*F101)*LN((AH101+(1+SQRT(2))*F101)/(AH101+(1-SQRT(2))*F101))</f>
        <v>-0.0543817859005093</v>
      </c>
      <c r="AK101" s="45" t="n">
        <f aca="false">IF(AC101,AI101-1-LN(AI101-F101)-E101/(2*SQRT(2)*F101)*LN((AI101+(1+SQRT(2))*F101)/(AI101+(1-SQRT(2))*F101)),0)</f>
        <v>0</v>
      </c>
      <c r="AL101" s="45" t="n">
        <f aca="false">IF(AC101,AK101-AJ101,0)</f>
        <v>0</v>
      </c>
      <c r="AM101" s="45" t="n">
        <f aca="false">IF(AC101,AL101&gt;0,AH101*'EOS steps'!$D$13*'EOS steps'!$D$7/D101&gt;=$E$9)</f>
        <v>1</v>
      </c>
      <c r="AN101" s="45" t="n">
        <f aca="false">IF(AC101,IF(AH101&gt;AI101,D101*EXP(MAX(-50,MIN(50,AL101/(AH101-AI101)))),D101),IF(AM101,D101*$E$14,D101/$E$14))</f>
        <v>3670971.81947607</v>
      </c>
      <c r="AO101" s="45" t="n">
        <f aca="false">IF(AM101,D101,B101)</f>
        <v>4609999.99780068</v>
      </c>
      <c r="AP101" s="45" t="n">
        <f aca="false">IF(AM101,C101,D101)</f>
        <v>4610000</v>
      </c>
      <c r="AQ101" s="46" t="n">
        <f aca="false">IF(AC101,IF(AND(AN101&gt;=AO101*(1-0.000000001),AN101&lt;=AP101*(1+0.000000001)),AN101,SQRT(AO101*AP101)),IF(AND(AO101&gt;$E$11,AP101&lt;$E$12),SQRT(AO101*AP101),IF(AND(AN101&gt;=AO101*(1-0.000000001),AN101&lt;=AP101*(1+0.000000001)),AN101,SQRT(AO101*AP101))))</f>
        <v>4609999.99890034</v>
      </c>
    </row>
    <row r="102" customFormat="false" ht="15" hidden="false" customHeight="false" outlineLevel="0" collapsed="false">
      <c r="A102" s="44" t="n">
        <v>23</v>
      </c>
      <c r="B102" s="45" t="n">
        <f aca="false">AO101</f>
        <v>4609999.99780068</v>
      </c>
      <c r="C102" s="45" t="n">
        <f aca="false">AP101</f>
        <v>4610000</v>
      </c>
      <c r="D102" s="46" t="n">
        <f aca="false">AQ101</f>
        <v>4609999.99890034</v>
      </c>
      <c r="E102" s="45" t="n">
        <f aca="false">$E$7*D102/('EOS steps'!$D$13*'EOS steps'!$D$7)^2</f>
        <v>0.100391552358665</v>
      </c>
      <c r="F102" s="45" t="n">
        <f aca="false">$E$8*D102/('EOS steps'!$D$13*'EOS steps'!$D$7)</f>
        <v>0.0423587657041815</v>
      </c>
      <c r="G102" s="45" t="n">
        <f aca="false">-(1-F102)</f>
        <v>-0.957641234295819</v>
      </c>
      <c r="H102" s="45" t="n">
        <f aca="false">E102-3*F102^2-2*F102</f>
        <v>0.0102912258543569</v>
      </c>
      <c r="I102" s="45" t="n">
        <f aca="false">-(E102*F102-F102^2-F102^3)</f>
        <v>-0.00238219436095711</v>
      </c>
      <c r="J102" s="45" t="n">
        <f aca="false">H102-G102^2/3</f>
        <v>-0.295401018686849</v>
      </c>
      <c r="K102" s="45" t="n">
        <f aca="false">2*G102^3/27-G102*H102/3+I102</f>
        <v>-0.0641512043682293</v>
      </c>
      <c r="L102" s="45" t="n">
        <f aca="false">K102^2/4+J102^3/27</f>
        <v>7.41326502769844E-005</v>
      </c>
      <c r="M102" s="45" t="n">
        <f aca="false">-K102/2-IF(K102&gt;=0,1,-1)*SQRT(MAX(L102,0))</f>
        <v>0.0406856341397455</v>
      </c>
      <c r="N102" s="45" t="n">
        <f aca="false">SIGN(M102)*ABS(M102)^(1/3)</f>
        <v>0.343938159684802</v>
      </c>
      <c r="O102" s="45" t="n">
        <f aca="false">IF(N102=0,0,N102-J102/(3*N102))</f>
        <v>0.630230923242032</v>
      </c>
      <c r="P102" s="45" t="n">
        <f aca="false">2*SQRT(MAX(-J102,0)/3)</f>
        <v>0.627589057358236</v>
      </c>
      <c r="Q102" s="45" t="n">
        <f aca="false">ACOS(IF(P102=0,0,MAX(-1,MIN(1,3*K102/(J102*P102)))))</f>
        <v>0</v>
      </c>
      <c r="R102" s="45" t="n">
        <f aca="false">P102*COS(Q102/3)</f>
        <v>0.627589057358236</v>
      </c>
      <c r="S102" s="45" t="n">
        <f aca="false">IF(L102&lt;0,R102,O102)-G102/3</f>
        <v>0.949444668007305</v>
      </c>
      <c r="T102" s="45" t="n">
        <f aca="false">IFERROR((((S102+G102)*S102+H102)*S102+I102)/((3*S102+2*G102)*S102+H102),0)</f>
        <v>2.70998511665836E-017</v>
      </c>
      <c r="U102" s="45" t="n">
        <f aca="false">IF(ABS(T102)&lt;0.1*ABS(S102),S102-T102,S102)</f>
        <v>0.949444668007305</v>
      </c>
      <c r="V102" s="45" t="n">
        <f aca="false">IFERROR((((U102+G102)*U102+H102)*U102+I102)/((3*U102+2*G102)*U102+H102),0)</f>
        <v>2.70998511665836E-017</v>
      </c>
      <c r="W102" s="45" t="n">
        <f aca="false">IF(ABS(V102)&lt;0.1*ABS(U102),U102-V102,U102)</f>
        <v>0.949444668007305</v>
      </c>
      <c r="X102" s="45" t="n">
        <f aca="false">-I102/W102</f>
        <v>0.00250903969575906</v>
      </c>
      <c r="Y102" s="45" t="n">
        <f aca="false">(H102-X102)/W102</f>
        <v>0.00819656628851376</v>
      </c>
      <c r="Z102" s="45" t="n">
        <f aca="false">Y102^2-4*X102</f>
        <v>-0.00996897508411422</v>
      </c>
      <c r="AA102" s="47" t="n">
        <f aca="false">IF(Z102&gt;=0,(Y102+IF(Y102&gt;=0,1,-1)*SQRT(Z102))/2,0)</f>
        <v>0</v>
      </c>
      <c r="AB102" s="48" t="n">
        <f aca="false">IF(AND(Z102&gt;=0,AA102&lt;&gt;0),MIN(AA102,X102/AA102),-1)</f>
        <v>-1</v>
      </c>
      <c r="AC102" s="45" t="n">
        <f aca="false">AND(Z102&gt;=0,AB102&gt;F102,ABS(W102-AB102)&gt;=0.00005*MAX(W102,AB102))</f>
        <v>0</v>
      </c>
      <c r="AD102" s="45" t="n">
        <f aca="false">IF(AC102,IFERROR((((AB102+G102)*AB102+H102)*AB102+I102)/((3*AB102+2*G102)*AB102+H102),0),0)</f>
        <v>0</v>
      </c>
      <c r="AE102" s="48" t="n">
        <f aca="false">IF(ABS(AD102)&lt;0.1*ABS(AB102),AB102-AD102,AB102)</f>
        <v>-1</v>
      </c>
      <c r="AF102" s="45" t="n">
        <f aca="false">IF(AC102,IFERROR((((AE102+G102)*AE102+H102)*AE102+I102)/((3*AE102+2*G102)*AE102+H102),0),0)</f>
        <v>0</v>
      </c>
      <c r="AG102" s="48" t="n">
        <f aca="false">IF(ABS(AF102)&lt;0.1*ABS(AE102),AE102-AF102,AE102)</f>
        <v>-1</v>
      </c>
      <c r="AH102" s="45" t="n">
        <f aca="false">IF(AC102,MAX(W102,AG102),W102)</f>
        <v>0.949444668007305</v>
      </c>
      <c r="AI102" s="48" t="n">
        <f aca="false">IF(AC102,MIN(W102,AG102),-1)</f>
        <v>-1</v>
      </c>
      <c r="AJ102" s="45" t="n">
        <f aca="false">AH102-1-LN(AH102-F102)-E102/(2*SQRT(2)*F102)*LN((AH102+(1+SQRT(2))*F102)/(AH102+(1-SQRT(2))*F102))</f>
        <v>-0.0543817859125685</v>
      </c>
      <c r="AK102" s="45" t="n">
        <f aca="false">IF(AC102,AI102-1-LN(AI102-F102)-E102/(2*SQRT(2)*F102)*LN((AI102+(1+SQRT(2))*F102)/(AI102+(1-SQRT(2))*F102)),0)</f>
        <v>0</v>
      </c>
      <c r="AL102" s="45" t="n">
        <f aca="false">IF(AC102,AK102-AJ102,0)</f>
        <v>0</v>
      </c>
      <c r="AM102" s="45" t="n">
        <f aca="false">IF(AC102,AL102&gt;0,AH102*'EOS steps'!$D$13*'EOS steps'!$D$7/D102&gt;=$E$9)</f>
        <v>1</v>
      </c>
      <c r="AN102" s="45" t="n">
        <f aca="false">IF(AC102,IF(AH102&gt;AI102,D102*EXP(MAX(-50,MIN(50,AL102/(AH102-AI102)))),D102),IF(AM102,D102*$E$14,D102/$E$14))</f>
        <v>3670971.82035173</v>
      </c>
      <c r="AO102" s="45" t="n">
        <f aca="false">IF(AM102,D102,B102)</f>
        <v>4609999.99890034</v>
      </c>
      <c r="AP102" s="45" t="n">
        <f aca="false">IF(AM102,C102,D102)</f>
        <v>4610000</v>
      </c>
      <c r="AQ102" s="46" t="n">
        <f aca="false">IF(AC102,IF(AND(AN102&gt;=AO102*(1-0.000000001),AN102&lt;=AP102*(1+0.000000001)),AN102,SQRT(AO102*AP102)),IF(AND(AO102&gt;$E$11,AP102&lt;$E$12),SQRT(AO102*AP102),IF(AND(AN102&gt;=AO102*(1-0.000000001),AN102&lt;=AP102*(1+0.000000001)),AN102,SQRT(AO102*AP102))))</f>
        <v>4609999.99945017</v>
      </c>
    </row>
    <row r="103" customFormat="false" ht="15" hidden="false" customHeight="false" outlineLevel="0" collapsed="false">
      <c r="A103" s="44" t="n">
        <v>24</v>
      </c>
      <c r="B103" s="45" t="n">
        <f aca="false">AO102</f>
        <v>4609999.99890034</v>
      </c>
      <c r="C103" s="45" t="n">
        <f aca="false">AP102</f>
        <v>4610000</v>
      </c>
      <c r="D103" s="46" t="n">
        <f aca="false">AQ102</f>
        <v>4609999.99945017</v>
      </c>
      <c r="E103" s="45" t="n">
        <f aca="false">$E$7*D103/('EOS steps'!$D$13*'EOS steps'!$D$7)^2</f>
        <v>0.100391552370639</v>
      </c>
      <c r="F103" s="45" t="n">
        <f aca="false">$E$8*D103/('EOS steps'!$D$13*'EOS steps'!$D$7)</f>
        <v>0.0423587657092336</v>
      </c>
      <c r="G103" s="45" t="n">
        <f aca="false">-(1-F103)</f>
        <v>-0.957641234290766</v>
      </c>
      <c r="H103" s="45" t="n">
        <f aca="false">E103-3*F103^2-2*F103</f>
        <v>0.0102912258549423</v>
      </c>
      <c r="I103" s="45" t="n">
        <f aca="false">-(E103*F103-F103^2-F103^3)</f>
        <v>-0.00238219436151628</v>
      </c>
      <c r="J103" s="45" t="n">
        <f aca="false">H103-G103^2/3</f>
        <v>-0.295401018683039</v>
      </c>
      <c r="K103" s="45" t="n">
        <f aca="false">2*G103^3/27-G103*H103/3+I103</f>
        <v>-0.0641512043675894</v>
      </c>
      <c r="L103" s="45" t="n">
        <f aca="false">K103^2/4+J103^3/27</f>
        <v>7.41326502934062E-005</v>
      </c>
      <c r="M103" s="45" t="n">
        <f aca="false">-K103/2-IF(K103&gt;=0,1,-1)*SQRT(MAX(L103,0))</f>
        <v>0.0406856341403792</v>
      </c>
      <c r="N103" s="45" t="n">
        <f aca="false">SIGN(M103)*ABS(M103)^(1/3)</f>
        <v>0.343938159686588</v>
      </c>
      <c r="O103" s="45" t="n">
        <f aca="false">IF(N103=0,0,N103-J103/(3*N103))</f>
        <v>0.630230923238638</v>
      </c>
      <c r="P103" s="45" t="n">
        <f aca="false">2*SQRT(MAX(-J103,0)/3)</f>
        <v>0.627589057354188</v>
      </c>
      <c r="Q103" s="45" t="n">
        <f aca="false">ACOS(IF(P103=0,0,MAX(-1,MIN(1,3*K103/(J103*P103)))))</f>
        <v>0</v>
      </c>
      <c r="R103" s="45" t="n">
        <f aca="false">P103*COS(Q103/3)</f>
        <v>0.627589057354188</v>
      </c>
      <c r="S103" s="45" t="n">
        <f aca="false">IF(L103&lt;0,R103,O103)-G103/3</f>
        <v>0.949444668002227</v>
      </c>
      <c r="T103" s="45" t="n">
        <f aca="false">IFERROR((((S103+G103)*S103+H103)*S103+I103)/((3*S103+2*G103)*S103+H103),0)</f>
        <v>-6.48460724349781E-017</v>
      </c>
      <c r="U103" s="45" t="n">
        <f aca="false">IF(ABS(T103)&lt;0.1*ABS(S103),S103-T103,S103)</f>
        <v>0.949444668002227</v>
      </c>
      <c r="V103" s="45" t="n">
        <f aca="false">IFERROR((((U103+G103)*U103+H103)*U103+I103)/((3*U103+2*G103)*U103+H103),0)</f>
        <v>4.59729618009173E-017</v>
      </c>
      <c r="W103" s="45" t="n">
        <f aca="false">IF(ABS(V103)&lt;0.1*ABS(U103),U103-V103,U103)</f>
        <v>0.949444668002227</v>
      </c>
      <c r="X103" s="45" t="n">
        <f aca="false">-I103/W103</f>
        <v>0.00250903969636143</v>
      </c>
      <c r="Y103" s="45" t="n">
        <f aca="false">(H103-X103)/W103</f>
        <v>0.00819656628853975</v>
      </c>
      <c r="Z103" s="45" t="n">
        <f aca="false">Y103^2-4*X103</f>
        <v>-0.00996897508652329</v>
      </c>
      <c r="AA103" s="47" t="n">
        <f aca="false">IF(Z103&gt;=0,(Y103+IF(Y103&gt;=0,1,-1)*SQRT(Z103))/2,0)</f>
        <v>0</v>
      </c>
      <c r="AB103" s="48" t="n">
        <f aca="false">IF(AND(Z103&gt;=0,AA103&lt;&gt;0),MIN(AA103,X103/AA103),-1)</f>
        <v>-1</v>
      </c>
      <c r="AC103" s="45" t="n">
        <f aca="false">AND(Z103&gt;=0,AB103&gt;F103,ABS(W103-AB103)&gt;=0.00005*MAX(W103,AB103))</f>
        <v>0</v>
      </c>
      <c r="AD103" s="45" t="n">
        <f aca="false">IF(AC103,IFERROR((((AB103+G103)*AB103+H103)*AB103+I103)/((3*AB103+2*G103)*AB103+H103),0),0)</f>
        <v>0</v>
      </c>
      <c r="AE103" s="48" t="n">
        <f aca="false">IF(ABS(AD103)&lt;0.1*ABS(AB103),AB103-AD103,AB103)</f>
        <v>-1</v>
      </c>
      <c r="AF103" s="45" t="n">
        <f aca="false">IF(AC103,IFERROR((((AE103+G103)*AE103+H103)*AE103+I103)/((3*AE103+2*G103)*AE103+H103),0),0)</f>
        <v>0</v>
      </c>
      <c r="AG103" s="48" t="n">
        <f aca="false">IF(ABS(AF103)&lt;0.1*ABS(AE103),AE103-AF103,AE103)</f>
        <v>-1</v>
      </c>
      <c r="AH103" s="45" t="n">
        <f aca="false">IF(AC103,MAX(W103,AG103),W103)</f>
        <v>0.949444668002227</v>
      </c>
      <c r="AI103" s="48" t="n">
        <f aca="false">IF(AC103,MIN(W103,AG103),-1)</f>
        <v>-1</v>
      </c>
      <c r="AJ103" s="45" t="n">
        <f aca="false">AH103-1-LN(AH103-F103)-E103/(2*SQRT(2)*F103)*LN((AH103+(1+SQRT(2))*F103)/(AH103+(1-SQRT(2))*F103))</f>
        <v>-0.0543817859185982</v>
      </c>
      <c r="AK103" s="45" t="n">
        <f aca="false">IF(AC103,AI103-1-LN(AI103-F103)-E103/(2*SQRT(2)*F103)*LN((AI103+(1+SQRT(2))*F103)/(AI103+(1-SQRT(2))*F103)),0)</f>
        <v>0</v>
      </c>
      <c r="AL103" s="45" t="n">
        <f aca="false">IF(AC103,AK103-AJ103,0)</f>
        <v>0</v>
      </c>
      <c r="AM103" s="45" t="n">
        <f aca="false">IF(AC103,AL103&gt;0,AH103*'EOS steps'!$D$13*'EOS steps'!$D$7/D103&gt;=$E$9)</f>
        <v>1</v>
      </c>
      <c r="AN103" s="45" t="n">
        <f aca="false">IF(AC103,IF(AH103&gt;AI103,D103*EXP(MAX(-50,MIN(50,AL103/(AH103-AI103)))),D103),IF(AM103,D103*$E$14,D103/$E$14))</f>
        <v>3670971.82078956</v>
      </c>
      <c r="AO103" s="45" t="n">
        <f aca="false">IF(AM103,D103,B103)</f>
        <v>4609999.99945017</v>
      </c>
      <c r="AP103" s="45" t="n">
        <f aca="false">IF(AM103,C103,D103)</f>
        <v>4610000</v>
      </c>
      <c r="AQ103" s="46" t="n">
        <f aca="false">IF(AC103,IF(AND(AN103&gt;=AO103*(1-0.000000001),AN103&lt;=AP103*(1+0.000000001)),AN103,SQRT(AO103*AP103)),IF(AND(AO103&gt;$E$11,AP103&lt;$E$12),SQRT(AO103*AP103),IF(AND(AN103&gt;=AO103*(1-0.000000001),AN103&lt;=AP103*(1+0.000000001)),AN103,SQRT(AO103*AP103))))</f>
        <v>4609999.99972509</v>
      </c>
    </row>
    <row r="104" customFormat="false" ht="15" hidden="false" customHeight="false" outlineLevel="0" collapsed="false">
      <c r="A104" s="44" t="n">
        <v>25</v>
      </c>
      <c r="B104" s="45" t="n">
        <f aca="false">AO103</f>
        <v>4609999.99945017</v>
      </c>
      <c r="C104" s="45" t="n">
        <f aca="false">AP103</f>
        <v>4610000</v>
      </c>
      <c r="D104" s="46" t="n">
        <f aca="false">AQ103</f>
        <v>4609999.99972509</v>
      </c>
      <c r="E104" s="45" t="n">
        <f aca="false">$E$7*D104/('EOS steps'!$D$13*'EOS steps'!$D$7)^2</f>
        <v>0.100391552376626</v>
      </c>
      <c r="F104" s="45" t="n">
        <f aca="false">$E$8*D104/('EOS steps'!$D$13*'EOS steps'!$D$7)</f>
        <v>0.0423587657117597</v>
      </c>
      <c r="G104" s="45" t="n">
        <f aca="false">-(1-F104)</f>
        <v>-0.95764123428824</v>
      </c>
      <c r="H104" s="45" t="n">
        <f aca="false">E104-3*F104^2-2*F104</f>
        <v>0.010291225855235</v>
      </c>
      <c r="I104" s="45" t="n">
        <f aca="false">-(E104*F104-F104^2-F104^3)</f>
        <v>-0.00238219436179587</v>
      </c>
      <c r="J104" s="45" t="n">
        <f aca="false">H104-G104^2/3</f>
        <v>-0.295401018681133</v>
      </c>
      <c r="K104" s="45" t="n">
        <f aca="false">2*G104^3/27-G104*H104/3+I104</f>
        <v>-0.0641512043672694</v>
      </c>
      <c r="L104" s="45" t="n">
        <f aca="false">K104^2/4+J104^3/27</f>
        <v>7.41326503016174E-005</v>
      </c>
      <c r="M104" s="45" t="n">
        <f aca="false">-K104/2-IF(K104&gt;=0,1,-1)*SQRT(MAX(L104,0))</f>
        <v>0.040685634140696</v>
      </c>
      <c r="N104" s="45" t="n">
        <f aca="false">SIGN(M104)*ABS(M104)^(1/3)</f>
        <v>0.343938159687481</v>
      </c>
      <c r="O104" s="45" t="n">
        <f aca="false">IF(N104=0,0,N104-J104/(3*N104))</f>
        <v>0.630230923236941</v>
      </c>
      <c r="P104" s="45" t="n">
        <f aca="false">2*SQRT(MAX(-J104,0)/3)</f>
        <v>0.627589057352164</v>
      </c>
      <c r="Q104" s="45" t="n">
        <f aca="false">ACOS(IF(P104=0,0,MAX(-1,MIN(1,3*K104/(J104*P104)))))</f>
        <v>0</v>
      </c>
      <c r="R104" s="45" t="n">
        <f aca="false">P104*COS(Q104/3)</f>
        <v>0.627589057352164</v>
      </c>
      <c r="S104" s="45" t="n">
        <f aca="false">IF(L104&lt;0,R104,O104)-G104/3</f>
        <v>0.949444667999688</v>
      </c>
      <c r="T104" s="45" t="n">
        <f aca="false">IFERROR((((S104+G104)*S104+H104)*S104+I104)/((3*S104+2*G104)*S104+H104),0)</f>
        <v>4.93604431970228E-017</v>
      </c>
      <c r="U104" s="45" t="n">
        <f aca="false">IF(ABS(T104)&lt;0.1*ABS(S104),S104-T104,S104)</f>
        <v>0.949444667999688</v>
      </c>
      <c r="V104" s="45" t="n">
        <f aca="false">IFERROR((((U104+G104)*U104+H104)*U104+I104)/((3*U104+2*G104)*U104+H104),0)</f>
        <v>4.93604431970228E-017</v>
      </c>
      <c r="W104" s="45" t="n">
        <f aca="false">IF(ABS(V104)&lt;0.1*ABS(U104),U104-V104,U104)</f>
        <v>0.949444667999688</v>
      </c>
      <c r="X104" s="45" t="n">
        <f aca="false">-I104/W104</f>
        <v>0.00250903969666261</v>
      </c>
      <c r="Y104" s="45" t="n">
        <f aca="false">(H104-X104)/W104</f>
        <v>0.00819656628855275</v>
      </c>
      <c r="Z104" s="45" t="n">
        <f aca="false">Y104^2-4*X104</f>
        <v>-0.00996897508772782</v>
      </c>
      <c r="AA104" s="47" t="n">
        <f aca="false">IF(Z104&gt;=0,(Y104+IF(Y104&gt;=0,1,-1)*SQRT(Z104))/2,0)</f>
        <v>0</v>
      </c>
      <c r="AB104" s="48" t="n">
        <f aca="false">IF(AND(Z104&gt;=0,AA104&lt;&gt;0),MIN(AA104,X104/AA104),-1)</f>
        <v>-1</v>
      </c>
      <c r="AC104" s="45" t="n">
        <f aca="false">AND(Z104&gt;=0,AB104&gt;F104,ABS(W104-AB104)&gt;=0.00005*MAX(W104,AB104))</f>
        <v>0</v>
      </c>
      <c r="AD104" s="45" t="n">
        <f aca="false">IF(AC104,IFERROR((((AB104+G104)*AB104+H104)*AB104+I104)/((3*AB104+2*G104)*AB104+H104),0),0)</f>
        <v>0</v>
      </c>
      <c r="AE104" s="48" t="n">
        <f aca="false">IF(ABS(AD104)&lt;0.1*ABS(AB104),AB104-AD104,AB104)</f>
        <v>-1</v>
      </c>
      <c r="AF104" s="45" t="n">
        <f aca="false">IF(AC104,IFERROR((((AE104+G104)*AE104+H104)*AE104+I104)/((3*AE104+2*G104)*AE104+H104),0),0)</f>
        <v>0</v>
      </c>
      <c r="AG104" s="48" t="n">
        <f aca="false">IF(ABS(AF104)&lt;0.1*ABS(AE104),AE104-AF104,AE104)</f>
        <v>-1</v>
      </c>
      <c r="AH104" s="45" t="n">
        <f aca="false">IF(AC104,MAX(W104,AG104),W104)</f>
        <v>0.949444667999688</v>
      </c>
      <c r="AI104" s="48" t="n">
        <f aca="false">IF(AC104,MIN(W104,AG104),-1)</f>
        <v>-1</v>
      </c>
      <c r="AJ104" s="45" t="n">
        <f aca="false">AH104-1-LN(AH104-F104)-E104/(2*SQRT(2)*F104)*LN((AH104+(1+SQRT(2))*F104)/(AH104+(1-SQRT(2))*F104))</f>
        <v>-0.0543817859216132</v>
      </c>
      <c r="AK104" s="45" t="n">
        <f aca="false">IF(AC104,AI104-1-LN(AI104-F104)-E104/(2*SQRT(2)*F104)*LN((AI104+(1+SQRT(2))*F104)/(AI104+(1-SQRT(2))*F104)),0)</f>
        <v>0</v>
      </c>
      <c r="AL104" s="45" t="n">
        <f aca="false">IF(AC104,AK104-AJ104,0)</f>
        <v>0</v>
      </c>
      <c r="AM104" s="45" t="n">
        <f aca="false">IF(AC104,AL104&gt;0,AH104*'EOS steps'!$D$13*'EOS steps'!$D$7/D104&gt;=$E$9)</f>
        <v>1</v>
      </c>
      <c r="AN104" s="45" t="n">
        <f aca="false">IF(AC104,IF(AH104&gt;AI104,D104*EXP(MAX(-50,MIN(50,AL104/(AH104-AI104)))),D104),IF(AM104,D104*$E$14,D104/$E$14))</f>
        <v>3670971.82100848</v>
      </c>
      <c r="AO104" s="45" t="n">
        <f aca="false">IF(AM104,D104,B104)</f>
        <v>4609999.99972509</v>
      </c>
      <c r="AP104" s="45" t="n">
        <f aca="false">IF(AM104,C104,D104)</f>
        <v>4610000</v>
      </c>
      <c r="AQ104" s="46" t="n">
        <f aca="false">IF(AC104,IF(AND(AN104&gt;=AO104*(1-0.000000001),AN104&lt;=AP104*(1+0.000000001)),AN104,SQRT(AO104*AP104)),IF(AND(AO104&gt;$E$11,AP104&lt;$E$12),SQRT(AO104*AP104),IF(AND(AN104&gt;=AO104*(1-0.000000001),AN104&lt;=AP104*(1+0.000000001)),AN104,SQRT(AO104*AP104))))</f>
        <v>4609999.99986254</v>
      </c>
    </row>
  </sheetData>
  <conditionalFormatting sqref="C7:E17">
    <cfRule type="expression" priority="2" aboveAverage="0" equalAverage="0" bottom="0" percent="0" rank="0" text="" dxfId="2">
      <formula>AND(ISNUMBER(C7),C7&lt;&gt;0,ABS(C7)&lt;0.001)</formula>
    </cfRule>
    <cfRule type="expression" priority="3" aboveAverage="0" equalAverage="0" bottom="0" percent="0" rank="0" text="" dxfId="2">
      <formula>AND(ISNUMBER(C7),ABS(C7)&gt;=1000000000)</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scaleWithDoc="0" differentFirst="false" differentOddEven="false">
    <oddHeader>&amp;C&amp;G</oddHeader>
    <oddFooter>&amp;Lwww.multicalci.com&amp;CPage &amp;P of &amp;N&amp;R&amp;A</oddFooter>
  </headerFooter>
  <legacyDrawingHF r:id="rId1"/>
  <picture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K4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5" topLeftCell="E6" activePane="bottomRight" state="frozen"/>
      <selection pane="topLeft" activeCell="A1" activeCellId="0" sqref="A1"/>
      <selection pane="topRight" activeCell="E1" activeCellId="0" sqref="E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3"/>
    <col collapsed="false" customWidth="true" hidden="false" outlineLevel="0" max="3" min="3" style="0" width="20"/>
    <col collapsed="false" customWidth="true" hidden="false" outlineLevel="0" max="4" min="4" style="0" width="13"/>
    <col collapsed="false" customWidth="true" hidden="false" outlineLevel="0" max="245" min="5" style="0" width="15"/>
  </cols>
  <sheetData>
    <row r="1" customFormat="false" ht="17.35" hidden="false" customHeight="false" outlineLevel="0" collapsed="false">
      <c r="A1" s="1" t="s">
        <v>317</v>
      </c>
    </row>
    <row r="2" customFormat="false" ht="15" hidden="false" customHeight="false" outlineLevel="0" collapsed="false">
      <c r="A2" s="2" t="str">
        <f aca="false">HYPERLINK("https://www.multicalci.com/","www.multicalci.com")</f>
        <v>www.multicalci.com</v>
      </c>
    </row>
    <row r="3" customFormat="false" ht="15" hidden="false" customHeight="false" outlineLevel="0" collapsed="false">
      <c r="A3" s="3" t="s">
        <v>318</v>
      </c>
    </row>
    <row r="5" customFormat="false" ht="15" hidden="false" customHeight="false" outlineLevel="0" collapsed="false">
      <c r="A5" s="8" t="s">
        <v>109</v>
      </c>
      <c r="B5" s="8" t="s">
        <v>110</v>
      </c>
      <c r="C5" s="8" t="s">
        <v>319</v>
      </c>
      <c r="D5" s="8" t="s">
        <v>47</v>
      </c>
      <c r="E5" s="8" t="s">
        <v>320</v>
      </c>
      <c r="F5" s="8" t="s">
        <v>321</v>
      </c>
      <c r="G5" s="8" t="s">
        <v>322</v>
      </c>
      <c r="H5" s="8" t="s">
        <v>323</v>
      </c>
      <c r="I5" s="8" t="s">
        <v>324</v>
      </c>
      <c r="J5" s="8" t="s">
        <v>325</v>
      </c>
      <c r="K5" s="8" t="s">
        <v>326</v>
      </c>
      <c r="L5" s="8" t="s">
        <v>327</v>
      </c>
      <c r="M5" s="8" t="s">
        <v>328</v>
      </c>
      <c r="N5" s="8" t="s">
        <v>329</v>
      </c>
      <c r="O5" s="8" t="s">
        <v>330</v>
      </c>
      <c r="P5" s="8" t="s">
        <v>331</v>
      </c>
      <c r="Q5" s="8" t="s">
        <v>111</v>
      </c>
    </row>
    <row r="6" customFormat="false" ht="15" hidden="false" customHeight="false" outlineLevel="0" collapsed="false">
      <c r="A6" s="4" t="s">
        <v>332</v>
      </c>
    </row>
    <row r="7" customFormat="false" ht="15" hidden="false" customHeight="false" outlineLevel="0" collapsed="false">
      <c r="A7" s="18" t="s">
        <v>333</v>
      </c>
      <c r="B7" s="37" t="s">
        <v>334</v>
      </c>
      <c r="C7" s="32" t="n">
        <f aca="false">IF(Calculator!$C$8="van der Waals",1,IF(Calculator!$C$8="SRK",2,3))</f>
        <v>3</v>
      </c>
      <c r="D7" s="29" t="s">
        <v>40</v>
      </c>
      <c r="E7" s="49"/>
      <c r="F7" s="49"/>
      <c r="G7" s="49"/>
      <c r="H7" s="49"/>
      <c r="I7" s="49"/>
      <c r="J7" s="49"/>
      <c r="K7" s="49"/>
      <c r="L7" s="49"/>
      <c r="M7" s="49"/>
      <c r="N7" s="49"/>
      <c r="O7" s="49"/>
      <c r="P7" s="49"/>
      <c r="Q7" s="38" t="s">
        <v>335</v>
      </c>
    </row>
    <row r="8" customFormat="false" ht="15" hidden="false" customHeight="false" outlineLevel="0" collapsed="false">
      <c r="A8" s="18" t="s">
        <v>7</v>
      </c>
      <c r="B8" s="37" t="s">
        <v>113</v>
      </c>
      <c r="C8" s="14" t="n">
        <f aca="false">Calculator!$C$32</f>
        <v>350</v>
      </c>
      <c r="D8" s="29" t="s">
        <v>33</v>
      </c>
      <c r="E8" s="49"/>
      <c r="F8" s="49"/>
      <c r="G8" s="49"/>
      <c r="H8" s="49"/>
      <c r="I8" s="49"/>
      <c r="J8" s="49"/>
      <c r="K8" s="49"/>
      <c r="L8" s="49"/>
      <c r="M8" s="49"/>
      <c r="N8" s="49"/>
      <c r="O8" s="49"/>
      <c r="P8" s="49"/>
      <c r="Q8" s="38"/>
    </row>
    <row r="9" customFormat="false" ht="15" hidden="false" customHeight="false" outlineLevel="0" collapsed="false">
      <c r="A9" s="18" t="s">
        <v>10</v>
      </c>
      <c r="B9" s="37" t="s">
        <v>115</v>
      </c>
      <c r="C9" s="39" t="n">
        <f aca="false">Calculator!$C$33</f>
        <v>10000000</v>
      </c>
      <c r="D9" s="29" t="s">
        <v>35</v>
      </c>
      <c r="E9" s="49"/>
      <c r="F9" s="49"/>
      <c r="G9" s="49"/>
      <c r="H9" s="49"/>
      <c r="I9" s="49"/>
      <c r="J9" s="49"/>
      <c r="K9" s="49"/>
      <c r="L9" s="49"/>
      <c r="M9" s="49"/>
      <c r="N9" s="49"/>
      <c r="O9" s="49"/>
      <c r="P9" s="49"/>
      <c r="Q9" s="38"/>
    </row>
    <row r="10" customFormat="false" ht="15" hidden="false" customHeight="false" outlineLevel="0" collapsed="false">
      <c r="A10" s="18" t="s">
        <v>126</v>
      </c>
      <c r="B10" s="37" t="s">
        <v>127</v>
      </c>
      <c r="C10" s="31" t="n">
        <v>8.314462</v>
      </c>
      <c r="D10" s="29" t="s">
        <v>128</v>
      </c>
      <c r="E10" s="49"/>
      <c r="F10" s="49"/>
      <c r="G10" s="49"/>
      <c r="H10" s="49"/>
      <c r="I10" s="49"/>
      <c r="J10" s="49"/>
      <c r="K10" s="49"/>
      <c r="L10" s="49"/>
      <c r="M10" s="49"/>
      <c r="N10" s="49"/>
      <c r="O10" s="49"/>
      <c r="P10" s="49"/>
      <c r="Q10" s="38" t="s">
        <v>129</v>
      </c>
    </row>
    <row r="11" customFormat="false" ht="15" hidden="false" customHeight="false" outlineLevel="0" collapsed="false">
      <c r="A11" s="18" t="s">
        <v>336</v>
      </c>
      <c r="B11" s="37" t="s">
        <v>229</v>
      </c>
      <c r="C11" s="32" t="n">
        <f aca="false">COUNTIF($E$13:$P$13,"&gt;0")</f>
        <v>1</v>
      </c>
      <c r="D11" s="29" t="s">
        <v>40</v>
      </c>
      <c r="E11" s="49"/>
      <c r="F11" s="49"/>
      <c r="G11" s="49"/>
      <c r="H11" s="49"/>
      <c r="I11" s="49"/>
      <c r="J11" s="49"/>
      <c r="K11" s="49"/>
      <c r="L11" s="49"/>
      <c r="M11" s="49"/>
      <c r="N11" s="49"/>
      <c r="O11" s="49"/>
      <c r="P11" s="49"/>
      <c r="Q11" s="38" t="s">
        <v>337</v>
      </c>
    </row>
    <row r="12" customFormat="false" ht="15" hidden="false" customHeight="false" outlineLevel="0" collapsed="false">
      <c r="A12" s="18" t="s">
        <v>20</v>
      </c>
      <c r="B12" s="37"/>
      <c r="C12" s="50"/>
      <c r="D12" s="29"/>
      <c r="E12" s="51" t="str">
        <f aca="false">IF(Calculator!$B$17="","",Calculator!$B$17)</f>
        <v>Methane (CH4)</v>
      </c>
      <c r="F12" s="51" t="str">
        <f aca="false">IF(Calculator!$B$18="","",Calculator!$B$18)</f>
        <v/>
      </c>
      <c r="G12" s="51" t="str">
        <f aca="false">IF(Calculator!$B$19="","",Calculator!$B$19)</f>
        <v/>
      </c>
      <c r="H12" s="51" t="str">
        <f aca="false">IF(Calculator!$B$20="","",Calculator!$B$20)</f>
        <v/>
      </c>
      <c r="I12" s="51" t="str">
        <f aca="false">IF(Calculator!$B$21="","",Calculator!$B$21)</f>
        <v/>
      </c>
      <c r="J12" s="51" t="str">
        <f aca="false">IF(Calculator!$B$22="","",Calculator!$B$22)</f>
        <v/>
      </c>
      <c r="K12" s="51" t="str">
        <f aca="false">IF(Calculator!$B$23="","",Calculator!$B$23)</f>
        <v/>
      </c>
      <c r="L12" s="51" t="str">
        <f aca="false">IF(Calculator!$B$24="","",Calculator!$B$24)</f>
        <v/>
      </c>
      <c r="M12" s="51" t="str">
        <f aca="false">IF(Calculator!$B$25="","",Calculator!$B$25)</f>
        <v/>
      </c>
      <c r="N12" s="51" t="str">
        <f aca="false">IF(Calculator!$B$26="","",Calculator!$B$26)</f>
        <v/>
      </c>
      <c r="O12" s="51" t="str">
        <f aca="false">IF(Calculator!$B$27="","",Calculator!$B$27)</f>
        <v/>
      </c>
      <c r="P12" s="51" t="str">
        <f aca="false">IF(Calculator!$B$28="","",Calculator!$B$28)</f>
        <v/>
      </c>
      <c r="Q12" s="38"/>
    </row>
    <row r="13" customFormat="false" ht="15" hidden="false" customHeight="false" outlineLevel="0" collapsed="false">
      <c r="A13" s="18" t="s">
        <v>338</v>
      </c>
      <c r="B13" s="37" t="s">
        <v>339</v>
      </c>
      <c r="C13" s="50"/>
      <c r="D13" s="29" t="s">
        <v>40</v>
      </c>
      <c r="E13" s="52" t="n">
        <f aca="false">Calculator!$L$17</f>
        <v>1</v>
      </c>
      <c r="F13" s="52" t="n">
        <f aca="false">Calculator!$L$18</f>
        <v>0</v>
      </c>
      <c r="G13" s="52" t="n">
        <f aca="false">Calculator!$L$19</f>
        <v>0</v>
      </c>
      <c r="H13" s="52" t="n">
        <f aca="false">Calculator!$L$20</f>
        <v>0</v>
      </c>
      <c r="I13" s="52" t="n">
        <f aca="false">Calculator!$L$21</f>
        <v>0</v>
      </c>
      <c r="J13" s="52" t="n">
        <f aca="false">Calculator!$L$22</f>
        <v>0</v>
      </c>
      <c r="K13" s="52" t="n">
        <f aca="false">Calculator!$L$23</f>
        <v>0</v>
      </c>
      <c r="L13" s="52" t="n">
        <f aca="false">Calculator!$L$24</f>
        <v>0</v>
      </c>
      <c r="M13" s="52" t="n">
        <f aca="false">Calculator!$L$25</f>
        <v>0</v>
      </c>
      <c r="N13" s="52" t="n">
        <f aca="false">Calculator!$L$26</f>
        <v>0</v>
      </c>
      <c r="O13" s="52" t="n">
        <f aca="false">Calculator!$L$27</f>
        <v>0</v>
      </c>
      <c r="P13" s="52" t="n">
        <f aca="false">Calculator!$L$28</f>
        <v>0</v>
      </c>
      <c r="Q13" s="38" t="s">
        <v>340</v>
      </c>
    </row>
    <row r="14" customFormat="false" ht="15" hidden="false" customHeight="false" outlineLevel="0" collapsed="false">
      <c r="A14" s="18" t="s">
        <v>116</v>
      </c>
      <c r="B14" s="37" t="s">
        <v>117</v>
      </c>
      <c r="C14" s="50"/>
      <c r="D14" s="29" t="s">
        <v>33</v>
      </c>
      <c r="E14" s="53" t="n">
        <f aca="false">IF($E$13&gt;0,Calculator!$H$17,0)</f>
        <v>190.56</v>
      </c>
      <c r="F14" s="53" t="n">
        <f aca="false">IF($F$13&gt;0,Calculator!$H$18,0)</f>
        <v>0</v>
      </c>
      <c r="G14" s="53" t="n">
        <f aca="false">IF($G$13&gt;0,Calculator!$H$19,0)</f>
        <v>0</v>
      </c>
      <c r="H14" s="53" t="n">
        <f aca="false">IF($H$13&gt;0,Calculator!$H$20,0)</f>
        <v>0</v>
      </c>
      <c r="I14" s="53" t="n">
        <f aca="false">IF($I$13&gt;0,Calculator!$H$21,0)</f>
        <v>0</v>
      </c>
      <c r="J14" s="53" t="n">
        <f aca="false">IF($J$13&gt;0,Calculator!$H$22,0)</f>
        <v>0</v>
      </c>
      <c r="K14" s="53" t="n">
        <f aca="false">IF($K$13&gt;0,Calculator!$H$23,0)</f>
        <v>0</v>
      </c>
      <c r="L14" s="53" t="n">
        <f aca="false">IF($L$13&gt;0,Calculator!$H$24,0)</f>
        <v>0</v>
      </c>
      <c r="M14" s="53" t="n">
        <f aca="false">IF($M$13&gt;0,Calculator!$H$25,0)</f>
        <v>0</v>
      </c>
      <c r="N14" s="53" t="n">
        <f aca="false">IF($N$13&gt;0,Calculator!$H$26,0)</f>
        <v>0</v>
      </c>
      <c r="O14" s="53" t="n">
        <f aca="false">IF($O$13&gt;0,Calculator!$H$27,0)</f>
        <v>0</v>
      </c>
      <c r="P14" s="53" t="n">
        <f aca="false">IF($P$13&gt;0,Calculator!$H$28,0)</f>
        <v>0</v>
      </c>
      <c r="Q14" s="38"/>
    </row>
    <row r="15" customFormat="false" ht="15" hidden="false" customHeight="false" outlineLevel="0" collapsed="false">
      <c r="A15" s="18" t="s">
        <v>119</v>
      </c>
      <c r="B15" s="37" t="s">
        <v>120</v>
      </c>
      <c r="C15" s="50"/>
      <c r="D15" s="29" t="s">
        <v>35</v>
      </c>
      <c r="E15" s="54" t="n">
        <f aca="false">IF($E$13&gt;0,Calculator!$I$17*100000,0)</f>
        <v>4610000</v>
      </c>
      <c r="F15" s="54" t="n">
        <f aca="false">IF($F$13&gt;0,Calculator!$I$18*100000,0)</f>
        <v>0</v>
      </c>
      <c r="G15" s="54" t="n">
        <f aca="false">IF($G$13&gt;0,Calculator!$I$19*100000,0)</f>
        <v>0</v>
      </c>
      <c r="H15" s="54" t="n">
        <f aca="false">IF($H$13&gt;0,Calculator!$I$20*100000,0)</f>
        <v>0</v>
      </c>
      <c r="I15" s="54" t="n">
        <f aca="false">IF($I$13&gt;0,Calculator!$I$21*100000,0)</f>
        <v>0</v>
      </c>
      <c r="J15" s="54" t="n">
        <f aca="false">IF($J$13&gt;0,Calculator!$I$22*100000,0)</f>
        <v>0</v>
      </c>
      <c r="K15" s="54" t="n">
        <f aca="false">IF($K$13&gt;0,Calculator!$I$23*100000,0)</f>
        <v>0</v>
      </c>
      <c r="L15" s="54" t="n">
        <f aca="false">IF($L$13&gt;0,Calculator!$I$24*100000,0)</f>
        <v>0</v>
      </c>
      <c r="M15" s="54" t="n">
        <f aca="false">IF($M$13&gt;0,Calculator!$I$25*100000,0)</f>
        <v>0</v>
      </c>
      <c r="N15" s="54" t="n">
        <f aca="false">IF($N$13&gt;0,Calculator!$I$26*100000,0)</f>
        <v>0</v>
      </c>
      <c r="O15" s="54" t="n">
        <f aca="false">IF($O$13&gt;0,Calculator!$I$27*100000,0)</f>
        <v>0</v>
      </c>
      <c r="P15" s="54" t="n">
        <f aca="false">IF($P$13&gt;0,Calculator!$I$28*100000,0)</f>
        <v>0</v>
      </c>
      <c r="Q15" s="38" t="s">
        <v>341</v>
      </c>
    </row>
    <row r="16" customFormat="false" ht="15" hidden="false" customHeight="false" outlineLevel="0" collapsed="false">
      <c r="A16" s="18" t="s">
        <v>122</v>
      </c>
      <c r="B16" s="37" t="s">
        <v>24</v>
      </c>
      <c r="C16" s="50"/>
      <c r="D16" s="29" t="s">
        <v>40</v>
      </c>
      <c r="E16" s="55" t="n">
        <f aca="false">IF($E$13&gt;0,Calculator!$J$17,0)</f>
        <v>0.0115</v>
      </c>
      <c r="F16" s="55" t="n">
        <f aca="false">IF($F$13&gt;0,Calculator!$J$18,0)</f>
        <v>0</v>
      </c>
      <c r="G16" s="55" t="n">
        <f aca="false">IF($G$13&gt;0,Calculator!$J$19,0)</f>
        <v>0</v>
      </c>
      <c r="H16" s="55" t="n">
        <f aca="false">IF($H$13&gt;0,Calculator!$J$20,0)</f>
        <v>0</v>
      </c>
      <c r="I16" s="55" t="n">
        <f aca="false">IF($I$13&gt;0,Calculator!$J$21,0)</f>
        <v>0</v>
      </c>
      <c r="J16" s="55" t="n">
        <f aca="false">IF($J$13&gt;0,Calculator!$J$22,0)</f>
        <v>0</v>
      </c>
      <c r="K16" s="55" t="n">
        <f aca="false">IF($K$13&gt;0,Calculator!$J$23,0)</f>
        <v>0</v>
      </c>
      <c r="L16" s="55" t="n">
        <f aca="false">IF($L$13&gt;0,Calculator!$J$24,0)</f>
        <v>0</v>
      </c>
      <c r="M16" s="55" t="n">
        <f aca="false">IF($M$13&gt;0,Calculator!$J$25,0)</f>
        <v>0</v>
      </c>
      <c r="N16" s="55" t="n">
        <f aca="false">IF($N$13&gt;0,Calculator!$J$26,0)</f>
        <v>0</v>
      </c>
      <c r="O16" s="55" t="n">
        <f aca="false">IF($O$13&gt;0,Calculator!$J$27,0)</f>
        <v>0</v>
      </c>
      <c r="P16" s="55" t="n">
        <f aca="false">IF($P$13&gt;0,Calculator!$J$28,0)</f>
        <v>0</v>
      </c>
      <c r="Q16" s="38"/>
    </row>
    <row r="17" customFormat="false" ht="15" hidden="false" customHeight="false" outlineLevel="0" collapsed="false">
      <c r="A17" s="18" t="s">
        <v>55</v>
      </c>
      <c r="B17" s="37" t="s">
        <v>124</v>
      </c>
      <c r="C17" s="50"/>
      <c r="D17" s="29" t="s">
        <v>38</v>
      </c>
      <c r="E17" s="56" t="n">
        <f aca="false">IF($E$13&gt;0,Calculator!$K$17,0)</f>
        <v>16.043</v>
      </c>
      <c r="F17" s="56" t="n">
        <f aca="false">IF($F$13&gt;0,Calculator!$K$18,0)</f>
        <v>0</v>
      </c>
      <c r="G17" s="56" t="n">
        <f aca="false">IF($G$13&gt;0,Calculator!$K$19,0)</f>
        <v>0</v>
      </c>
      <c r="H17" s="56" t="n">
        <f aca="false">IF($H$13&gt;0,Calculator!$K$20,0)</f>
        <v>0</v>
      </c>
      <c r="I17" s="56" t="n">
        <f aca="false">IF($I$13&gt;0,Calculator!$K$21,0)</f>
        <v>0</v>
      </c>
      <c r="J17" s="56" t="n">
        <f aca="false">IF($J$13&gt;0,Calculator!$K$22,0)</f>
        <v>0</v>
      </c>
      <c r="K17" s="56" t="n">
        <f aca="false">IF($K$13&gt;0,Calculator!$K$23,0)</f>
        <v>0</v>
      </c>
      <c r="L17" s="56" t="n">
        <f aca="false">IF($L$13&gt;0,Calculator!$K$24,0)</f>
        <v>0</v>
      </c>
      <c r="M17" s="56" t="n">
        <f aca="false">IF($M$13&gt;0,Calculator!$K$25,0)</f>
        <v>0</v>
      </c>
      <c r="N17" s="56" t="n">
        <f aca="false">IF($N$13&gt;0,Calculator!$K$26,0)</f>
        <v>0</v>
      </c>
      <c r="O17" s="56" t="n">
        <f aca="false">IF($O$13&gt;0,Calculator!$K$27,0)</f>
        <v>0</v>
      </c>
      <c r="P17" s="56" t="n">
        <f aca="false">IF($P$13&gt;0,Calculator!$K$28,0)</f>
        <v>0</v>
      </c>
      <c r="Q17" s="38"/>
    </row>
    <row r="18" customFormat="false" ht="15" hidden="false" customHeight="false" outlineLevel="0" collapsed="false">
      <c r="A18" s="4" t="s">
        <v>342</v>
      </c>
    </row>
    <row r="19" customFormat="false" ht="15" hidden="false" customHeight="false" outlineLevel="0" collapsed="false">
      <c r="A19" s="18" t="s">
        <v>134</v>
      </c>
      <c r="B19" s="37" t="s">
        <v>135</v>
      </c>
      <c r="C19" s="31" t="n">
        <f aca="false">CHOOSE($C$7,27/64,0.42748,0.45724)</f>
        <v>0.45724</v>
      </c>
      <c r="D19" s="29" t="s">
        <v>40</v>
      </c>
      <c r="E19" s="49"/>
      <c r="F19" s="49"/>
      <c r="G19" s="49"/>
      <c r="H19" s="49"/>
      <c r="I19" s="49"/>
      <c r="J19" s="49"/>
      <c r="K19" s="49"/>
      <c r="L19" s="49"/>
      <c r="M19" s="49"/>
      <c r="N19" s="49"/>
      <c r="O19" s="49"/>
      <c r="P19" s="49"/>
      <c r="Q19" s="38" t="s">
        <v>343</v>
      </c>
    </row>
    <row r="20" customFormat="false" ht="15" hidden="false" customHeight="false" outlineLevel="0" collapsed="false">
      <c r="A20" s="18" t="s">
        <v>137</v>
      </c>
      <c r="B20" s="37" t="s">
        <v>138</v>
      </c>
      <c r="C20" s="31" t="n">
        <f aca="false">CHOOSE($C$7,1/8,0.08664,0.0778)</f>
        <v>0.0778</v>
      </c>
      <c r="D20" s="29" t="s">
        <v>40</v>
      </c>
      <c r="E20" s="49"/>
      <c r="F20" s="49"/>
      <c r="G20" s="49"/>
      <c r="H20" s="49"/>
      <c r="I20" s="49"/>
      <c r="J20" s="49"/>
      <c r="K20" s="49"/>
      <c r="L20" s="49"/>
      <c r="M20" s="49"/>
      <c r="N20" s="49"/>
      <c r="O20" s="49"/>
      <c r="P20" s="49"/>
      <c r="Q20" s="38" t="s">
        <v>344</v>
      </c>
    </row>
    <row r="21" customFormat="false" ht="15" hidden="false" customHeight="false" outlineLevel="0" collapsed="false">
      <c r="A21" s="18" t="s">
        <v>140</v>
      </c>
      <c r="B21" s="37" t="s">
        <v>141</v>
      </c>
      <c r="C21" s="31" t="n">
        <f aca="false">CHOOSE($C$7,3/8,1/3,0.3074013087)</f>
        <v>0.3074013087</v>
      </c>
      <c r="D21" s="29" t="s">
        <v>40</v>
      </c>
      <c r="E21" s="49"/>
      <c r="F21" s="49"/>
      <c r="G21" s="49"/>
      <c r="H21" s="49"/>
      <c r="I21" s="49"/>
      <c r="J21" s="49"/>
      <c r="K21" s="49"/>
      <c r="L21" s="49"/>
      <c r="M21" s="49"/>
      <c r="N21" s="49"/>
      <c r="O21" s="49"/>
      <c r="P21" s="49"/>
      <c r="Q21" s="38" t="s">
        <v>345</v>
      </c>
    </row>
    <row r="22" customFormat="false" ht="15" hidden="false" customHeight="false" outlineLevel="0" collapsed="false">
      <c r="A22" s="18" t="s">
        <v>346</v>
      </c>
      <c r="B22" s="37" t="s">
        <v>347</v>
      </c>
      <c r="C22" s="31" t="n">
        <f aca="false">$C$20/$C$21</f>
        <v>0.253089358431869</v>
      </c>
      <c r="D22" s="29" t="s">
        <v>40</v>
      </c>
      <c r="E22" s="49"/>
      <c r="F22" s="49"/>
      <c r="G22" s="49"/>
      <c r="H22" s="49"/>
      <c r="I22" s="49"/>
      <c r="J22" s="49"/>
      <c r="K22" s="49"/>
      <c r="L22" s="49"/>
      <c r="M22" s="49"/>
      <c r="N22" s="49"/>
      <c r="O22" s="49"/>
      <c r="P22" s="49"/>
      <c r="Q22" s="38" t="s">
        <v>348</v>
      </c>
    </row>
    <row r="23" customFormat="false" ht="15" hidden="false" customHeight="false" outlineLevel="0" collapsed="false">
      <c r="A23" s="18" t="s">
        <v>130</v>
      </c>
      <c r="B23" s="37" t="s">
        <v>131</v>
      </c>
      <c r="C23" s="50"/>
      <c r="D23" s="29" t="s">
        <v>40</v>
      </c>
      <c r="E23" s="52" t="n">
        <f aca="false">IF($E$13&gt;0,$C$8/$E$14,0)</f>
        <v>1.83669185558354</v>
      </c>
      <c r="F23" s="52" t="n">
        <f aca="false">IF($F$13&gt;0,$C$8/$F$14,0)</f>
        <v>0</v>
      </c>
      <c r="G23" s="52" t="n">
        <f aca="false">IF($G$13&gt;0,$C$8/$G$14,0)</f>
        <v>0</v>
      </c>
      <c r="H23" s="52" t="n">
        <f aca="false">IF($H$13&gt;0,$C$8/$H$14,0)</f>
        <v>0</v>
      </c>
      <c r="I23" s="52" t="n">
        <f aca="false">IF($I$13&gt;0,$C$8/$I$14,0)</f>
        <v>0</v>
      </c>
      <c r="J23" s="52" t="n">
        <f aca="false">IF($J$13&gt;0,$C$8/$J$14,0)</f>
        <v>0</v>
      </c>
      <c r="K23" s="52" t="n">
        <f aca="false">IF($K$13&gt;0,$C$8/$K$14,0)</f>
        <v>0</v>
      </c>
      <c r="L23" s="52" t="n">
        <f aca="false">IF($L$13&gt;0,$C$8/$L$14,0)</f>
        <v>0</v>
      </c>
      <c r="M23" s="52" t="n">
        <f aca="false">IF($M$13&gt;0,$C$8/$M$14,0)</f>
        <v>0</v>
      </c>
      <c r="N23" s="52" t="n">
        <f aca="false">IF($N$13&gt;0,$C$8/$N$14,0)</f>
        <v>0</v>
      </c>
      <c r="O23" s="52" t="n">
        <f aca="false">IF($O$13&gt;0,$C$8/$O$14,0)</f>
        <v>0</v>
      </c>
      <c r="P23" s="52" t="n">
        <f aca="false">IF($P$13&gt;0,$C$8/$P$14,0)</f>
        <v>0</v>
      </c>
      <c r="Q23" s="38" t="s">
        <v>132</v>
      </c>
    </row>
    <row r="24" customFormat="false" ht="15" hidden="false" customHeight="false" outlineLevel="0" collapsed="false">
      <c r="A24" s="18" t="s">
        <v>143</v>
      </c>
      <c r="B24" s="37" t="s">
        <v>349</v>
      </c>
      <c r="C24" s="50"/>
      <c r="D24" s="29" t="s">
        <v>40</v>
      </c>
      <c r="E24" s="52" t="n">
        <f aca="false">IF($E$13&gt;0,CHOOSE($C$7,0,0.48+1.574*$E$16-0.176*$E$16^2,IF($E$16&lt;=0.491,0.37464+1.54226*$E$16-0.26992*$E$16^2,0.379642+1.48503*$E$16-0.164423*$E$16^2+0.016666*$E$16^3)),0)</f>
        <v>0.39234029308</v>
      </c>
      <c r="F24" s="52" t="n">
        <f aca="false">IF($F$13&gt;0,CHOOSE($C$7,0,0.48+1.574*$F$16-0.176*$F$16^2,IF($F$16&lt;=0.491,0.37464+1.54226*$F$16-0.26992*$F$16^2,0.379642+1.48503*$F$16-0.164423*$F$16^2+0.016666*$F$16^3)),0)</f>
        <v>0</v>
      </c>
      <c r="G24" s="52" t="n">
        <f aca="false">IF($G$13&gt;0,CHOOSE($C$7,0,0.48+1.574*$G$16-0.176*$G$16^2,IF($G$16&lt;=0.491,0.37464+1.54226*$G$16-0.26992*$G$16^2,0.379642+1.48503*$G$16-0.164423*$G$16^2+0.016666*$G$16^3)),0)</f>
        <v>0</v>
      </c>
      <c r="H24" s="52" t="n">
        <f aca="false">IF($H$13&gt;0,CHOOSE($C$7,0,0.48+1.574*$H$16-0.176*$H$16^2,IF($H$16&lt;=0.491,0.37464+1.54226*$H$16-0.26992*$H$16^2,0.379642+1.48503*$H$16-0.164423*$H$16^2+0.016666*$H$16^3)),0)</f>
        <v>0</v>
      </c>
      <c r="I24" s="52" t="n">
        <f aca="false">IF($I$13&gt;0,CHOOSE($C$7,0,0.48+1.574*$I$16-0.176*$I$16^2,IF($I$16&lt;=0.491,0.37464+1.54226*$I$16-0.26992*$I$16^2,0.379642+1.48503*$I$16-0.164423*$I$16^2+0.016666*$I$16^3)),0)</f>
        <v>0</v>
      </c>
      <c r="J24" s="52" t="n">
        <f aca="false">IF($J$13&gt;0,CHOOSE($C$7,0,0.48+1.574*$J$16-0.176*$J$16^2,IF($J$16&lt;=0.491,0.37464+1.54226*$J$16-0.26992*$J$16^2,0.379642+1.48503*$J$16-0.164423*$J$16^2+0.016666*$J$16^3)),0)</f>
        <v>0</v>
      </c>
      <c r="K24" s="52" t="n">
        <f aca="false">IF($K$13&gt;0,CHOOSE($C$7,0,0.48+1.574*$K$16-0.176*$K$16^2,IF($K$16&lt;=0.491,0.37464+1.54226*$K$16-0.26992*$K$16^2,0.379642+1.48503*$K$16-0.164423*$K$16^2+0.016666*$K$16^3)),0)</f>
        <v>0</v>
      </c>
      <c r="L24" s="52" t="n">
        <f aca="false">IF($L$13&gt;0,CHOOSE($C$7,0,0.48+1.574*$L$16-0.176*$L$16^2,IF($L$16&lt;=0.491,0.37464+1.54226*$L$16-0.26992*$L$16^2,0.379642+1.48503*$L$16-0.164423*$L$16^2+0.016666*$L$16^3)),0)</f>
        <v>0</v>
      </c>
      <c r="M24" s="52" t="n">
        <f aca="false">IF($M$13&gt;0,CHOOSE($C$7,0,0.48+1.574*$M$16-0.176*$M$16^2,IF($M$16&lt;=0.491,0.37464+1.54226*$M$16-0.26992*$M$16^2,0.379642+1.48503*$M$16-0.164423*$M$16^2+0.016666*$M$16^3)),0)</f>
        <v>0</v>
      </c>
      <c r="N24" s="52" t="n">
        <f aca="false">IF($N$13&gt;0,CHOOSE($C$7,0,0.48+1.574*$N$16-0.176*$N$16^2,IF($N$16&lt;=0.491,0.37464+1.54226*$N$16-0.26992*$N$16^2,0.379642+1.48503*$N$16-0.164423*$N$16^2+0.016666*$N$16^3)),0)</f>
        <v>0</v>
      </c>
      <c r="O24" s="52" t="n">
        <f aca="false">IF($O$13&gt;0,CHOOSE($C$7,0,0.48+1.574*$O$16-0.176*$O$16^2,IF($O$16&lt;=0.491,0.37464+1.54226*$O$16-0.26992*$O$16^2,0.379642+1.48503*$O$16-0.164423*$O$16^2+0.016666*$O$16^3)),0)</f>
        <v>0</v>
      </c>
      <c r="P24" s="52" t="n">
        <f aca="false">IF($P$13&gt;0,CHOOSE($C$7,0,0.48+1.574*$P$16-0.176*$P$16^2,IF($P$16&lt;=0.491,0.37464+1.54226*$P$16-0.26992*$P$16^2,0.379642+1.48503*$P$16-0.164423*$P$16^2+0.016666*$P$16^3)),0)</f>
        <v>0</v>
      </c>
      <c r="Q24" s="38" t="s">
        <v>350</v>
      </c>
    </row>
    <row r="25" customFormat="false" ht="15" hidden="false" customHeight="false" outlineLevel="0" collapsed="false">
      <c r="A25" s="18" t="s">
        <v>146</v>
      </c>
      <c r="B25" s="37" t="s">
        <v>351</v>
      </c>
      <c r="C25" s="50"/>
      <c r="D25" s="29" t="s">
        <v>40</v>
      </c>
      <c r="E25" s="52" t="n">
        <f aca="false">IF($E$13&gt;0,IF($C$7=1,1,MAX(0.000001,(1+$E$24*(1-SQRT($E$23)))^2)),0)</f>
        <v>0.740671364099411</v>
      </c>
      <c r="F25" s="52" t="n">
        <f aca="false">IF($F$13&gt;0,IF($C$7=1,1,MAX(0.000001,(1+$F$24*(1-SQRT($F$23)))^2)),0)</f>
        <v>0</v>
      </c>
      <c r="G25" s="52" t="n">
        <f aca="false">IF($G$13&gt;0,IF($C$7=1,1,MAX(0.000001,(1+$G$24*(1-SQRT($G$23)))^2)),0)</f>
        <v>0</v>
      </c>
      <c r="H25" s="52" t="n">
        <f aca="false">IF($H$13&gt;0,IF($C$7=1,1,MAX(0.000001,(1+$H$24*(1-SQRT($H$23)))^2)),0)</f>
        <v>0</v>
      </c>
      <c r="I25" s="52" t="n">
        <f aca="false">IF($I$13&gt;0,IF($C$7=1,1,MAX(0.000001,(1+$I$24*(1-SQRT($I$23)))^2)),0)</f>
        <v>0</v>
      </c>
      <c r="J25" s="52" t="n">
        <f aca="false">IF($J$13&gt;0,IF($C$7=1,1,MAX(0.000001,(1+$J$24*(1-SQRT($J$23)))^2)),0)</f>
        <v>0</v>
      </c>
      <c r="K25" s="52" t="n">
        <f aca="false">IF($K$13&gt;0,IF($C$7=1,1,MAX(0.000001,(1+$K$24*(1-SQRT($K$23)))^2)),0)</f>
        <v>0</v>
      </c>
      <c r="L25" s="52" t="n">
        <f aca="false">IF($L$13&gt;0,IF($C$7=1,1,MAX(0.000001,(1+$L$24*(1-SQRT($L$23)))^2)),0)</f>
        <v>0</v>
      </c>
      <c r="M25" s="52" t="n">
        <f aca="false">IF($M$13&gt;0,IF($C$7=1,1,MAX(0.000001,(1+$M$24*(1-SQRT($M$23)))^2)),0)</f>
        <v>0</v>
      </c>
      <c r="N25" s="52" t="n">
        <f aca="false">IF($N$13&gt;0,IF($C$7=1,1,MAX(0.000001,(1+$N$24*(1-SQRT($N$23)))^2)),0)</f>
        <v>0</v>
      </c>
      <c r="O25" s="52" t="n">
        <f aca="false">IF($O$13&gt;0,IF($C$7=1,1,MAX(0.000001,(1+$O$24*(1-SQRT($O$23)))^2)),0)</f>
        <v>0</v>
      </c>
      <c r="P25" s="52" t="n">
        <f aca="false">IF($P$13&gt;0,IF($C$7=1,1,MAX(0.000001,(1+$P$24*(1-SQRT($P$23)))^2)),0)</f>
        <v>0</v>
      </c>
      <c r="Q25" s="38" t="s">
        <v>148</v>
      </c>
    </row>
    <row r="26" customFormat="false" ht="15" hidden="false" customHeight="false" outlineLevel="0" collapsed="false">
      <c r="A26" s="18" t="s">
        <v>149</v>
      </c>
      <c r="B26" s="37" t="s">
        <v>352</v>
      </c>
      <c r="C26" s="50"/>
      <c r="D26" s="29" t="s">
        <v>151</v>
      </c>
      <c r="E26" s="52" t="n">
        <f aca="false">IF($E$13&gt;0,$C$19*$C$10^2*$E$14^2/$E$15*$E$25,0)</f>
        <v>0.184416866619846</v>
      </c>
      <c r="F26" s="52" t="n">
        <f aca="false">IF($F$13&gt;0,$C$19*$C$10^2*$F$14^2/$F$15*$F$25,0)</f>
        <v>0</v>
      </c>
      <c r="G26" s="52" t="n">
        <f aca="false">IF($G$13&gt;0,$C$19*$C$10^2*$G$14^2/$G$15*$G$25,0)</f>
        <v>0</v>
      </c>
      <c r="H26" s="52" t="n">
        <f aca="false">IF($H$13&gt;0,$C$19*$C$10^2*$H$14^2/$H$15*$H$25,0)</f>
        <v>0</v>
      </c>
      <c r="I26" s="52" t="n">
        <f aca="false">IF($I$13&gt;0,$C$19*$C$10^2*$I$14^2/$I$15*$I$25,0)</f>
        <v>0</v>
      </c>
      <c r="J26" s="52" t="n">
        <f aca="false">IF($J$13&gt;0,$C$19*$C$10^2*$J$14^2/$J$15*$J$25,0)</f>
        <v>0</v>
      </c>
      <c r="K26" s="52" t="n">
        <f aca="false">IF($K$13&gt;0,$C$19*$C$10^2*$K$14^2/$K$15*$K$25,0)</f>
        <v>0</v>
      </c>
      <c r="L26" s="52" t="n">
        <f aca="false">IF($L$13&gt;0,$C$19*$C$10^2*$L$14^2/$L$15*$L$25,0)</f>
        <v>0</v>
      </c>
      <c r="M26" s="52" t="n">
        <f aca="false">IF($M$13&gt;0,$C$19*$C$10^2*$M$14^2/$M$15*$M$25,0)</f>
        <v>0</v>
      </c>
      <c r="N26" s="52" t="n">
        <f aca="false">IF($N$13&gt;0,$C$19*$C$10^2*$N$14^2/$N$15*$N$25,0)</f>
        <v>0</v>
      </c>
      <c r="O26" s="52" t="n">
        <f aca="false">IF($O$13&gt;0,$C$19*$C$10^2*$O$14^2/$O$15*$O$25,0)</f>
        <v>0</v>
      </c>
      <c r="P26" s="52" t="n">
        <f aca="false">IF($P$13&gt;0,$C$19*$C$10^2*$P$14^2/$P$15*$P$25,0)</f>
        <v>0</v>
      </c>
      <c r="Q26" s="38" t="s">
        <v>353</v>
      </c>
    </row>
    <row r="27" customFormat="false" ht="15" hidden="false" customHeight="false" outlineLevel="0" collapsed="false">
      <c r="A27" s="18" t="s">
        <v>153</v>
      </c>
      <c r="B27" s="37" t="s">
        <v>354</v>
      </c>
      <c r="C27" s="50"/>
      <c r="D27" s="29" t="s">
        <v>155</v>
      </c>
      <c r="E27" s="52" t="n">
        <f aca="false">IF($E$13&gt;0,$C$20*$C$10*$E$14/$E$15,0)</f>
        <v>2.67389635063809E-005</v>
      </c>
      <c r="F27" s="52" t="n">
        <f aca="false">IF($F$13&gt;0,$C$20*$C$10*$F$14/$F$15,0)</f>
        <v>0</v>
      </c>
      <c r="G27" s="52" t="n">
        <f aca="false">IF($G$13&gt;0,$C$20*$C$10*$G$14/$G$15,0)</f>
        <v>0</v>
      </c>
      <c r="H27" s="52" t="n">
        <f aca="false">IF($H$13&gt;0,$C$20*$C$10*$H$14/$H$15,0)</f>
        <v>0</v>
      </c>
      <c r="I27" s="52" t="n">
        <f aca="false">IF($I$13&gt;0,$C$20*$C$10*$I$14/$I$15,0)</f>
        <v>0</v>
      </c>
      <c r="J27" s="52" t="n">
        <f aca="false">IF($J$13&gt;0,$C$20*$C$10*$J$14/$J$15,0)</f>
        <v>0</v>
      </c>
      <c r="K27" s="52" t="n">
        <f aca="false">IF($K$13&gt;0,$C$20*$C$10*$K$14/$K$15,0)</f>
        <v>0</v>
      </c>
      <c r="L27" s="52" t="n">
        <f aca="false">IF($L$13&gt;0,$C$20*$C$10*$L$14/$L$15,0)</f>
        <v>0</v>
      </c>
      <c r="M27" s="52" t="n">
        <f aca="false">IF($M$13&gt;0,$C$20*$C$10*$M$14/$M$15,0)</f>
        <v>0</v>
      </c>
      <c r="N27" s="52" t="n">
        <f aca="false">IF($N$13&gt;0,$C$20*$C$10*$N$14/$N$15,0)</f>
        <v>0</v>
      </c>
      <c r="O27" s="52" t="n">
        <f aca="false">IF($O$13&gt;0,$C$20*$C$10*$O$14/$O$15,0)</f>
        <v>0</v>
      </c>
      <c r="P27" s="52" t="n">
        <f aca="false">IF($P$13&gt;0,$C$20*$C$10*$P$14/$P$15,0)</f>
        <v>0</v>
      </c>
      <c r="Q27" s="38" t="s">
        <v>355</v>
      </c>
    </row>
    <row r="28" customFormat="false" ht="15" hidden="false" customHeight="false" outlineLevel="0" collapsed="false">
      <c r="A28" s="18" t="s">
        <v>356</v>
      </c>
      <c r="B28" s="37" t="s">
        <v>357</v>
      </c>
      <c r="C28" s="50"/>
      <c r="D28" s="29"/>
      <c r="E28" s="52" t="n">
        <f aca="false">SQRT($E$26)</f>
        <v>0.429437849542686</v>
      </c>
      <c r="F28" s="52" t="n">
        <f aca="false">SQRT($F$26)</f>
        <v>0</v>
      </c>
      <c r="G28" s="52" t="n">
        <f aca="false">SQRT($G$26)</f>
        <v>0</v>
      </c>
      <c r="H28" s="52" t="n">
        <f aca="false">SQRT($H$26)</f>
        <v>0</v>
      </c>
      <c r="I28" s="52" t="n">
        <f aca="false">SQRT($I$26)</f>
        <v>0</v>
      </c>
      <c r="J28" s="52" t="n">
        <f aca="false">SQRT($J$26)</f>
        <v>0</v>
      </c>
      <c r="K28" s="52" t="n">
        <f aca="false">SQRT($K$26)</f>
        <v>0</v>
      </c>
      <c r="L28" s="52" t="n">
        <f aca="false">SQRT($L$26)</f>
        <v>0</v>
      </c>
      <c r="M28" s="52" t="n">
        <f aca="false">SQRT($M$26)</f>
        <v>0</v>
      </c>
      <c r="N28" s="52" t="n">
        <f aca="false">SQRT($N$26)</f>
        <v>0</v>
      </c>
      <c r="O28" s="52" t="n">
        <f aca="false">SQRT($O$26)</f>
        <v>0</v>
      </c>
      <c r="P28" s="52" t="n">
        <f aca="false">SQRT($P$26)</f>
        <v>0</v>
      </c>
      <c r="Q28" s="38" t="s">
        <v>358</v>
      </c>
    </row>
    <row r="29" customFormat="false" ht="15" hidden="false" customHeight="false" outlineLevel="0" collapsed="false">
      <c r="A29" s="18" t="s">
        <v>359</v>
      </c>
      <c r="B29" s="37" t="s">
        <v>33</v>
      </c>
      <c r="C29" s="50"/>
      <c r="D29" s="29" t="s">
        <v>40</v>
      </c>
      <c r="E29" s="52" t="n">
        <f aca="false">IF($E$13&gt;0,$E$15/$C$9*EXP(5.373*(1+$E$16)*(1-$E$14/$C$8)),1)</f>
        <v>5.48173853091944</v>
      </c>
      <c r="F29" s="52" t="n">
        <f aca="false">IF($F$13&gt;0,$F$15/$C$9*EXP(5.373*(1+$F$16)*(1-$F$14/$C$8)),1)</f>
        <v>1</v>
      </c>
      <c r="G29" s="52" t="n">
        <f aca="false">IF($G$13&gt;0,$G$15/$C$9*EXP(5.373*(1+$G$16)*(1-$G$14/$C$8)),1)</f>
        <v>1</v>
      </c>
      <c r="H29" s="52" t="n">
        <f aca="false">IF($H$13&gt;0,$H$15/$C$9*EXP(5.373*(1+$H$16)*(1-$H$14/$C$8)),1)</f>
        <v>1</v>
      </c>
      <c r="I29" s="52" t="n">
        <f aca="false">IF($I$13&gt;0,$I$15/$C$9*EXP(5.373*(1+$I$16)*(1-$I$14/$C$8)),1)</f>
        <v>1</v>
      </c>
      <c r="J29" s="52" t="n">
        <f aca="false">IF($J$13&gt;0,$J$15/$C$9*EXP(5.373*(1+$J$16)*(1-$J$14/$C$8)),1)</f>
        <v>1</v>
      </c>
      <c r="K29" s="52" t="n">
        <f aca="false">IF($K$13&gt;0,$K$15/$C$9*EXP(5.373*(1+$K$16)*(1-$K$14/$C$8)),1)</f>
        <v>1</v>
      </c>
      <c r="L29" s="52" t="n">
        <f aca="false">IF($L$13&gt;0,$L$15/$C$9*EXP(5.373*(1+$L$16)*(1-$L$14/$C$8)),1)</f>
        <v>1</v>
      </c>
      <c r="M29" s="52" t="n">
        <f aca="false">IF($M$13&gt;0,$M$15/$C$9*EXP(5.373*(1+$M$16)*(1-$M$14/$C$8)),1)</f>
        <v>1</v>
      </c>
      <c r="N29" s="52" t="n">
        <f aca="false">IF($N$13&gt;0,$N$15/$C$9*EXP(5.373*(1+$N$16)*(1-$N$14/$C$8)),1)</f>
        <v>1</v>
      </c>
      <c r="O29" s="52" t="n">
        <f aca="false">IF($O$13&gt;0,$O$15/$C$9*EXP(5.373*(1+$O$16)*(1-$O$14/$C$8)),1)</f>
        <v>1</v>
      </c>
      <c r="P29" s="52" t="n">
        <f aca="false">IF($P$13&gt;0,$P$15/$C$9*EXP(5.373*(1+$P$16)*(1-$P$14/$C$8)),1)</f>
        <v>1</v>
      </c>
      <c r="Q29" s="38" t="s">
        <v>360</v>
      </c>
    </row>
    <row r="30" customFormat="false" ht="15" hidden="false" customHeight="false" outlineLevel="0" collapsed="false">
      <c r="A30" s="4" t="s">
        <v>361</v>
      </c>
    </row>
    <row r="31" customFormat="false" ht="15" hidden="false" customHeight="false" outlineLevel="0" collapsed="false">
      <c r="A31" s="18" t="s">
        <v>362</v>
      </c>
      <c r="B31" s="37" t="s">
        <v>363</v>
      </c>
      <c r="C31" s="50"/>
      <c r="D31" s="29" t="s">
        <v>40</v>
      </c>
      <c r="E31" s="52" t="n">
        <v>1</v>
      </c>
      <c r="F31" s="52" t="n">
        <f aca="false">1-IF(ISNUMBER('Mixture kij'!$D$6),'Mixture kij'!$D$6,0)</f>
        <v>1</v>
      </c>
      <c r="G31" s="52" t="n">
        <f aca="false">1-IF(ISNUMBER('Mixture kij'!$E$6),'Mixture kij'!$E$6,0)</f>
        <v>1</v>
      </c>
      <c r="H31" s="52" t="n">
        <f aca="false">1-IF(ISNUMBER('Mixture kij'!$F$6),'Mixture kij'!$F$6,0)</f>
        <v>1</v>
      </c>
      <c r="I31" s="52" t="n">
        <f aca="false">1-IF(ISNUMBER('Mixture kij'!$G$6),'Mixture kij'!$G$6,0)</f>
        <v>1</v>
      </c>
      <c r="J31" s="52" t="n">
        <f aca="false">1-IF(ISNUMBER('Mixture kij'!$H$6),'Mixture kij'!$H$6,0)</f>
        <v>1</v>
      </c>
      <c r="K31" s="52" t="n">
        <f aca="false">1-IF(ISNUMBER('Mixture kij'!$I$6),'Mixture kij'!$I$6,0)</f>
        <v>1</v>
      </c>
      <c r="L31" s="52" t="n">
        <f aca="false">1-IF(ISNUMBER('Mixture kij'!$J$6),'Mixture kij'!$J$6,0)</f>
        <v>1</v>
      </c>
      <c r="M31" s="52" t="n">
        <f aca="false">1-IF(ISNUMBER('Mixture kij'!$K$6),'Mixture kij'!$K$6,0)</f>
        <v>1</v>
      </c>
      <c r="N31" s="52" t="n">
        <f aca="false">1-IF(ISNUMBER('Mixture kij'!$L$6),'Mixture kij'!$L$6,0)</f>
        <v>1</v>
      </c>
      <c r="O31" s="52" t="n">
        <f aca="false">1-IF(ISNUMBER('Mixture kij'!$M$6),'Mixture kij'!$M$6,0)</f>
        <v>1</v>
      </c>
      <c r="P31" s="52" t="n">
        <f aca="false">1-IF(ISNUMBER('Mixture kij'!$N$6),'Mixture kij'!$N$6,0)</f>
        <v>1</v>
      </c>
      <c r="Q31" s="38"/>
    </row>
    <row r="32" customFormat="false" ht="15" hidden="false" customHeight="false" outlineLevel="0" collapsed="false">
      <c r="A32" s="18" t="s">
        <v>364</v>
      </c>
      <c r="B32" s="37" t="s">
        <v>365</v>
      </c>
      <c r="C32" s="50"/>
      <c r="D32" s="29" t="s">
        <v>40</v>
      </c>
      <c r="E32" s="52" t="n">
        <f aca="false">1-IF(ISNUMBER('Mixture kij'!$D$6),'Mixture kij'!$D$6,0)</f>
        <v>1</v>
      </c>
      <c r="F32" s="52" t="n">
        <v>1</v>
      </c>
      <c r="G32" s="52" t="n">
        <f aca="false">1-IF(ISNUMBER('Mixture kij'!$E$7),'Mixture kij'!$E$7,0)</f>
        <v>1</v>
      </c>
      <c r="H32" s="52" t="n">
        <f aca="false">1-IF(ISNUMBER('Mixture kij'!$F$7),'Mixture kij'!$F$7,0)</f>
        <v>1</v>
      </c>
      <c r="I32" s="52" t="n">
        <f aca="false">1-IF(ISNUMBER('Mixture kij'!$G$7),'Mixture kij'!$G$7,0)</f>
        <v>1</v>
      </c>
      <c r="J32" s="52" t="n">
        <f aca="false">1-IF(ISNUMBER('Mixture kij'!$H$7),'Mixture kij'!$H$7,0)</f>
        <v>1</v>
      </c>
      <c r="K32" s="52" t="n">
        <f aca="false">1-IF(ISNUMBER('Mixture kij'!$I$7),'Mixture kij'!$I$7,0)</f>
        <v>1</v>
      </c>
      <c r="L32" s="52" t="n">
        <f aca="false">1-IF(ISNUMBER('Mixture kij'!$J$7),'Mixture kij'!$J$7,0)</f>
        <v>1</v>
      </c>
      <c r="M32" s="52" t="n">
        <f aca="false">1-IF(ISNUMBER('Mixture kij'!$K$7),'Mixture kij'!$K$7,0)</f>
        <v>1</v>
      </c>
      <c r="N32" s="52" t="n">
        <f aca="false">1-IF(ISNUMBER('Mixture kij'!$L$7),'Mixture kij'!$L$7,0)</f>
        <v>1</v>
      </c>
      <c r="O32" s="52" t="n">
        <f aca="false">1-IF(ISNUMBER('Mixture kij'!$M$7),'Mixture kij'!$M$7,0)</f>
        <v>1</v>
      </c>
      <c r="P32" s="52" t="n">
        <f aca="false">1-IF(ISNUMBER('Mixture kij'!$N$7),'Mixture kij'!$N$7,0)</f>
        <v>1</v>
      </c>
      <c r="Q32" s="38"/>
    </row>
    <row r="33" customFormat="false" ht="15" hidden="false" customHeight="false" outlineLevel="0" collapsed="false">
      <c r="A33" s="18" t="s">
        <v>366</v>
      </c>
      <c r="B33" s="37" t="s">
        <v>367</v>
      </c>
      <c r="C33" s="50"/>
      <c r="D33" s="29" t="s">
        <v>40</v>
      </c>
      <c r="E33" s="52" t="n">
        <f aca="false">1-IF(ISNUMBER('Mixture kij'!$E$6),'Mixture kij'!$E$6,0)</f>
        <v>1</v>
      </c>
      <c r="F33" s="52" t="n">
        <f aca="false">1-IF(ISNUMBER('Mixture kij'!$E$7),'Mixture kij'!$E$7,0)</f>
        <v>1</v>
      </c>
      <c r="G33" s="52" t="n">
        <v>1</v>
      </c>
      <c r="H33" s="52" t="n">
        <f aca="false">1-IF(ISNUMBER('Mixture kij'!$F$8),'Mixture kij'!$F$8,0)</f>
        <v>1</v>
      </c>
      <c r="I33" s="52" t="n">
        <f aca="false">1-IF(ISNUMBER('Mixture kij'!$G$8),'Mixture kij'!$G$8,0)</f>
        <v>1</v>
      </c>
      <c r="J33" s="52" t="n">
        <f aca="false">1-IF(ISNUMBER('Mixture kij'!$H$8),'Mixture kij'!$H$8,0)</f>
        <v>1</v>
      </c>
      <c r="K33" s="52" t="n">
        <f aca="false">1-IF(ISNUMBER('Mixture kij'!$I$8),'Mixture kij'!$I$8,0)</f>
        <v>1</v>
      </c>
      <c r="L33" s="52" t="n">
        <f aca="false">1-IF(ISNUMBER('Mixture kij'!$J$8),'Mixture kij'!$J$8,0)</f>
        <v>1</v>
      </c>
      <c r="M33" s="52" t="n">
        <f aca="false">1-IF(ISNUMBER('Mixture kij'!$K$8),'Mixture kij'!$K$8,0)</f>
        <v>1</v>
      </c>
      <c r="N33" s="52" t="n">
        <f aca="false">1-IF(ISNUMBER('Mixture kij'!$L$8),'Mixture kij'!$L$8,0)</f>
        <v>1</v>
      </c>
      <c r="O33" s="52" t="n">
        <f aca="false">1-IF(ISNUMBER('Mixture kij'!$M$8),'Mixture kij'!$M$8,0)</f>
        <v>1</v>
      </c>
      <c r="P33" s="52" t="n">
        <f aca="false">1-IF(ISNUMBER('Mixture kij'!$N$8),'Mixture kij'!$N$8,0)</f>
        <v>1</v>
      </c>
      <c r="Q33" s="38"/>
    </row>
    <row r="34" customFormat="false" ht="15" hidden="false" customHeight="false" outlineLevel="0" collapsed="false">
      <c r="A34" s="18" t="s">
        <v>368</v>
      </c>
      <c r="B34" s="37" t="s">
        <v>369</v>
      </c>
      <c r="C34" s="50"/>
      <c r="D34" s="29" t="s">
        <v>40</v>
      </c>
      <c r="E34" s="52" t="n">
        <f aca="false">1-IF(ISNUMBER('Mixture kij'!$F$6),'Mixture kij'!$F$6,0)</f>
        <v>1</v>
      </c>
      <c r="F34" s="52" t="n">
        <f aca="false">1-IF(ISNUMBER('Mixture kij'!$F$7),'Mixture kij'!$F$7,0)</f>
        <v>1</v>
      </c>
      <c r="G34" s="52" t="n">
        <f aca="false">1-IF(ISNUMBER('Mixture kij'!$F$8),'Mixture kij'!$F$8,0)</f>
        <v>1</v>
      </c>
      <c r="H34" s="52" t="n">
        <v>1</v>
      </c>
      <c r="I34" s="52" t="n">
        <f aca="false">1-IF(ISNUMBER('Mixture kij'!$G$9),'Mixture kij'!$G$9,0)</f>
        <v>1</v>
      </c>
      <c r="J34" s="52" t="n">
        <f aca="false">1-IF(ISNUMBER('Mixture kij'!$H$9),'Mixture kij'!$H$9,0)</f>
        <v>1</v>
      </c>
      <c r="K34" s="52" t="n">
        <f aca="false">1-IF(ISNUMBER('Mixture kij'!$I$9),'Mixture kij'!$I$9,0)</f>
        <v>1</v>
      </c>
      <c r="L34" s="52" t="n">
        <f aca="false">1-IF(ISNUMBER('Mixture kij'!$J$9),'Mixture kij'!$J$9,0)</f>
        <v>1</v>
      </c>
      <c r="M34" s="52" t="n">
        <f aca="false">1-IF(ISNUMBER('Mixture kij'!$K$9),'Mixture kij'!$K$9,0)</f>
        <v>1</v>
      </c>
      <c r="N34" s="52" t="n">
        <f aca="false">1-IF(ISNUMBER('Mixture kij'!$L$9),'Mixture kij'!$L$9,0)</f>
        <v>1</v>
      </c>
      <c r="O34" s="52" t="n">
        <f aca="false">1-IF(ISNUMBER('Mixture kij'!$M$9),'Mixture kij'!$M$9,0)</f>
        <v>1</v>
      </c>
      <c r="P34" s="52" t="n">
        <f aca="false">1-IF(ISNUMBER('Mixture kij'!$N$9),'Mixture kij'!$N$9,0)</f>
        <v>1</v>
      </c>
      <c r="Q34" s="38"/>
    </row>
    <row r="35" customFormat="false" ht="15" hidden="false" customHeight="false" outlineLevel="0" collapsed="false">
      <c r="A35" s="18" t="s">
        <v>370</v>
      </c>
      <c r="B35" s="37" t="s">
        <v>371</v>
      </c>
      <c r="C35" s="50"/>
      <c r="D35" s="29" t="s">
        <v>40</v>
      </c>
      <c r="E35" s="52" t="n">
        <f aca="false">1-IF(ISNUMBER('Mixture kij'!$G$6),'Mixture kij'!$G$6,0)</f>
        <v>1</v>
      </c>
      <c r="F35" s="52" t="n">
        <f aca="false">1-IF(ISNUMBER('Mixture kij'!$G$7),'Mixture kij'!$G$7,0)</f>
        <v>1</v>
      </c>
      <c r="G35" s="52" t="n">
        <f aca="false">1-IF(ISNUMBER('Mixture kij'!$G$8),'Mixture kij'!$G$8,0)</f>
        <v>1</v>
      </c>
      <c r="H35" s="52" t="n">
        <f aca="false">1-IF(ISNUMBER('Mixture kij'!$G$9),'Mixture kij'!$G$9,0)</f>
        <v>1</v>
      </c>
      <c r="I35" s="52" t="n">
        <v>1</v>
      </c>
      <c r="J35" s="52" t="n">
        <f aca="false">1-IF(ISNUMBER('Mixture kij'!$H$10),'Mixture kij'!$H$10,0)</f>
        <v>1</v>
      </c>
      <c r="K35" s="52" t="n">
        <f aca="false">1-IF(ISNUMBER('Mixture kij'!$I$10),'Mixture kij'!$I$10,0)</f>
        <v>1</v>
      </c>
      <c r="L35" s="52" t="n">
        <f aca="false">1-IF(ISNUMBER('Mixture kij'!$J$10),'Mixture kij'!$J$10,0)</f>
        <v>1</v>
      </c>
      <c r="M35" s="52" t="n">
        <f aca="false">1-IF(ISNUMBER('Mixture kij'!$K$10),'Mixture kij'!$K$10,0)</f>
        <v>1</v>
      </c>
      <c r="N35" s="52" t="n">
        <f aca="false">1-IF(ISNUMBER('Mixture kij'!$L$10),'Mixture kij'!$L$10,0)</f>
        <v>1</v>
      </c>
      <c r="O35" s="52" t="n">
        <f aca="false">1-IF(ISNUMBER('Mixture kij'!$M$10),'Mixture kij'!$M$10,0)</f>
        <v>1</v>
      </c>
      <c r="P35" s="52" t="n">
        <f aca="false">1-IF(ISNUMBER('Mixture kij'!$N$10),'Mixture kij'!$N$10,0)</f>
        <v>1</v>
      </c>
      <c r="Q35" s="38"/>
    </row>
    <row r="36" customFormat="false" ht="15" hidden="false" customHeight="false" outlineLevel="0" collapsed="false">
      <c r="A36" s="18" t="s">
        <v>372</v>
      </c>
      <c r="B36" s="37" t="s">
        <v>373</v>
      </c>
      <c r="C36" s="50"/>
      <c r="D36" s="29" t="s">
        <v>40</v>
      </c>
      <c r="E36" s="52" t="n">
        <f aca="false">1-IF(ISNUMBER('Mixture kij'!$H$6),'Mixture kij'!$H$6,0)</f>
        <v>1</v>
      </c>
      <c r="F36" s="52" t="n">
        <f aca="false">1-IF(ISNUMBER('Mixture kij'!$H$7),'Mixture kij'!$H$7,0)</f>
        <v>1</v>
      </c>
      <c r="G36" s="52" t="n">
        <f aca="false">1-IF(ISNUMBER('Mixture kij'!$H$8),'Mixture kij'!$H$8,0)</f>
        <v>1</v>
      </c>
      <c r="H36" s="52" t="n">
        <f aca="false">1-IF(ISNUMBER('Mixture kij'!$H$9),'Mixture kij'!$H$9,0)</f>
        <v>1</v>
      </c>
      <c r="I36" s="52" t="n">
        <f aca="false">1-IF(ISNUMBER('Mixture kij'!$H$10),'Mixture kij'!$H$10,0)</f>
        <v>1</v>
      </c>
      <c r="J36" s="52" t="n">
        <v>1</v>
      </c>
      <c r="K36" s="52" t="n">
        <f aca="false">1-IF(ISNUMBER('Mixture kij'!$I$11),'Mixture kij'!$I$11,0)</f>
        <v>1</v>
      </c>
      <c r="L36" s="52" t="n">
        <f aca="false">1-IF(ISNUMBER('Mixture kij'!$J$11),'Mixture kij'!$J$11,0)</f>
        <v>1</v>
      </c>
      <c r="M36" s="52" t="n">
        <f aca="false">1-IF(ISNUMBER('Mixture kij'!$K$11),'Mixture kij'!$K$11,0)</f>
        <v>1</v>
      </c>
      <c r="N36" s="52" t="n">
        <f aca="false">1-IF(ISNUMBER('Mixture kij'!$L$11),'Mixture kij'!$L$11,0)</f>
        <v>1</v>
      </c>
      <c r="O36" s="52" t="n">
        <f aca="false">1-IF(ISNUMBER('Mixture kij'!$M$11),'Mixture kij'!$M$11,0)</f>
        <v>1</v>
      </c>
      <c r="P36" s="52" t="n">
        <f aca="false">1-IF(ISNUMBER('Mixture kij'!$N$11),'Mixture kij'!$N$11,0)</f>
        <v>1</v>
      </c>
      <c r="Q36" s="38"/>
    </row>
    <row r="37" customFormat="false" ht="15" hidden="false" customHeight="false" outlineLevel="0" collapsed="false">
      <c r="A37" s="18" t="s">
        <v>374</v>
      </c>
      <c r="B37" s="37" t="s">
        <v>375</v>
      </c>
      <c r="C37" s="50"/>
      <c r="D37" s="29" t="s">
        <v>40</v>
      </c>
      <c r="E37" s="52" t="n">
        <f aca="false">1-IF(ISNUMBER('Mixture kij'!$I$6),'Mixture kij'!$I$6,0)</f>
        <v>1</v>
      </c>
      <c r="F37" s="52" t="n">
        <f aca="false">1-IF(ISNUMBER('Mixture kij'!$I$7),'Mixture kij'!$I$7,0)</f>
        <v>1</v>
      </c>
      <c r="G37" s="52" t="n">
        <f aca="false">1-IF(ISNUMBER('Mixture kij'!$I$8),'Mixture kij'!$I$8,0)</f>
        <v>1</v>
      </c>
      <c r="H37" s="52" t="n">
        <f aca="false">1-IF(ISNUMBER('Mixture kij'!$I$9),'Mixture kij'!$I$9,0)</f>
        <v>1</v>
      </c>
      <c r="I37" s="52" t="n">
        <f aca="false">1-IF(ISNUMBER('Mixture kij'!$I$10),'Mixture kij'!$I$10,0)</f>
        <v>1</v>
      </c>
      <c r="J37" s="52" t="n">
        <f aca="false">1-IF(ISNUMBER('Mixture kij'!$I$11),'Mixture kij'!$I$11,0)</f>
        <v>1</v>
      </c>
      <c r="K37" s="52" t="n">
        <v>1</v>
      </c>
      <c r="L37" s="52" t="n">
        <f aca="false">1-IF(ISNUMBER('Mixture kij'!$J$12),'Mixture kij'!$J$12,0)</f>
        <v>1</v>
      </c>
      <c r="M37" s="52" t="n">
        <f aca="false">1-IF(ISNUMBER('Mixture kij'!$K$12),'Mixture kij'!$K$12,0)</f>
        <v>1</v>
      </c>
      <c r="N37" s="52" t="n">
        <f aca="false">1-IF(ISNUMBER('Mixture kij'!$L$12),'Mixture kij'!$L$12,0)</f>
        <v>1</v>
      </c>
      <c r="O37" s="52" t="n">
        <f aca="false">1-IF(ISNUMBER('Mixture kij'!$M$12),'Mixture kij'!$M$12,0)</f>
        <v>1</v>
      </c>
      <c r="P37" s="52" t="n">
        <f aca="false">1-IF(ISNUMBER('Mixture kij'!$N$12),'Mixture kij'!$N$12,0)</f>
        <v>1</v>
      </c>
      <c r="Q37" s="38"/>
    </row>
    <row r="38" customFormat="false" ht="15" hidden="false" customHeight="false" outlineLevel="0" collapsed="false">
      <c r="A38" s="18" t="s">
        <v>376</v>
      </c>
      <c r="B38" s="37" t="s">
        <v>377</v>
      </c>
      <c r="C38" s="50"/>
      <c r="D38" s="29" t="s">
        <v>40</v>
      </c>
      <c r="E38" s="52" t="n">
        <f aca="false">1-IF(ISNUMBER('Mixture kij'!$J$6),'Mixture kij'!$J$6,0)</f>
        <v>1</v>
      </c>
      <c r="F38" s="52" t="n">
        <f aca="false">1-IF(ISNUMBER('Mixture kij'!$J$7),'Mixture kij'!$J$7,0)</f>
        <v>1</v>
      </c>
      <c r="G38" s="52" t="n">
        <f aca="false">1-IF(ISNUMBER('Mixture kij'!$J$8),'Mixture kij'!$J$8,0)</f>
        <v>1</v>
      </c>
      <c r="H38" s="52" t="n">
        <f aca="false">1-IF(ISNUMBER('Mixture kij'!$J$9),'Mixture kij'!$J$9,0)</f>
        <v>1</v>
      </c>
      <c r="I38" s="52" t="n">
        <f aca="false">1-IF(ISNUMBER('Mixture kij'!$J$10),'Mixture kij'!$J$10,0)</f>
        <v>1</v>
      </c>
      <c r="J38" s="52" t="n">
        <f aca="false">1-IF(ISNUMBER('Mixture kij'!$J$11),'Mixture kij'!$J$11,0)</f>
        <v>1</v>
      </c>
      <c r="K38" s="52" t="n">
        <f aca="false">1-IF(ISNUMBER('Mixture kij'!$J$12),'Mixture kij'!$J$12,0)</f>
        <v>1</v>
      </c>
      <c r="L38" s="52" t="n">
        <v>1</v>
      </c>
      <c r="M38" s="52" t="n">
        <f aca="false">1-IF(ISNUMBER('Mixture kij'!$K$13),'Mixture kij'!$K$13,0)</f>
        <v>1</v>
      </c>
      <c r="N38" s="52" t="n">
        <f aca="false">1-IF(ISNUMBER('Mixture kij'!$L$13),'Mixture kij'!$L$13,0)</f>
        <v>1</v>
      </c>
      <c r="O38" s="52" t="n">
        <f aca="false">1-IF(ISNUMBER('Mixture kij'!$M$13),'Mixture kij'!$M$13,0)</f>
        <v>1</v>
      </c>
      <c r="P38" s="52" t="n">
        <f aca="false">1-IF(ISNUMBER('Mixture kij'!$N$13),'Mixture kij'!$N$13,0)</f>
        <v>1</v>
      </c>
      <c r="Q38" s="38"/>
    </row>
    <row r="39" customFormat="false" ht="15" hidden="false" customHeight="false" outlineLevel="0" collapsed="false">
      <c r="A39" s="18" t="s">
        <v>378</v>
      </c>
      <c r="B39" s="37" t="s">
        <v>379</v>
      </c>
      <c r="C39" s="50"/>
      <c r="D39" s="29" t="s">
        <v>40</v>
      </c>
      <c r="E39" s="52" t="n">
        <f aca="false">1-IF(ISNUMBER('Mixture kij'!$K$6),'Mixture kij'!$K$6,0)</f>
        <v>1</v>
      </c>
      <c r="F39" s="52" t="n">
        <f aca="false">1-IF(ISNUMBER('Mixture kij'!$K$7),'Mixture kij'!$K$7,0)</f>
        <v>1</v>
      </c>
      <c r="G39" s="52" t="n">
        <f aca="false">1-IF(ISNUMBER('Mixture kij'!$K$8),'Mixture kij'!$K$8,0)</f>
        <v>1</v>
      </c>
      <c r="H39" s="52" t="n">
        <f aca="false">1-IF(ISNUMBER('Mixture kij'!$K$9),'Mixture kij'!$K$9,0)</f>
        <v>1</v>
      </c>
      <c r="I39" s="52" t="n">
        <f aca="false">1-IF(ISNUMBER('Mixture kij'!$K$10),'Mixture kij'!$K$10,0)</f>
        <v>1</v>
      </c>
      <c r="J39" s="52" t="n">
        <f aca="false">1-IF(ISNUMBER('Mixture kij'!$K$11),'Mixture kij'!$K$11,0)</f>
        <v>1</v>
      </c>
      <c r="K39" s="52" t="n">
        <f aca="false">1-IF(ISNUMBER('Mixture kij'!$K$12),'Mixture kij'!$K$12,0)</f>
        <v>1</v>
      </c>
      <c r="L39" s="52" t="n">
        <f aca="false">1-IF(ISNUMBER('Mixture kij'!$K$13),'Mixture kij'!$K$13,0)</f>
        <v>1</v>
      </c>
      <c r="M39" s="52" t="n">
        <v>1</v>
      </c>
      <c r="N39" s="52" t="n">
        <f aca="false">1-IF(ISNUMBER('Mixture kij'!$L$14),'Mixture kij'!$L$14,0)</f>
        <v>1</v>
      </c>
      <c r="O39" s="52" t="n">
        <f aca="false">1-IF(ISNUMBER('Mixture kij'!$M$14),'Mixture kij'!$M$14,0)</f>
        <v>1</v>
      </c>
      <c r="P39" s="52" t="n">
        <f aca="false">1-IF(ISNUMBER('Mixture kij'!$N$14),'Mixture kij'!$N$14,0)</f>
        <v>1</v>
      </c>
      <c r="Q39" s="38"/>
    </row>
    <row r="40" customFormat="false" ht="15" hidden="false" customHeight="false" outlineLevel="0" collapsed="false">
      <c r="A40" s="18" t="s">
        <v>380</v>
      </c>
      <c r="B40" s="37" t="s">
        <v>381</v>
      </c>
      <c r="C40" s="50"/>
      <c r="D40" s="29" t="s">
        <v>40</v>
      </c>
      <c r="E40" s="52" t="n">
        <f aca="false">1-IF(ISNUMBER('Mixture kij'!$L$6),'Mixture kij'!$L$6,0)</f>
        <v>1</v>
      </c>
      <c r="F40" s="52" t="n">
        <f aca="false">1-IF(ISNUMBER('Mixture kij'!$L$7),'Mixture kij'!$L$7,0)</f>
        <v>1</v>
      </c>
      <c r="G40" s="52" t="n">
        <f aca="false">1-IF(ISNUMBER('Mixture kij'!$L$8),'Mixture kij'!$L$8,0)</f>
        <v>1</v>
      </c>
      <c r="H40" s="52" t="n">
        <f aca="false">1-IF(ISNUMBER('Mixture kij'!$L$9),'Mixture kij'!$L$9,0)</f>
        <v>1</v>
      </c>
      <c r="I40" s="52" t="n">
        <f aca="false">1-IF(ISNUMBER('Mixture kij'!$L$10),'Mixture kij'!$L$10,0)</f>
        <v>1</v>
      </c>
      <c r="J40" s="52" t="n">
        <f aca="false">1-IF(ISNUMBER('Mixture kij'!$L$11),'Mixture kij'!$L$11,0)</f>
        <v>1</v>
      </c>
      <c r="K40" s="52" t="n">
        <f aca="false">1-IF(ISNUMBER('Mixture kij'!$L$12),'Mixture kij'!$L$12,0)</f>
        <v>1</v>
      </c>
      <c r="L40" s="52" t="n">
        <f aca="false">1-IF(ISNUMBER('Mixture kij'!$L$13),'Mixture kij'!$L$13,0)</f>
        <v>1</v>
      </c>
      <c r="M40" s="52" t="n">
        <f aca="false">1-IF(ISNUMBER('Mixture kij'!$L$14),'Mixture kij'!$L$14,0)</f>
        <v>1</v>
      </c>
      <c r="N40" s="52" t="n">
        <v>1</v>
      </c>
      <c r="O40" s="52" t="n">
        <f aca="false">1-IF(ISNUMBER('Mixture kij'!$M$15),'Mixture kij'!$M$15,0)</f>
        <v>1</v>
      </c>
      <c r="P40" s="52" t="n">
        <f aca="false">1-IF(ISNUMBER('Mixture kij'!$N$15),'Mixture kij'!$N$15,0)</f>
        <v>1</v>
      </c>
      <c r="Q40" s="38"/>
    </row>
    <row r="41" customFormat="false" ht="15" hidden="false" customHeight="false" outlineLevel="0" collapsed="false">
      <c r="A41" s="18" t="s">
        <v>382</v>
      </c>
      <c r="B41" s="37" t="s">
        <v>383</v>
      </c>
      <c r="C41" s="50"/>
      <c r="D41" s="29" t="s">
        <v>40</v>
      </c>
      <c r="E41" s="52" t="n">
        <f aca="false">1-IF(ISNUMBER('Mixture kij'!$M$6),'Mixture kij'!$M$6,0)</f>
        <v>1</v>
      </c>
      <c r="F41" s="52" t="n">
        <f aca="false">1-IF(ISNUMBER('Mixture kij'!$M$7),'Mixture kij'!$M$7,0)</f>
        <v>1</v>
      </c>
      <c r="G41" s="52" t="n">
        <f aca="false">1-IF(ISNUMBER('Mixture kij'!$M$8),'Mixture kij'!$M$8,0)</f>
        <v>1</v>
      </c>
      <c r="H41" s="52" t="n">
        <f aca="false">1-IF(ISNUMBER('Mixture kij'!$M$9),'Mixture kij'!$M$9,0)</f>
        <v>1</v>
      </c>
      <c r="I41" s="52" t="n">
        <f aca="false">1-IF(ISNUMBER('Mixture kij'!$M$10),'Mixture kij'!$M$10,0)</f>
        <v>1</v>
      </c>
      <c r="J41" s="52" t="n">
        <f aca="false">1-IF(ISNUMBER('Mixture kij'!$M$11),'Mixture kij'!$M$11,0)</f>
        <v>1</v>
      </c>
      <c r="K41" s="52" t="n">
        <f aca="false">1-IF(ISNUMBER('Mixture kij'!$M$12),'Mixture kij'!$M$12,0)</f>
        <v>1</v>
      </c>
      <c r="L41" s="52" t="n">
        <f aca="false">1-IF(ISNUMBER('Mixture kij'!$M$13),'Mixture kij'!$M$13,0)</f>
        <v>1</v>
      </c>
      <c r="M41" s="52" t="n">
        <f aca="false">1-IF(ISNUMBER('Mixture kij'!$M$14),'Mixture kij'!$M$14,0)</f>
        <v>1</v>
      </c>
      <c r="N41" s="52" t="n">
        <f aca="false">1-IF(ISNUMBER('Mixture kij'!$M$15),'Mixture kij'!$M$15,0)</f>
        <v>1</v>
      </c>
      <c r="O41" s="52" t="n">
        <v>1</v>
      </c>
      <c r="P41" s="52" t="n">
        <f aca="false">1-IF(ISNUMBER('Mixture kij'!$N$16),'Mixture kij'!$N$16,0)</f>
        <v>1</v>
      </c>
      <c r="Q41" s="38"/>
    </row>
    <row r="42" customFormat="false" ht="15" hidden="false" customHeight="false" outlineLevel="0" collapsed="false">
      <c r="A42" s="18" t="s">
        <v>384</v>
      </c>
      <c r="B42" s="37" t="s">
        <v>385</v>
      </c>
      <c r="C42" s="50"/>
      <c r="D42" s="29" t="s">
        <v>40</v>
      </c>
      <c r="E42" s="52" t="n">
        <f aca="false">1-IF(ISNUMBER('Mixture kij'!$N$6),'Mixture kij'!$N$6,0)</f>
        <v>1</v>
      </c>
      <c r="F42" s="52" t="n">
        <f aca="false">1-IF(ISNUMBER('Mixture kij'!$N$7),'Mixture kij'!$N$7,0)</f>
        <v>1</v>
      </c>
      <c r="G42" s="52" t="n">
        <f aca="false">1-IF(ISNUMBER('Mixture kij'!$N$8),'Mixture kij'!$N$8,0)</f>
        <v>1</v>
      </c>
      <c r="H42" s="52" t="n">
        <f aca="false">1-IF(ISNUMBER('Mixture kij'!$N$9),'Mixture kij'!$N$9,0)</f>
        <v>1</v>
      </c>
      <c r="I42" s="52" t="n">
        <f aca="false">1-IF(ISNUMBER('Mixture kij'!$N$10),'Mixture kij'!$N$10,0)</f>
        <v>1</v>
      </c>
      <c r="J42" s="52" t="n">
        <f aca="false">1-IF(ISNUMBER('Mixture kij'!$N$11),'Mixture kij'!$N$11,0)</f>
        <v>1</v>
      </c>
      <c r="K42" s="52" t="n">
        <f aca="false">1-IF(ISNUMBER('Mixture kij'!$N$12),'Mixture kij'!$N$12,0)</f>
        <v>1</v>
      </c>
      <c r="L42" s="52" t="n">
        <f aca="false">1-IF(ISNUMBER('Mixture kij'!$N$13),'Mixture kij'!$N$13,0)</f>
        <v>1</v>
      </c>
      <c r="M42" s="52" t="n">
        <f aca="false">1-IF(ISNUMBER('Mixture kij'!$N$14),'Mixture kij'!$N$14,0)</f>
        <v>1</v>
      </c>
      <c r="N42" s="52" t="n">
        <f aca="false">1-IF(ISNUMBER('Mixture kij'!$N$15),'Mixture kij'!$N$15,0)</f>
        <v>1</v>
      </c>
      <c r="O42" s="52" t="n">
        <f aca="false">1-IF(ISNUMBER('Mixture kij'!$N$16),'Mixture kij'!$N$16,0)</f>
        <v>1</v>
      </c>
      <c r="P42" s="52" t="n">
        <v>1</v>
      </c>
      <c r="Q42" s="38"/>
    </row>
    <row r="43" customFormat="false" ht="15" hidden="false" customHeight="false" outlineLevel="0" collapsed="false">
      <c r="A43" s="4" t="s">
        <v>386</v>
      </c>
    </row>
    <row r="44" customFormat="false" ht="15" hidden="false" customHeight="false" outlineLevel="0" collapsed="false">
      <c r="A44" s="18" t="s">
        <v>387</v>
      </c>
      <c r="B44" s="37" t="s">
        <v>388</v>
      </c>
      <c r="C44" s="50"/>
      <c r="D44" s="29"/>
      <c r="E44" s="52" t="n">
        <f aca="false">$E$28*SUMPRODUCT($E$31:$P$31,$E$13:$P$13,$E$28:$P$28)</f>
        <v>0.184416866619846</v>
      </c>
      <c r="F44" s="52" t="n">
        <f aca="false">$F$28*SUMPRODUCT($E$32:$P$32,$E$13:$P$13,$E$28:$P$28)</f>
        <v>0</v>
      </c>
      <c r="G44" s="52" t="n">
        <f aca="false">$G$28*SUMPRODUCT($E$33:$P$33,$E$13:$P$13,$E$28:$P$28)</f>
        <v>0</v>
      </c>
      <c r="H44" s="52" t="n">
        <f aca="false">$H$28*SUMPRODUCT($E$34:$P$34,$E$13:$P$13,$E$28:$P$28)</f>
        <v>0</v>
      </c>
      <c r="I44" s="52" t="n">
        <f aca="false">$I$28*SUMPRODUCT($E$35:$P$35,$E$13:$P$13,$E$28:$P$28)</f>
        <v>0</v>
      </c>
      <c r="J44" s="52" t="n">
        <f aca="false">$J$28*SUMPRODUCT($E$36:$P$36,$E$13:$P$13,$E$28:$P$28)</f>
        <v>0</v>
      </c>
      <c r="K44" s="52" t="n">
        <f aca="false">$K$28*SUMPRODUCT($E$37:$P$37,$E$13:$P$13,$E$28:$P$28)</f>
        <v>0</v>
      </c>
      <c r="L44" s="52" t="n">
        <f aca="false">$L$28*SUMPRODUCT($E$38:$P$38,$E$13:$P$13,$E$28:$P$28)</f>
        <v>0</v>
      </c>
      <c r="M44" s="52" t="n">
        <f aca="false">$M$28*SUMPRODUCT($E$39:$P$39,$E$13:$P$13,$E$28:$P$28)</f>
        <v>0</v>
      </c>
      <c r="N44" s="52" t="n">
        <f aca="false">$N$28*SUMPRODUCT($E$40:$P$40,$E$13:$P$13,$E$28:$P$28)</f>
        <v>0</v>
      </c>
      <c r="O44" s="52" t="n">
        <f aca="false">$O$28*SUMPRODUCT($E$41:$P$41,$E$13:$P$13,$E$28:$P$28)</f>
        <v>0</v>
      </c>
      <c r="P44" s="52" t="n">
        <f aca="false">$P$28*SUMPRODUCT($E$42:$P$42,$E$13:$P$13,$E$28:$P$28)</f>
        <v>0</v>
      </c>
      <c r="Q44" s="38" t="s">
        <v>389</v>
      </c>
    </row>
    <row r="45" customFormat="false" ht="15" hidden="false" customHeight="false" outlineLevel="0" collapsed="false">
      <c r="A45" s="18" t="s">
        <v>390</v>
      </c>
      <c r="B45" s="37" t="s">
        <v>391</v>
      </c>
      <c r="C45" s="31" t="n">
        <f aca="false">SUMPRODUCT($E$13:$P$13,$E$44:$P$44)</f>
        <v>0.184416866619846</v>
      </c>
      <c r="D45" s="29" t="s">
        <v>151</v>
      </c>
      <c r="E45" s="49"/>
      <c r="F45" s="49"/>
      <c r="G45" s="49"/>
      <c r="H45" s="49"/>
      <c r="I45" s="49"/>
      <c r="J45" s="49"/>
      <c r="K45" s="49"/>
      <c r="L45" s="49"/>
      <c r="M45" s="49"/>
      <c r="N45" s="49"/>
      <c r="O45" s="49"/>
      <c r="P45" s="49"/>
      <c r="Q45" s="38" t="s">
        <v>392</v>
      </c>
    </row>
    <row r="46" customFormat="false" ht="15" hidden="false" customHeight="false" outlineLevel="0" collapsed="false">
      <c r="A46" s="18" t="s">
        <v>393</v>
      </c>
      <c r="B46" s="37" t="s">
        <v>154</v>
      </c>
      <c r="C46" s="31" t="n">
        <f aca="false">SUMPRODUCT($E$13:$P$13,$E$27:$P$27)</f>
        <v>2.67389635063809E-005</v>
      </c>
      <c r="D46" s="29" t="s">
        <v>155</v>
      </c>
      <c r="E46" s="49"/>
      <c r="F46" s="49"/>
      <c r="G46" s="49"/>
      <c r="H46" s="49"/>
      <c r="I46" s="49"/>
      <c r="J46" s="49"/>
      <c r="K46" s="49"/>
      <c r="L46" s="49"/>
      <c r="M46" s="49"/>
      <c r="N46" s="49"/>
      <c r="O46" s="49"/>
      <c r="P46" s="49"/>
      <c r="Q46" s="38" t="s">
        <v>394</v>
      </c>
    </row>
    <row r="47" customFormat="false" ht="15" hidden="false" customHeight="false" outlineLevel="0" collapsed="false">
      <c r="A47" s="18" t="s">
        <v>157</v>
      </c>
      <c r="B47" s="37" t="s">
        <v>158</v>
      </c>
      <c r="C47" s="31" t="n">
        <f aca="false">$C$45*$C$9/($C$10*$C$8)^2</f>
        <v>0.21776909410545</v>
      </c>
      <c r="D47" s="29" t="s">
        <v>40</v>
      </c>
      <c r="E47" s="49"/>
      <c r="F47" s="49"/>
      <c r="G47" s="49"/>
      <c r="H47" s="49"/>
      <c r="I47" s="49"/>
      <c r="J47" s="49"/>
      <c r="K47" s="49"/>
      <c r="L47" s="49"/>
      <c r="M47" s="49"/>
      <c r="N47" s="49"/>
      <c r="O47" s="49"/>
      <c r="P47" s="49"/>
      <c r="Q47" s="38" t="s">
        <v>395</v>
      </c>
    </row>
    <row r="48" customFormat="false" ht="15" hidden="false" customHeight="false" outlineLevel="0" collapsed="false">
      <c r="A48" s="18" t="s">
        <v>160</v>
      </c>
      <c r="B48" s="37" t="s">
        <v>161</v>
      </c>
      <c r="C48" s="31" t="n">
        <f aca="false">$C$46*$C$9/($C$10*$C$8)</f>
        <v>0.0918845243259994</v>
      </c>
      <c r="D48" s="29" t="s">
        <v>40</v>
      </c>
      <c r="E48" s="49"/>
      <c r="F48" s="49"/>
      <c r="G48" s="49"/>
      <c r="H48" s="49"/>
      <c r="I48" s="49"/>
      <c r="J48" s="49"/>
      <c r="K48" s="49"/>
      <c r="L48" s="49"/>
      <c r="M48" s="49"/>
      <c r="N48" s="49"/>
      <c r="O48" s="49"/>
      <c r="P48" s="49"/>
      <c r="Q48" s="38" t="s">
        <v>162</v>
      </c>
    </row>
    <row r="49" customFormat="false" ht="15" hidden="false" customHeight="false" outlineLevel="0" collapsed="false">
      <c r="A49" s="18" t="s">
        <v>396</v>
      </c>
      <c r="B49" s="37" t="s">
        <v>165</v>
      </c>
      <c r="C49" s="31" t="n">
        <f aca="false">CHOOSE($C$7,-(1+$C$48),-1,-(1-$C$48))</f>
        <v>-0.908115475674001</v>
      </c>
      <c r="D49" s="29" t="s">
        <v>40</v>
      </c>
      <c r="E49" s="49"/>
      <c r="F49" s="49"/>
      <c r="G49" s="49"/>
      <c r="H49" s="49"/>
      <c r="I49" s="49"/>
      <c r="J49" s="49"/>
      <c r="K49" s="49"/>
      <c r="L49" s="49"/>
      <c r="M49" s="49"/>
      <c r="N49" s="49"/>
      <c r="O49" s="49"/>
      <c r="P49" s="49"/>
      <c r="Q49" s="38" t="s">
        <v>166</v>
      </c>
    </row>
    <row r="50" customFormat="false" ht="15" hidden="false" customHeight="false" outlineLevel="0" collapsed="false">
      <c r="A50" s="18"/>
      <c r="B50" s="37" t="s">
        <v>168</v>
      </c>
      <c r="C50" s="31" t="n">
        <f aca="false">CHOOSE($C$7,$C$47,$C$47-$C$48-$C$48^2,$C$47-3*$C$48^2-2*$C$48)</f>
        <v>0.00867174802160559</v>
      </c>
      <c r="D50" s="29" t="s">
        <v>40</v>
      </c>
      <c r="E50" s="49"/>
      <c r="F50" s="49"/>
      <c r="G50" s="49"/>
      <c r="H50" s="49"/>
      <c r="I50" s="49"/>
      <c r="J50" s="49"/>
      <c r="K50" s="49"/>
      <c r="L50" s="49"/>
      <c r="M50" s="49"/>
      <c r="N50" s="49"/>
      <c r="O50" s="49"/>
      <c r="P50" s="49"/>
      <c r="Q50" s="38" t="s">
        <v>169</v>
      </c>
    </row>
    <row r="51" customFormat="false" ht="15" hidden="false" customHeight="false" outlineLevel="0" collapsed="false">
      <c r="A51" s="18"/>
      <c r="B51" s="37" t="s">
        <v>171</v>
      </c>
      <c r="C51" s="31" t="n">
        <f aca="false">CHOOSE($C$7,-$C$47*$C$48,-$C$47*$C$48,-($C$47*$C$48-$C$48^2-$C$48^3))</f>
        <v>-0.0107910842936637</v>
      </c>
      <c r="D51" s="29" t="s">
        <v>40</v>
      </c>
      <c r="E51" s="49"/>
      <c r="F51" s="49"/>
      <c r="G51" s="49"/>
      <c r="H51" s="49"/>
      <c r="I51" s="49"/>
      <c r="J51" s="49"/>
      <c r="K51" s="49"/>
      <c r="L51" s="49"/>
      <c r="M51" s="49"/>
      <c r="N51" s="49"/>
      <c r="O51" s="49"/>
      <c r="P51" s="49"/>
      <c r="Q51" s="38" t="s">
        <v>172</v>
      </c>
    </row>
    <row r="52" customFormat="false" ht="15" hidden="false" customHeight="false" outlineLevel="0" collapsed="false">
      <c r="A52" s="18" t="s">
        <v>397</v>
      </c>
      <c r="B52" s="37" t="s">
        <v>175</v>
      </c>
      <c r="C52" s="31" t="n">
        <f aca="false">$C$50-$C$49^2/3</f>
        <v>-0.266219491031267</v>
      </c>
      <c r="D52" s="29" t="s">
        <v>40</v>
      </c>
      <c r="E52" s="49"/>
      <c r="F52" s="49"/>
      <c r="G52" s="49"/>
      <c r="H52" s="49"/>
      <c r="I52" s="49"/>
      <c r="J52" s="49"/>
      <c r="K52" s="49"/>
      <c r="L52" s="49"/>
      <c r="M52" s="49"/>
      <c r="N52" s="49"/>
      <c r="O52" s="49"/>
      <c r="P52" s="49"/>
      <c r="Q52" s="38" t="s">
        <v>398</v>
      </c>
    </row>
    <row r="53" customFormat="false" ht="15" hidden="false" customHeight="false" outlineLevel="0" collapsed="false">
      <c r="A53" s="18"/>
      <c r="B53" s="37" t="s">
        <v>177</v>
      </c>
      <c r="C53" s="31" t="n">
        <f aca="false">2*$C$49^3/27-$C$49*$C$50/3+$C$51</f>
        <v>-0.0636400988362784</v>
      </c>
      <c r="D53" s="29" t="s">
        <v>40</v>
      </c>
      <c r="E53" s="49"/>
      <c r="F53" s="49"/>
      <c r="G53" s="49"/>
      <c r="H53" s="49"/>
      <c r="I53" s="49"/>
      <c r="J53" s="49"/>
      <c r="K53" s="49"/>
      <c r="L53" s="49"/>
      <c r="M53" s="49"/>
      <c r="N53" s="49"/>
      <c r="O53" s="49"/>
      <c r="P53" s="49"/>
      <c r="Q53" s="38" t="s">
        <v>178</v>
      </c>
    </row>
    <row r="54" customFormat="false" ht="15" hidden="false" customHeight="false" outlineLevel="0" collapsed="false">
      <c r="A54" s="18"/>
      <c r="B54" s="37" t="s">
        <v>180</v>
      </c>
      <c r="C54" s="31" t="n">
        <f aca="false">$C$53^2/4+$C$52^3/27</f>
        <v>0.000313710901361829</v>
      </c>
      <c r="D54" s="29" t="s">
        <v>40</v>
      </c>
      <c r="E54" s="49"/>
      <c r="F54" s="49"/>
      <c r="G54" s="49"/>
      <c r="H54" s="49"/>
      <c r="I54" s="49"/>
      <c r="J54" s="49"/>
      <c r="K54" s="49"/>
      <c r="L54" s="49"/>
      <c r="M54" s="49"/>
      <c r="N54" s="49"/>
      <c r="O54" s="49"/>
      <c r="P54" s="49"/>
      <c r="Q54" s="38" t="s">
        <v>399</v>
      </c>
    </row>
    <row r="55" customFormat="false" ht="15" hidden="false" customHeight="false" outlineLevel="0" collapsed="false">
      <c r="A55" s="18"/>
      <c r="B55" s="37" t="s">
        <v>183</v>
      </c>
      <c r="C55" s="31" t="n">
        <f aca="false">-$C$53/2-IF($C$53&gt;=0,1,-1)*SQRT(MAX($C$54,0))</f>
        <v>0.0495319352963236</v>
      </c>
      <c r="D55" s="29" t="s">
        <v>40</v>
      </c>
      <c r="E55" s="49"/>
      <c r="F55" s="49"/>
      <c r="G55" s="49"/>
      <c r="H55" s="49"/>
      <c r="I55" s="49"/>
      <c r="J55" s="49"/>
      <c r="K55" s="49"/>
      <c r="L55" s="49"/>
      <c r="M55" s="49"/>
      <c r="N55" s="49"/>
      <c r="O55" s="49"/>
      <c r="P55" s="49"/>
      <c r="Q55" s="38" t="s">
        <v>184</v>
      </c>
    </row>
    <row r="56" customFormat="false" ht="15" hidden="false" customHeight="false" outlineLevel="0" collapsed="false">
      <c r="A56" s="18"/>
      <c r="B56" s="37" t="s">
        <v>185</v>
      </c>
      <c r="C56" s="31" t="n">
        <f aca="false">SIGN($C$55)*ABS($C$55)^(1/3)</f>
        <v>0.367249967174439</v>
      </c>
      <c r="D56" s="29" t="s">
        <v>40</v>
      </c>
      <c r="E56" s="49"/>
      <c r="F56" s="49"/>
      <c r="G56" s="49"/>
      <c r="H56" s="49"/>
      <c r="I56" s="49"/>
      <c r="J56" s="49"/>
      <c r="K56" s="49"/>
      <c r="L56" s="49"/>
      <c r="M56" s="49"/>
      <c r="N56" s="49"/>
      <c r="O56" s="49"/>
      <c r="P56" s="49"/>
      <c r="Q56" s="38" t="s">
        <v>186</v>
      </c>
    </row>
    <row r="57" customFormat="false" ht="15" hidden="false" customHeight="false" outlineLevel="0" collapsed="false">
      <c r="A57" s="18"/>
      <c r="B57" s="37" t="s">
        <v>187</v>
      </c>
      <c r="C57" s="31" t="n">
        <f aca="false">IF($C$56=0,0,$C$56-$C$52/(3*$C$56))</f>
        <v>0.60888329127384</v>
      </c>
      <c r="D57" s="29" t="s">
        <v>40</v>
      </c>
      <c r="E57" s="49"/>
      <c r="F57" s="49"/>
      <c r="G57" s="49"/>
      <c r="H57" s="49"/>
      <c r="I57" s="49"/>
      <c r="J57" s="49"/>
      <c r="K57" s="49"/>
      <c r="L57" s="49"/>
      <c r="M57" s="49"/>
      <c r="N57" s="49"/>
      <c r="O57" s="49"/>
      <c r="P57" s="49"/>
      <c r="Q57" s="38" t="s">
        <v>400</v>
      </c>
    </row>
    <row r="58" customFormat="false" ht="15" hidden="false" customHeight="false" outlineLevel="0" collapsed="false">
      <c r="A58" s="18"/>
      <c r="B58" s="37" t="s">
        <v>190</v>
      </c>
      <c r="C58" s="31" t="n">
        <f aca="false">2*SQRT(MAX(-$C$52,0)/3)</f>
        <v>0.595784626668918</v>
      </c>
      <c r="D58" s="29" t="s">
        <v>40</v>
      </c>
      <c r="E58" s="49"/>
      <c r="F58" s="49"/>
      <c r="G58" s="49"/>
      <c r="H58" s="49"/>
      <c r="I58" s="49"/>
      <c r="J58" s="49"/>
      <c r="K58" s="49"/>
      <c r="L58" s="49"/>
      <c r="M58" s="49"/>
      <c r="N58" s="49"/>
      <c r="O58" s="49"/>
      <c r="P58" s="49"/>
      <c r="Q58" s="38" t="s">
        <v>191</v>
      </c>
    </row>
    <row r="59" customFormat="false" ht="15" hidden="false" customHeight="false" outlineLevel="0" collapsed="false">
      <c r="A59" s="18"/>
      <c r="B59" s="37" t="s">
        <v>192</v>
      </c>
      <c r="C59" s="31" t="n">
        <f aca="false">ACOS(IF($C$58=0,0,MAX(-1,MIN(1,3*$C$53/($C$52*$C$58)))))</f>
        <v>0</v>
      </c>
      <c r="D59" s="29" t="s">
        <v>193</v>
      </c>
      <c r="E59" s="49"/>
      <c r="F59" s="49"/>
      <c r="G59" s="49"/>
      <c r="H59" s="49"/>
      <c r="I59" s="49"/>
      <c r="J59" s="49"/>
      <c r="K59" s="49"/>
      <c r="L59" s="49"/>
      <c r="M59" s="49"/>
      <c r="N59" s="49"/>
      <c r="O59" s="49"/>
      <c r="P59" s="49"/>
      <c r="Q59" s="38" t="s">
        <v>194</v>
      </c>
    </row>
    <row r="60" customFormat="false" ht="15" hidden="false" customHeight="false" outlineLevel="0" collapsed="false">
      <c r="A60" s="18"/>
      <c r="B60" s="37" t="s">
        <v>187</v>
      </c>
      <c r="C60" s="31" t="n">
        <f aca="false">$C$58*COS($C$59/3)</f>
        <v>0.595784626668918</v>
      </c>
      <c r="D60" s="29" t="s">
        <v>40</v>
      </c>
      <c r="E60" s="49"/>
      <c r="F60" s="49"/>
      <c r="G60" s="49"/>
      <c r="H60" s="49"/>
      <c r="I60" s="49"/>
      <c r="J60" s="49"/>
      <c r="K60" s="49"/>
      <c r="L60" s="49"/>
      <c r="M60" s="49"/>
      <c r="N60" s="49"/>
      <c r="O60" s="49"/>
      <c r="P60" s="49"/>
      <c r="Q60" s="38" t="s">
        <v>401</v>
      </c>
    </row>
    <row r="61" customFormat="false" ht="15" hidden="false" customHeight="false" outlineLevel="0" collapsed="false">
      <c r="A61" s="18"/>
      <c r="B61" s="37" t="s">
        <v>197</v>
      </c>
      <c r="C61" s="31" t="n">
        <f aca="false">IF($C$54&lt;0,$C$60,$C$57)-$C$49/3</f>
        <v>0.91158844983184</v>
      </c>
      <c r="D61" s="29" t="s">
        <v>40</v>
      </c>
      <c r="E61" s="49"/>
      <c r="F61" s="49"/>
      <c r="G61" s="49"/>
      <c r="H61" s="49"/>
      <c r="I61" s="49"/>
      <c r="J61" s="49"/>
      <c r="K61" s="49"/>
      <c r="L61" s="49"/>
      <c r="M61" s="49"/>
      <c r="N61" s="49"/>
      <c r="O61" s="49"/>
      <c r="P61" s="49"/>
      <c r="Q61" s="38" t="s">
        <v>198</v>
      </c>
    </row>
    <row r="62" customFormat="false" ht="15" hidden="false" customHeight="false" outlineLevel="0" collapsed="false">
      <c r="A62" s="18" t="s">
        <v>199</v>
      </c>
      <c r="B62" s="37" t="s">
        <v>200</v>
      </c>
      <c r="C62" s="31" t="n">
        <f aca="false">IFERROR(((($C$61+$C$49)*$C$61+$C$50)*$C$61+$C$51)/((3*$C$61+2*$C$49)*$C$61+$C$50),0)</f>
        <v>0</v>
      </c>
      <c r="D62" s="29" t="s">
        <v>40</v>
      </c>
      <c r="E62" s="49"/>
      <c r="F62" s="49"/>
      <c r="G62" s="49"/>
      <c r="H62" s="49"/>
      <c r="I62" s="49"/>
      <c r="J62" s="49"/>
      <c r="K62" s="49"/>
      <c r="L62" s="49"/>
      <c r="M62" s="49"/>
      <c r="N62" s="49"/>
      <c r="O62" s="49"/>
      <c r="P62" s="49"/>
      <c r="Q62" s="38" t="s">
        <v>204</v>
      </c>
    </row>
    <row r="63" customFormat="false" ht="15" hidden="false" customHeight="false" outlineLevel="0" collapsed="false">
      <c r="A63" s="18"/>
      <c r="B63" s="37" t="s">
        <v>197</v>
      </c>
      <c r="C63" s="31" t="n">
        <f aca="false">IF(ABS($C$62)&lt;0.1*ABS($C$61),$C$61-$C$62,$C$61)</f>
        <v>0.91158844983184</v>
      </c>
      <c r="D63" s="29" t="s">
        <v>40</v>
      </c>
      <c r="E63" s="49"/>
      <c r="F63" s="49"/>
      <c r="G63" s="49"/>
      <c r="H63" s="49"/>
      <c r="I63" s="49"/>
      <c r="J63" s="49"/>
      <c r="K63" s="49"/>
      <c r="L63" s="49"/>
      <c r="M63" s="49"/>
      <c r="N63" s="49"/>
      <c r="O63" s="49"/>
      <c r="P63" s="49"/>
      <c r="Q63" s="38" t="s">
        <v>206</v>
      </c>
    </row>
    <row r="64" customFormat="false" ht="15" hidden="false" customHeight="false" outlineLevel="0" collapsed="false">
      <c r="A64" s="18" t="s">
        <v>203</v>
      </c>
      <c r="B64" s="37" t="s">
        <v>200</v>
      </c>
      <c r="C64" s="31" t="n">
        <f aca="false">IFERROR(((($C$63+$C$49)*$C$63+$C$50)*$C$63+$C$51)/((3*$C$63+2*$C$49)*$C$63+$C$50),0)</f>
        <v>0</v>
      </c>
      <c r="D64" s="29" t="s">
        <v>40</v>
      </c>
      <c r="E64" s="49"/>
      <c r="F64" s="49"/>
      <c r="G64" s="49"/>
      <c r="H64" s="49"/>
      <c r="I64" s="49"/>
      <c r="J64" s="49"/>
      <c r="K64" s="49"/>
      <c r="L64" s="49"/>
      <c r="M64" s="49"/>
      <c r="N64" s="49"/>
      <c r="O64" s="49"/>
      <c r="P64" s="49"/>
      <c r="Q64" s="38"/>
    </row>
    <row r="65" customFormat="false" ht="15" hidden="false" customHeight="false" outlineLevel="0" collapsed="false">
      <c r="A65" s="18" t="s">
        <v>205</v>
      </c>
      <c r="B65" s="37" t="s">
        <v>197</v>
      </c>
      <c r="C65" s="31" t="n">
        <f aca="false">IF(ABS($C$64)&lt;0.1*ABS($C$63),$C$63-$C$64,$C$63)</f>
        <v>0.91158844983184</v>
      </c>
      <c r="D65" s="29" t="s">
        <v>40</v>
      </c>
      <c r="E65" s="49"/>
      <c r="F65" s="49"/>
      <c r="G65" s="49"/>
      <c r="H65" s="49"/>
      <c r="I65" s="49"/>
      <c r="J65" s="49"/>
      <c r="K65" s="49"/>
      <c r="L65" s="49"/>
      <c r="M65" s="49"/>
      <c r="N65" s="49"/>
      <c r="O65" s="49"/>
      <c r="P65" s="49"/>
      <c r="Q65" s="38"/>
    </row>
    <row r="66" customFormat="false" ht="15" hidden="false" customHeight="false" outlineLevel="0" collapsed="false">
      <c r="A66" s="18" t="s">
        <v>402</v>
      </c>
      <c r="B66" s="37" t="s">
        <v>209</v>
      </c>
      <c r="C66" s="31" t="n">
        <f aca="false">-$C$51/$C$65</f>
        <v>0.0118376711504565</v>
      </c>
      <c r="D66" s="29" t="s">
        <v>40</v>
      </c>
      <c r="E66" s="49"/>
      <c r="F66" s="49"/>
      <c r="G66" s="49"/>
      <c r="H66" s="49"/>
      <c r="I66" s="49"/>
      <c r="J66" s="49"/>
      <c r="K66" s="49"/>
      <c r="L66" s="49"/>
      <c r="M66" s="49"/>
      <c r="N66" s="49"/>
      <c r="O66" s="49"/>
      <c r="P66" s="49"/>
      <c r="Q66" s="38" t="s">
        <v>210</v>
      </c>
    </row>
    <row r="67" customFormat="false" ht="15" hidden="false" customHeight="false" outlineLevel="0" collapsed="false">
      <c r="A67" s="18"/>
      <c r="B67" s="37" t="s">
        <v>212</v>
      </c>
      <c r="C67" s="31" t="n">
        <f aca="false">($C$50-$C$66)/$C$65</f>
        <v>-0.00347297415783941</v>
      </c>
      <c r="D67" s="29" t="s">
        <v>40</v>
      </c>
      <c r="E67" s="49"/>
      <c r="F67" s="49"/>
      <c r="G67" s="49"/>
      <c r="H67" s="49"/>
      <c r="I67" s="49"/>
      <c r="J67" s="49"/>
      <c r="K67" s="49"/>
      <c r="L67" s="49"/>
      <c r="M67" s="49"/>
      <c r="N67" s="49"/>
      <c r="O67" s="49"/>
      <c r="P67" s="49"/>
      <c r="Q67" s="38" t="s">
        <v>213</v>
      </c>
    </row>
    <row r="68" customFormat="false" ht="15" hidden="false" customHeight="false" outlineLevel="0" collapsed="false">
      <c r="A68" s="18"/>
      <c r="B68" s="37" t="s">
        <v>215</v>
      </c>
      <c r="C68" s="31" t="n">
        <f aca="false">$C$67^2-4*$C$66</f>
        <v>-0.0473386230523248</v>
      </c>
      <c r="D68" s="29" t="s">
        <v>40</v>
      </c>
      <c r="E68" s="49"/>
      <c r="F68" s="49"/>
      <c r="G68" s="49"/>
      <c r="H68" s="49"/>
      <c r="I68" s="49"/>
      <c r="J68" s="49"/>
      <c r="K68" s="49"/>
      <c r="L68" s="49"/>
      <c r="M68" s="49"/>
      <c r="N68" s="49"/>
      <c r="O68" s="49"/>
      <c r="P68" s="49"/>
      <c r="Q68" s="38" t="s">
        <v>403</v>
      </c>
    </row>
    <row r="69" customFormat="false" ht="15" hidden="false" customHeight="false" outlineLevel="0" collapsed="false">
      <c r="A69" s="18"/>
      <c r="B69" s="37" t="s">
        <v>218</v>
      </c>
      <c r="C69" s="31" t="n">
        <f aca="false">IF($C$68&gt;=0,($C$67+IF($C$67&gt;=0,1,-1)*SQRT($C$68))/2,0)</f>
        <v>0</v>
      </c>
      <c r="D69" s="29" t="s">
        <v>40</v>
      </c>
      <c r="E69" s="49"/>
      <c r="F69" s="49"/>
      <c r="G69" s="49"/>
      <c r="H69" s="49"/>
      <c r="I69" s="49"/>
      <c r="J69" s="49"/>
      <c r="K69" s="49"/>
      <c r="L69" s="49"/>
      <c r="M69" s="49"/>
      <c r="N69" s="49"/>
      <c r="O69" s="49"/>
      <c r="P69" s="49"/>
      <c r="Q69" s="38" t="s">
        <v>404</v>
      </c>
    </row>
    <row r="70" customFormat="false" ht="15" hidden="false" customHeight="false" outlineLevel="0" collapsed="false">
      <c r="A70" s="18"/>
      <c r="B70" s="37" t="s">
        <v>221</v>
      </c>
      <c r="C70" s="31" t="n">
        <f aca="false">IF(AND($C$68&gt;=0,$C$69&lt;&gt;0),MIN($C$69,$C$66/$C$69),-1)</f>
        <v>-1</v>
      </c>
      <c r="D70" s="29" t="s">
        <v>40</v>
      </c>
      <c r="E70" s="49"/>
      <c r="F70" s="49"/>
      <c r="G70" s="49"/>
      <c r="H70" s="49"/>
      <c r="I70" s="49"/>
      <c r="J70" s="49"/>
      <c r="K70" s="49"/>
      <c r="L70" s="49"/>
      <c r="M70" s="49"/>
      <c r="N70" s="49"/>
      <c r="O70" s="49"/>
      <c r="P70" s="49"/>
      <c r="Q70" s="38" t="s">
        <v>405</v>
      </c>
    </row>
    <row r="71" customFormat="false" ht="15" hidden="false" customHeight="false" outlineLevel="0" collapsed="false">
      <c r="A71" s="18" t="s">
        <v>406</v>
      </c>
      <c r="B71" s="37"/>
      <c r="C71" s="31" t="n">
        <f aca="false">AND($C$68&gt;=0,$C$70&gt;$C$48,ABS($C$65-$C$70)&gt;=0.00005*MAX($C$65,$C$70))</f>
        <v>0</v>
      </c>
      <c r="D71" s="29"/>
      <c r="E71" s="49"/>
      <c r="F71" s="49"/>
      <c r="G71" s="49"/>
      <c r="H71" s="49"/>
      <c r="I71" s="49"/>
      <c r="J71" s="49"/>
      <c r="K71" s="49"/>
      <c r="L71" s="49"/>
      <c r="M71" s="49"/>
      <c r="N71" s="49"/>
      <c r="O71" s="49"/>
      <c r="P71" s="49"/>
      <c r="Q71" s="38" t="s">
        <v>407</v>
      </c>
    </row>
    <row r="72" customFormat="false" ht="15" hidden="false" customHeight="false" outlineLevel="0" collapsed="false">
      <c r="A72" s="18" t="s">
        <v>199</v>
      </c>
      <c r="B72" s="37" t="s">
        <v>200</v>
      </c>
      <c r="C72" s="31" t="n">
        <f aca="false">IF($C$71,IFERROR(((($C$70+$C$49)*$C$70+$C$50)*$C$70+$C$51)/((3*$C$70+2*$C$49)*$C$70+$C$50),0),0)</f>
        <v>0</v>
      </c>
      <c r="D72" s="29" t="s">
        <v>40</v>
      </c>
      <c r="E72" s="49"/>
      <c r="F72" s="49"/>
      <c r="G72" s="49"/>
      <c r="H72" s="49"/>
      <c r="I72" s="49"/>
      <c r="J72" s="49"/>
      <c r="K72" s="49"/>
      <c r="L72" s="49"/>
      <c r="M72" s="49"/>
      <c r="N72" s="49"/>
      <c r="O72" s="49"/>
      <c r="P72" s="49"/>
      <c r="Q72" s="38"/>
    </row>
    <row r="73" customFormat="false" ht="15" hidden="false" customHeight="false" outlineLevel="0" collapsed="false">
      <c r="A73" s="18"/>
      <c r="B73" s="37" t="s">
        <v>221</v>
      </c>
      <c r="C73" s="31" t="n">
        <f aca="false">IF(ABS($C$72)&lt;0.1*ABS($C$70),$C$70-$C$72,$C$70)</f>
        <v>-1</v>
      </c>
      <c r="D73" s="29" t="s">
        <v>40</v>
      </c>
      <c r="E73" s="49"/>
      <c r="F73" s="49"/>
      <c r="G73" s="49"/>
      <c r="H73" s="49"/>
      <c r="I73" s="49"/>
      <c r="J73" s="49"/>
      <c r="K73" s="49"/>
      <c r="L73" s="49"/>
      <c r="M73" s="49"/>
      <c r="N73" s="49"/>
      <c r="O73" s="49"/>
      <c r="P73" s="49"/>
      <c r="Q73" s="38"/>
    </row>
    <row r="74" customFormat="false" ht="15" hidden="false" customHeight="false" outlineLevel="0" collapsed="false">
      <c r="A74" s="18" t="s">
        <v>203</v>
      </c>
      <c r="B74" s="37" t="s">
        <v>200</v>
      </c>
      <c r="C74" s="31" t="n">
        <f aca="false">IF($C$71,IFERROR(((($C$73+$C$49)*$C$73+$C$50)*$C$73+$C$51)/((3*$C$73+2*$C$49)*$C$73+$C$50),0),0)</f>
        <v>0</v>
      </c>
      <c r="D74" s="29" t="s">
        <v>40</v>
      </c>
      <c r="E74" s="49"/>
      <c r="F74" s="49"/>
      <c r="G74" s="49"/>
      <c r="H74" s="49"/>
      <c r="I74" s="49"/>
      <c r="J74" s="49"/>
      <c r="K74" s="49"/>
      <c r="L74" s="49"/>
      <c r="M74" s="49"/>
      <c r="N74" s="49"/>
      <c r="O74" s="49"/>
      <c r="P74" s="49"/>
      <c r="Q74" s="38"/>
    </row>
    <row r="75" customFormat="false" ht="15" hidden="false" customHeight="false" outlineLevel="0" collapsed="false">
      <c r="A75" s="18" t="s">
        <v>226</v>
      </c>
      <c r="B75" s="37" t="s">
        <v>221</v>
      </c>
      <c r="C75" s="31" t="n">
        <f aca="false">IF(ABS($C$74)&lt;0.1*ABS($C$73),$C$73-$C$74,$C$73)</f>
        <v>-1</v>
      </c>
      <c r="D75" s="29" t="s">
        <v>40</v>
      </c>
      <c r="E75" s="49"/>
      <c r="F75" s="49"/>
      <c r="G75" s="49"/>
      <c r="H75" s="49"/>
      <c r="I75" s="49"/>
      <c r="J75" s="49"/>
      <c r="K75" s="49"/>
      <c r="L75" s="49"/>
      <c r="M75" s="49"/>
      <c r="N75" s="49"/>
      <c r="O75" s="49"/>
      <c r="P75" s="49"/>
      <c r="Q75" s="38"/>
    </row>
    <row r="76" customFormat="false" ht="15" hidden="false" customHeight="false" outlineLevel="0" collapsed="false">
      <c r="A76" s="18" t="s">
        <v>408</v>
      </c>
      <c r="B76" s="37" t="s">
        <v>232</v>
      </c>
      <c r="C76" s="31" t="n">
        <f aca="false">IF($C$71,MAX($C$65,$C$75),$C$65)</f>
        <v>0.91158844983184</v>
      </c>
      <c r="D76" s="29" t="s">
        <v>40</v>
      </c>
      <c r="E76" s="49"/>
      <c r="F76" s="49"/>
      <c r="G76" s="49"/>
      <c r="H76" s="49"/>
      <c r="I76" s="49"/>
      <c r="J76" s="49"/>
      <c r="K76" s="49"/>
      <c r="L76" s="49"/>
      <c r="M76" s="49"/>
      <c r="N76" s="49"/>
      <c r="O76" s="49"/>
      <c r="P76" s="49"/>
      <c r="Q76" s="38"/>
    </row>
    <row r="77" customFormat="false" ht="15" hidden="false" customHeight="false" outlineLevel="0" collapsed="false">
      <c r="A77" s="18" t="s">
        <v>409</v>
      </c>
      <c r="B77" s="37" t="s">
        <v>238</v>
      </c>
      <c r="C77" s="31" t="n">
        <f aca="false">IF($C$71,MIN($C$65,$C$75),-1)</f>
        <v>-1</v>
      </c>
      <c r="D77" s="29" t="s">
        <v>40</v>
      </c>
      <c r="E77" s="49"/>
      <c r="F77" s="49"/>
      <c r="G77" s="49"/>
      <c r="H77" s="49"/>
      <c r="I77" s="49"/>
      <c r="J77" s="49"/>
      <c r="K77" s="49"/>
      <c r="L77" s="49"/>
      <c r="M77" s="49"/>
      <c r="N77" s="49"/>
      <c r="O77" s="49"/>
      <c r="P77" s="49"/>
      <c r="Q77" s="38"/>
    </row>
    <row r="78" customFormat="false" ht="15" hidden="false" customHeight="false" outlineLevel="0" collapsed="false">
      <c r="A78" s="18" t="s">
        <v>410</v>
      </c>
      <c r="B78" s="37" t="s">
        <v>62</v>
      </c>
      <c r="C78" s="31" t="n">
        <f aca="false">CHOOSE($C$7,$C$47/$C$76,$C$47/$C$48*LN(1+$C$48/$C$76),$C$47/(2*SQRT(2)*$C$48)*LN(($C$76+(1+SQRT(2))*$C$48)/($C$76+(1-SQRT(2))*$C$48)))</f>
        <v>0.218240791233887</v>
      </c>
      <c r="D78" s="29" t="s">
        <v>40</v>
      </c>
      <c r="E78" s="49"/>
      <c r="F78" s="49"/>
      <c r="G78" s="49"/>
      <c r="H78" s="49"/>
      <c r="I78" s="49"/>
      <c r="J78" s="49"/>
      <c r="K78" s="49"/>
      <c r="L78" s="49"/>
      <c r="M78" s="49"/>
      <c r="N78" s="49"/>
      <c r="O78" s="49"/>
      <c r="P78" s="49"/>
      <c r="Q78" s="38" t="s">
        <v>411</v>
      </c>
    </row>
    <row r="79" customFormat="false" ht="15" hidden="false" customHeight="false" outlineLevel="0" collapsed="false">
      <c r="A79" s="18" t="s">
        <v>412</v>
      </c>
      <c r="B79" s="37" t="s">
        <v>64</v>
      </c>
      <c r="C79" s="31" t="n">
        <f aca="false">$C$76-1-LN($C$76-$C$48)-$C$78</f>
        <v>-0.107840271021729</v>
      </c>
      <c r="D79" s="29" t="s">
        <v>40</v>
      </c>
      <c r="E79" s="49"/>
      <c r="F79" s="49"/>
      <c r="G79" s="49"/>
      <c r="H79" s="49"/>
      <c r="I79" s="49"/>
      <c r="J79" s="49"/>
      <c r="K79" s="49"/>
      <c r="L79" s="49"/>
      <c r="M79" s="49"/>
      <c r="N79" s="49"/>
      <c r="O79" s="49"/>
      <c r="P79" s="49"/>
      <c r="Q79" s="38" t="s">
        <v>413</v>
      </c>
    </row>
    <row r="80" customFormat="false" ht="15" hidden="false" customHeight="false" outlineLevel="0" collapsed="false">
      <c r="A80" s="18" t="s">
        <v>414</v>
      </c>
      <c r="B80" s="37" t="s">
        <v>62</v>
      </c>
      <c r="C80" s="31" t="n">
        <f aca="false">IF($C$71,CHOOSE($C$7,$C$47/$C$77,$C$47/$C$48*LN(1+$C$48/$C$77),$C$47/(2*SQRT(2)*$C$48)*LN(($C$77+(1+SQRT(2))*$C$48)/($C$77+(1-SQRT(2))*$C$48))),0)</f>
        <v>0</v>
      </c>
      <c r="D80" s="29" t="s">
        <v>40</v>
      </c>
      <c r="E80" s="49"/>
      <c r="F80" s="49"/>
      <c r="G80" s="49"/>
      <c r="H80" s="49"/>
      <c r="I80" s="49"/>
      <c r="J80" s="49"/>
      <c r="K80" s="49"/>
      <c r="L80" s="49"/>
      <c r="M80" s="49"/>
      <c r="N80" s="49"/>
      <c r="O80" s="49"/>
      <c r="P80" s="49"/>
      <c r="Q80" s="38"/>
    </row>
    <row r="81" customFormat="false" ht="15" hidden="false" customHeight="false" outlineLevel="0" collapsed="false">
      <c r="A81" s="18" t="s">
        <v>415</v>
      </c>
      <c r="B81" s="37" t="s">
        <v>64</v>
      </c>
      <c r="C81" s="31" t="n">
        <f aca="false">IF($C$71,$C$77-1-LN($C$77-$C$48)-$C$80,0)</f>
        <v>0</v>
      </c>
      <c r="D81" s="29" t="s">
        <v>40</v>
      </c>
      <c r="E81" s="49"/>
      <c r="F81" s="49"/>
      <c r="G81" s="49"/>
      <c r="H81" s="49"/>
      <c r="I81" s="49"/>
      <c r="J81" s="49"/>
      <c r="K81" s="49"/>
      <c r="L81" s="49"/>
      <c r="M81" s="49"/>
      <c r="N81" s="49"/>
      <c r="O81" s="49"/>
      <c r="P81" s="49"/>
      <c r="Q81" s="38"/>
    </row>
    <row r="82" customFormat="false" ht="15" hidden="false" customHeight="false" outlineLevel="0" collapsed="false">
      <c r="A82" s="18" t="s">
        <v>416</v>
      </c>
      <c r="B82" s="37"/>
      <c r="C82" s="31" t="n">
        <f aca="false">AND($C$71,$C$81&lt;$C$79)</f>
        <v>0</v>
      </c>
      <c r="D82" s="29"/>
      <c r="E82" s="49"/>
      <c r="F82" s="49"/>
      <c r="G82" s="49"/>
      <c r="H82" s="49"/>
      <c r="I82" s="49"/>
      <c r="J82" s="49"/>
      <c r="K82" s="49"/>
      <c r="L82" s="49"/>
      <c r="M82" s="49"/>
      <c r="N82" s="49"/>
      <c r="O82" s="49"/>
      <c r="P82" s="49"/>
      <c r="Q82" s="38" t="s">
        <v>417</v>
      </c>
    </row>
    <row r="83" customFormat="false" ht="15" hidden="false" customHeight="false" outlineLevel="0" collapsed="false">
      <c r="A83" s="19" t="s">
        <v>418</v>
      </c>
      <c r="B83" s="37" t="s">
        <v>250</v>
      </c>
      <c r="C83" s="21" t="n">
        <f aca="false">IF($C$82,$C$77,$C$76)</f>
        <v>0.91158844983184</v>
      </c>
      <c r="D83" s="29" t="s">
        <v>40</v>
      </c>
      <c r="E83" s="49"/>
      <c r="F83" s="49"/>
      <c r="G83" s="49"/>
      <c r="H83" s="49"/>
      <c r="I83" s="49"/>
      <c r="J83" s="49"/>
      <c r="K83" s="49"/>
      <c r="L83" s="49"/>
      <c r="M83" s="49"/>
      <c r="N83" s="49"/>
      <c r="O83" s="49"/>
      <c r="P83" s="49"/>
      <c r="Q83" s="38"/>
    </row>
    <row r="84" customFormat="false" ht="15" hidden="false" customHeight="false" outlineLevel="0" collapsed="false">
      <c r="A84" s="18" t="s">
        <v>419</v>
      </c>
      <c r="B84" s="37" t="s">
        <v>62</v>
      </c>
      <c r="C84" s="31" t="n">
        <f aca="false">IF($C$82,$C$80,$C$78)</f>
        <v>0.218240791233887</v>
      </c>
      <c r="D84" s="29" t="s">
        <v>40</v>
      </c>
      <c r="E84" s="49"/>
      <c r="F84" s="49"/>
      <c r="G84" s="49"/>
      <c r="H84" s="49"/>
      <c r="I84" s="49"/>
      <c r="J84" s="49"/>
      <c r="K84" s="49"/>
      <c r="L84" s="49"/>
      <c r="M84" s="49"/>
      <c r="N84" s="49"/>
      <c r="O84" s="49"/>
      <c r="P84" s="49"/>
      <c r="Q84" s="38"/>
    </row>
    <row r="85" customFormat="false" ht="15" hidden="false" customHeight="false" outlineLevel="0" collapsed="false">
      <c r="A85" s="18"/>
      <c r="B85" s="37" t="s">
        <v>420</v>
      </c>
      <c r="C85" s="31" t="n">
        <f aca="false">LN($C$83-$C$48)</f>
        <v>-0.198812070380318</v>
      </c>
      <c r="D85" s="29" t="s">
        <v>40</v>
      </c>
      <c r="E85" s="49"/>
      <c r="F85" s="49"/>
      <c r="G85" s="49"/>
      <c r="H85" s="49"/>
      <c r="I85" s="49"/>
      <c r="J85" s="49"/>
      <c r="K85" s="49"/>
      <c r="L85" s="49"/>
      <c r="M85" s="49"/>
      <c r="N85" s="49"/>
      <c r="O85" s="49"/>
      <c r="P85" s="49"/>
      <c r="Q85" s="38"/>
    </row>
    <row r="86" customFormat="false" ht="15" hidden="false" customHeight="false" outlineLevel="0" collapsed="false">
      <c r="A86" s="18" t="s">
        <v>421</v>
      </c>
      <c r="B86" s="37" t="s">
        <v>422</v>
      </c>
      <c r="C86" s="50"/>
      <c r="D86" s="29" t="s">
        <v>40</v>
      </c>
      <c r="E86" s="52" t="n">
        <f aca="false">$E$27/$C$46*($C$83-1)-$C$85-$C$84*(2*$E$44/$C$45-$E$27/$C$46)</f>
        <v>-0.107840271021729</v>
      </c>
      <c r="F86" s="52" t="n">
        <f aca="false">$F$27/$C$46*($C$83-1)-$C$85-$C$84*(2*$F$44/$C$45-$F$27/$C$46)</f>
        <v>0.198812070380318</v>
      </c>
      <c r="G86" s="52" t="n">
        <f aca="false">$G$27/$C$46*($C$83-1)-$C$85-$C$84*(2*$G$44/$C$45-$G$27/$C$46)</f>
        <v>0.198812070380318</v>
      </c>
      <c r="H86" s="52" t="n">
        <f aca="false">$H$27/$C$46*($C$83-1)-$C$85-$C$84*(2*$H$44/$C$45-$H$27/$C$46)</f>
        <v>0.198812070380318</v>
      </c>
      <c r="I86" s="52" t="n">
        <f aca="false">$I$27/$C$46*($C$83-1)-$C$85-$C$84*(2*$I$44/$C$45-$I$27/$C$46)</f>
        <v>0.198812070380318</v>
      </c>
      <c r="J86" s="52" t="n">
        <f aca="false">$J$27/$C$46*($C$83-1)-$C$85-$C$84*(2*$J$44/$C$45-$J$27/$C$46)</f>
        <v>0.198812070380318</v>
      </c>
      <c r="K86" s="52" t="n">
        <f aca="false">$K$27/$C$46*($C$83-1)-$C$85-$C$84*(2*$K$44/$C$45-$K$27/$C$46)</f>
        <v>0.198812070380318</v>
      </c>
      <c r="L86" s="52" t="n">
        <f aca="false">$L$27/$C$46*($C$83-1)-$C$85-$C$84*(2*$L$44/$C$45-$L$27/$C$46)</f>
        <v>0.198812070380318</v>
      </c>
      <c r="M86" s="52" t="n">
        <f aca="false">$M$27/$C$46*($C$83-1)-$C$85-$C$84*(2*$M$44/$C$45-$M$27/$C$46)</f>
        <v>0.198812070380318</v>
      </c>
      <c r="N86" s="52" t="n">
        <f aca="false">$N$27/$C$46*($C$83-1)-$C$85-$C$84*(2*$N$44/$C$45-$N$27/$C$46)</f>
        <v>0.198812070380318</v>
      </c>
      <c r="O86" s="52" t="n">
        <f aca="false">$O$27/$C$46*($C$83-1)-$C$85-$C$84*(2*$O$44/$C$45-$O$27/$C$46)</f>
        <v>0.198812070380318</v>
      </c>
      <c r="P86" s="52" t="n">
        <f aca="false">$P$27/$C$46*($C$83-1)-$C$85-$C$84*(2*$P$44/$C$45-$P$27/$C$46)</f>
        <v>0.198812070380318</v>
      </c>
      <c r="Q86" s="38" t="s">
        <v>423</v>
      </c>
    </row>
    <row r="87" customFormat="false" ht="15" hidden="false" customHeight="false" outlineLevel="0" collapsed="false">
      <c r="A87" s="18" t="s">
        <v>424</v>
      </c>
      <c r="B87" s="37"/>
      <c r="C87" s="31" t="n">
        <f aca="false">$C$48/$C$83&gt;$C$22</f>
        <v>0</v>
      </c>
      <c r="D87" s="29"/>
      <c r="E87" s="49"/>
      <c r="F87" s="49"/>
      <c r="G87" s="49"/>
      <c r="H87" s="49"/>
      <c r="I87" s="49"/>
      <c r="J87" s="49"/>
      <c r="K87" s="49"/>
      <c r="L87" s="49"/>
      <c r="M87" s="49"/>
      <c r="N87" s="49"/>
      <c r="O87" s="49"/>
      <c r="P87" s="49"/>
      <c r="Q87" s="38" t="s">
        <v>425</v>
      </c>
    </row>
    <row r="88" customFormat="false" ht="15" hidden="false" customHeight="false" outlineLevel="0" collapsed="false">
      <c r="A88" s="4" t="s">
        <v>426</v>
      </c>
    </row>
    <row r="89" customFormat="false" ht="15" hidden="false" customHeight="false" outlineLevel="0" collapsed="false">
      <c r="A89" s="18" t="s">
        <v>427</v>
      </c>
      <c r="B89" s="37" t="s">
        <v>33</v>
      </c>
      <c r="C89" s="50"/>
      <c r="D89" s="29" t="s">
        <v>40</v>
      </c>
      <c r="E89" s="52" t="n">
        <f aca="false">IF($E$13&gt;0,$E$29,1E+300)</f>
        <v>5.48173853091944</v>
      </c>
      <c r="F89" s="52" t="n">
        <f aca="false">IF($F$13&gt;0,$F$29,1E+300)</f>
        <v>1E+300</v>
      </c>
      <c r="G89" s="52" t="n">
        <f aca="false">IF($G$13&gt;0,$G$29,1E+300)</f>
        <v>1E+300</v>
      </c>
      <c r="H89" s="52" t="n">
        <f aca="false">IF($H$13&gt;0,$H$29,1E+300)</f>
        <v>1E+300</v>
      </c>
      <c r="I89" s="52" t="n">
        <f aca="false">IF($I$13&gt;0,$I$29,1E+300)</f>
        <v>1E+300</v>
      </c>
      <c r="J89" s="52" t="n">
        <f aca="false">IF($J$13&gt;0,$J$29,1E+300)</f>
        <v>1E+300</v>
      </c>
      <c r="K89" s="52" t="n">
        <f aca="false">IF($K$13&gt;0,$K$29,1E+300)</f>
        <v>1E+300</v>
      </c>
      <c r="L89" s="52" t="n">
        <f aca="false">IF($L$13&gt;0,$L$29,1E+300)</f>
        <v>1E+300</v>
      </c>
      <c r="M89" s="52" t="n">
        <f aca="false">IF($M$13&gt;0,$M$29,1E+300)</f>
        <v>1E+300</v>
      </c>
      <c r="N89" s="52" t="n">
        <f aca="false">IF($N$13&gt;0,$N$29,1E+300)</f>
        <v>1E+300</v>
      </c>
      <c r="O89" s="52" t="n">
        <f aca="false">IF($O$13&gt;0,$O$29,1E+300)</f>
        <v>1E+300</v>
      </c>
      <c r="P89" s="52" t="n">
        <f aca="false">IF($P$13&gt;0,$P$29,1E+300)</f>
        <v>1E+300</v>
      </c>
      <c r="Q89" s="38" t="s">
        <v>428</v>
      </c>
    </row>
    <row r="90" customFormat="false" ht="15" hidden="false" customHeight="false" outlineLevel="0" collapsed="false">
      <c r="A90" s="18" t="s">
        <v>429</v>
      </c>
      <c r="B90" s="37" t="s">
        <v>19</v>
      </c>
      <c r="C90" s="32" t="n">
        <f aca="false">MATCH(MIN($E$89:$P$89),$E$89:$P$89,0)</f>
        <v>1</v>
      </c>
      <c r="D90" s="29" t="s">
        <v>40</v>
      </c>
      <c r="E90" s="49"/>
      <c r="F90" s="49"/>
      <c r="G90" s="49"/>
      <c r="H90" s="49"/>
      <c r="I90" s="49"/>
      <c r="J90" s="49"/>
      <c r="K90" s="49"/>
      <c r="L90" s="49"/>
      <c r="M90" s="49"/>
      <c r="N90" s="49"/>
      <c r="O90" s="49"/>
      <c r="P90" s="49"/>
      <c r="Q90" s="38" t="s">
        <v>430</v>
      </c>
    </row>
    <row r="91" customFormat="false" ht="15" hidden="false" customHeight="false" outlineLevel="0" collapsed="false">
      <c r="A91" s="18" t="s">
        <v>431</v>
      </c>
      <c r="B91" s="37" t="s">
        <v>432</v>
      </c>
      <c r="C91" s="50"/>
      <c r="D91" s="29" t="s">
        <v>40</v>
      </c>
      <c r="E91" s="52" t="n">
        <f aca="false">$E$13*$E$29</f>
        <v>5.48173853091944</v>
      </c>
      <c r="F91" s="52" t="n">
        <f aca="false">$F$13*$F$29</f>
        <v>0</v>
      </c>
      <c r="G91" s="52" t="n">
        <f aca="false">$G$13*$G$29</f>
        <v>0</v>
      </c>
      <c r="H91" s="52" t="n">
        <f aca="false">$H$13*$H$29</f>
        <v>0</v>
      </c>
      <c r="I91" s="52" t="n">
        <f aca="false">$I$13*$I$29</f>
        <v>0</v>
      </c>
      <c r="J91" s="52" t="n">
        <f aca="false">$J$13*$J$29</f>
        <v>0</v>
      </c>
      <c r="K91" s="52" t="n">
        <f aca="false">$K$13*$K$29</f>
        <v>0</v>
      </c>
      <c r="L91" s="52" t="n">
        <f aca="false">$L$13*$L$29</f>
        <v>0</v>
      </c>
      <c r="M91" s="52" t="n">
        <f aca="false">$M$13*$M$29</f>
        <v>0</v>
      </c>
      <c r="N91" s="52" t="n">
        <f aca="false">$N$13*$N$29</f>
        <v>0</v>
      </c>
      <c r="O91" s="52" t="n">
        <f aca="false">$O$13*$O$29</f>
        <v>0</v>
      </c>
      <c r="P91" s="52" t="n">
        <f aca="false">$P$13*$P$29</f>
        <v>0</v>
      </c>
      <c r="Q91" s="38" t="s">
        <v>433</v>
      </c>
    </row>
    <row r="92" customFormat="false" ht="15" hidden="false" customHeight="false" outlineLevel="0" collapsed="false">
      <c r="A92" s="18" t="s">
        <v>434</v>
      </c>
      <c r="B92" s="37" t="s">
        <v>432</v>
      </c>
      <c r="C92" s="50"/>
      <c r="D92" s="29" t="s">
        <v>40</v>
      </c>
      <c r="E92" s="52" t="n">
        <f aca="false">$E$13/$E$29</f>
        <v>0.182423877818972</v>
      </c>
      <c r="F92" s="52" t="n">
        <f aca="false">$F$13/$F$29</f>
        <v>0</v>
      </c>
      <c r="G92" s="52" t="n">
        <f aca="false">$G$13/$G$29</f>
        <v>0</v>
      </c>
      <c r="H92" s="52" t="n">
        <f aca="false">$H$13/$H$29</f>
        <v>0</v>
      </c>
      <c r="I92" s="52" t="n">
        <f aca="false">$I$13/$I$29</f>
        <v>0</v>
      </c>
      <c r="J92" s="52" t="n">
        <f aca="false">$J$13/$J$29</f>
        <v>0</v>
      </c>
      <c r="K92" s="52" t="n">
        <f aca="false">$K$13/$K$29</f>
        <v>0</v>
      </c>
      <c r="L92" s="52" t="n">
        <f aca="false">$L$13/$L$29</f>
        <v>0</v>
      </c>
      <c r="M92" s="52" t="n">
        <f aca="false">$M$13/$M$29</f>
        <v>0</v>
      </c>
      <c r="N92" s="52" t="n">
        <f aca="false">$N$13/$N$29</f>
        <v>0</v>
      </c>
      <c r="O92" s="52" t="n">
        <f aca="false">$O$13/$O$29</f>
        <v>0</v>
      </c>
      <c r="P92" s="52" t="n">
        <f aca="false">$P$13/$P$29</f>
        <v>0</v>
      </c>
      <c r="Q92" s="38" t="s">
        <v>435</v>
      </c>
    </row>
    <row r="93" customFormat="false" ht="15" hidden="false" customHeight="false" outlineLevel="0" collapsed="false">
      <c r="A93" s="18" t="s">
        <v>436</v>
      </c>
      <c r="B93" s="37" t="s">
        <v>432</v>
      </c>
      <c r="C93" s="50"/>
      <c r="D93" s="29" t="s">
        <v>40</v>
      </c>
      <c r="E93" s="52" t="n">
        <f aca="false">IF($E$13&gt;0,IF($C$90=1,0.9,0.1/MAX(1,$C$11-1)),0)</f>
        <v>0.9</v>
      </c>
      <c r="F93" s="52" t="n">
        <f aca="false">IF($F$13&gt;0,IF($C$90=2,0.9,0.1/MAX(1,$C$11-1)),0)</f>
        <v>0</v>
      </c>
      <c r="G93" s="52" t="n">
        <f aca="false">IF($G$13&gt;0,IF($C$90=3,0.9,0.1/MAX(1,$C$11-1)),0)</f>
        <v>0</v>
      </c>
      <c r="H93" s="52" t="n">
        <f aca="false">IF($H$13&gt;0,IF($C$90=4,0.9,0.1/MAX(1,$C$11-1)),0)</f>
        <v>0</v>
      </c>
      <c r="I93" s="52" t="n">
        <f aca="false">IF($I$13&gt;0,IF($C$90=5,0.9,0.1/MAX(1,$C$11-1)),0)</f>
        <v>0</v>
      </c>
      <c r="J93" s="52" t="n">
        <f aca="false">IF($J$13&gt;0,IF($C$90=6,0.9,0.1/MAX(1,$C$11-1)),0)</f>
        <v>0</v>
      </c>
      <c r="K93" s="52" t="n">
        <f aca="false">IF($K$13&gt;0,IF($C$90=7,0.9,0.1/MAX(1,$C$11-1)),0)</f>
        <v>0</v>
      </c>
      <c r="L93" s="52" t="n">
        <f aca="false">IF($L$13&gt;0,IF($C$90=8,0.9,0.1/MAX(1,$C$11-1)),0)</f>
        <v>0</v>
      </c>
      <c r="M93" s="52" t="n">
        <f aca="false">IF($M$13&gt;0,IF($C$90=9,0.9,0.1/MAX(1,$C$11-1)),0)</f>
        <v>0</v>
      </c>
      <c r="N93" s="52" t="n">
        <f aca="false">IF($N$13&gt;0,IF($C$90=10,0.9,0.1/MAX(1,$C$11-1)),0)</f>
        <v>0</v>
      </c>
      <c r="O93" s="52" t="n">
        <f aca="false">IF($O$13&gt;0,IF($C$90=11,0.9,0.1/MAX(1,$C$11-1)),0)</f>
        <v>0</v>
      </c>
      <c r="P93" s="52" t="n">
        <f aca="false">IF($P$13&gt;0,IF($C$90=12,0.9,0.1/MAX(1,$C$11-1)),0)</f>
        <v>0</v>
      </c>
      <c r="Q93" s="38" t="s">
        <v>437</v>
      </c>
    </row>
    <row r="94" customFormat="false" ht="15" hidden="false" customHeight="false" outlineLevel="0" collapsed="false">
      <c r="A94" s="18" t="s">
        <v>438</v>
      </c>
      <c r="B94" s="37" t="s">
        <v>439</v>
      </c>
      <c r="C94" s="31" t="n">
        <f aca="false">CO205</f>
        <v>0</v>
      </c>
      <c r="D94" s="29" t="s">
        <v>40</v>
      </c>
      <c r="E94" s="49"/>
      <c r="F94" s="49"/>
      <c r="G94" s="49"/>
      <c r="H94" s="49"/>
      <c r="I94" s="49"/>
      <c r="J94" s="49"/>
      <c r="K94" s="49"/>
      <c r="L94" s="49"/>
      <c r="M94" s="49"/>
      <c r="N94" s="49"/>
      <c r="O94" s="49"/>
      <c r="P94" s="49"/>
      <c r="Q94" s="38" t="s">
        <v>440</v>
      </c>
    </row>
    <row r="95" customFormat="false" ht="15" hidden="false" customHeight="false" outlineLevel="0" collapsed="false">
      <c r="A95" s="18" t="s">
        <v>441</v>
      </c>
      <c r="B95" s="37" t="s">
        <v>439</v>
      </c>
      <c r="C95" s="31" t="n">
        <f aca="false">CO249</f>
        <v>0</v>
      </c>
      <c r="D95" s="29" t="s">
        <v>40</v>
      </c>
      <c r="E95" s="49"/>
      <c r="F95" s="49"/>
      <c r="G95" s="49"/>
      <c r="H95" s="49"/>
      <c r="I95" s="49"/>
      <c r="J95" s="49"/>
      <c r="K95" s="49"/>
      <c r="L95" s="49"/>
      <c r="M95" s="49"/>
      <c r="N95" s="49"/>
      <c r="O95" s="49"/>
      <c r="P95" s="49"/>
      <c r="Q95" s="38"/>
    </row>
    <row r="96" customFormat="false" ht="15" hidden="false" customHeight="false" outlineLevel="0" collapsed="false">
      <c r="A96" s="18" t="s">
        <v>442</v>
      </c>
      <c r="B96" s="37" t="s">
        <v>439</v>
      </c>
      <c r="C96" s="31" t="n">
        <f aca="false">CO293</f>
        <v>0</v>
      </c>
      <c r="D96" s="29" t="s">
        <v>40</v>
      </c>
      <c r="E96" s="49"/>
      <c r="F96" s="49"/>
      <c r="G96" s="49"/>
      <c r="H96" s="49"/>
      <c r="I96" s="49"/>
      <c r="J96" s="49"/>
      <c r="K96" s="49"/>
      <c r="L96" s="49"/>
      <c r="M96" s="49"/>
      <c r="N96" s="49"/>
      <c r="O96" s="49"/>
      <c r="P96" s="49"/>
      <c r="Q96" s="38"/>
    </row>
    <row r="97" customFormat="false" ht="15" hidden="false" customHeight="false" outlineLevel="0" collapsed="false">
      <c r="A97" s="18" t="s">
        <v>443</v>
      </c>
      <c r="B97" s="37"/>
      <c r="C97" s="31" t="n">
        <f aca="false">IFERROR(AND(CP205&lt;0.0000000001,ABS(BY205-$C$83)&lt;0.000001*$C$83),TRUE())</f>
        <v>1</v>
      </c>
      <c r="D97" s="29"/>
      <c r="E97" s="49"/>
      <c r="F97" s="49"/>
      <c r="G97" s="49"/>
      <c r="H97" s="49"/>
      <c r="I97" s="49"/>
      <c r="J97" s="49"/>
      <c r="K97" s="49"/>
      <c r="L97" s="49"/>
      <c r="M97" s="49"/>
      <c r="N97" s="49"/>
      <c r="O97" s="49"/>
      <c r="P97" s="49"/>
      <c r="Q97" s="38" t="s">
        <v>444</v>
      </c>
    </row>
    <row r="98" customFormat="false" ht="15" hidden="false" customHeight="false" outlineLevel="0" collapsed="false">
      <c r="A98" s="18" t="s">
        <v>445</v>
      </c>
      <c r="B98" s="37"/>
      <c r="C98" s="31" t="n">
        <f aca="false">IFERROR(AND(CP249&lt;0.0000000001,ABS(BY249-$C$83)&lt;0.000001*$C$83),TRUE())</f>
        <v>1</v>
      </c>
      <c r="D98" s="29"/>
      <c r="E98" s="49"/>
      <c r="F98" s="49"/>
      <c r="G98" s="49"/>
      <c r="H98" s="49"/>
      <c r="I98" s="49"/>
      <c r="J98" s="49"/>
      <c r="K98" s="49"/>
      <c r="L98" s="49"/>
      <c r="M98" s="49"/>
      <c r="N98" s="49"/>
      <c r="O98" s="49"/>
      <c r="P98" s="49"/>
      <c r="Q98" s="38"/>
    </row>
    <row r="99" customFormat="false" ht="15" hidden="false" customHeight="false" outlineLevel="0" collapsed="false">
      <c r="A99" s="18" t="s">
        <v>446</v>
      </c>
      <c r="B99" s="37"/>
      <c r="C99" s="31" t="n">
        <f aca="false">IFERROR(AND(CP293&lt;0.0000000001,ABS(BY293-$C$83)&lt;0.000001*$C$83),TRUE())</f>
        <v>1</v>
      </c>
      <c r="D99" s="29"/>
      <c r="E99" s="49"/>
      <c r="F99" s="49"/>
      <c r="G99" s="49"/>
      <c r="H99" s="49"/>
      <c r="I99" s="49"/>
      <c r="J99" s="49"/>
      <c r="K99" s="49"/>
      <c r="L99" s="49"/>
      <c r="M99" s="49"/>
      <c r="N99" s="49"/>
      <c r="O99" s="49"/>
      <c r="P99" s="49"/>
      <c r="Q99" s="38"/>
    </row>
    <row r="100" customFormat="false" ht="15" hidden="false" customHeight="false" outlineLevel="0" collapsed="false">
      <c r="A100" s="18" t="s">
        <v>447</v>
      </c>
      <c r="B100" s="37"/>
      <c r="C100" s="31" t="n">
        <f aca="false">IFERROR(IF(AND(NOT($C$97),$C$94&lt;-0.000000001),$C$94,1E+099),1E+099)</f>
        <v>1E+099</v>
      </c>
      <c r="D100" s="29" t="s">
        <v>40</v>
      </c>
      <c r="E100" s="49"/>
      <c r="F100" s="49"/>
      <c r="G100" s="49"/>
      <c r="H100" s="49"/>
      <c r="I100" s="49"/>
      <c r="J100" s="49"/>
      <c r="K100" s="49"/>
      <c r="L100" s="49"/>
      <c r="M100" s="49"/>
      <c r="N100" s="49"/>
      <c r="O100" s="49"/>
      <c r="P100" s="49"/>
      <c r="Q100" s="38" t="s">
        <v>448</v>
      </c>
    </row>
    <row r="101" customFormat="false" ht="15" hidden="false" customHeight="false" outlineLevel="0" collapsed="false">
      <c r="A101" s="18" t="s">
        <v>449</v>
      </c>
      <c r="B101" s="37"/>
      <c r="C101" s="31" t="n">
        <f aca="false">IFERROR(IF(AND(NOT($C$98),$C$95&lt;-0.000000001),$C$95,1E+099),1E+099)</f>
        <v>1E+099</v>
      </c>
      <c r="D101" s="29" t="s">
        <v>40</v>
      </c>
      <c r="E101" s="49"/>
      <c r="F101" s="49"/>
      <c r="G101" s="49"/>
      <c r="H101" s="49"/>
      <c r="I101" s="49"/>
      <c r="J101" s="49"/>
      <c r="K101" s="49"/>
      <c r="L101" s="49"/>
      <c r="M101" s="49"/>
      <c r="N101" s="49"/>
      <c r="O101" s="49"/>
      <c r="P101" s="49"/>
      <c r="Q101" s="38"/>
    </row>
    <row r="102" customFormat="false" ht="15" hidden="false" customHeight="false" outlineLevel="0" collapsed="false">
      <c r="A102" s="18" t="s">
        <v>450</v>
      </c>
      <c r="B102" s="37"/>
      <c r="C102" s="31" t="n">
        <f aca="false">IFERROR(IF(AND(NOT($C$99),$C$96&lt;-0.000000001),$C$96,1E+099),1E+099)</f>
        <v>1E+099</v>
      </c>
      <c r="D102" s="29" t="s">
        <v>40</v>
      </c>
      <c r="E102" s="49"/>
      <c r="F102" s="49"/>
      <c r="G102" s="49"/>
      <c r="H102" s="49"/>
      <c r="I102" s="49"/>
      <c r="J102" s="49"/>
      <c r="K102" s="49"/>
      <c r="L102" s="49"/>
      <c r="M102" s="49"/>
      <c r="N102" s="49"/>
      <c r="O102" s="49"/>
      <c r="P102" s="49"/>
      <c r="Q102" s="38"/>
    </row>
    <row r="103" customFormat="false" ht="15" hidden="false" customHeight="false" outlineLevel="0" collapsed="false">
      <c r="A103" s="18" t="s">
        <v>451</v>
      </c>
      <c r="B103" s="37"/>
      <c r="C103" s="31" t="n">
        <f aca="false">IFERROR(BY205&gt;$C$83,FALSE())</f>
        <v>0</v>
      </c>
      <c r="D103" s="29"/>
      <c r="E103" s="49"/>
      <c r="F103" s="49"/>
      <c r="G103" s="49"/>
      <c r="H103" s="49"/>
      <c r="I103" s="49"/>
      <c r="J103" s="49"/>
      <c r="K103" s="49"/>
      <c r="L103" s="49"/>
      <c r="M103" s="49"/>
      <c r="N103" s="49"/>
      <c r="O103" s="49"/>
      <c r="P103" s="49"/>
      <c r="Q103" s="38" t="s">
        <v>452</v>
      </c>
    </row>
    <row r="104" customFormat="false" ht="15" hidden="false" customHeight="false" outlineLevel="0" collapsed="false">
      <c r="A104" s="18" t="s">
        <v>453</v>
      </c>
      <c r="B104" s="37"/>
      <c r="C104" s="31" t="n">
        <f aca="false">IFERROR(BY249&gt;$C$83,FALSE())</f>
        <v>0</v>
      </c>
      <c r="D104" s="29"/>
      <c r="E104" s="49"/>
      <c r="F104" s="49"/>
      <c r="G104" s="49"/>
      <c r="H104" s="49"/>
      <c r="I104" s="49"/>
      <c r="J104" s="49"/>
      <c r="K104" s="49"/>
      <c r="L104" s="49"/>
      <c r="M104" s="49"/>
      <c r="N104" s="49"/>
      <c r="O104" s="49"/>
      <c r="P104" s="49"/>
      <c r="Q104" s="38"/>
    </row>
    <row r="105" customFormat="false" ht="15" hidden="false" customHeight="false" outlineLevel="0" collapsed="false">
      <c r="A105" s="18" t="s">
        <v>454</v>
      </c>
      <c r="B105" s="37"/>
      <c r="C105" s="31" t="n">
        <f aca="false">IFERROR(BY293&gt;$C$83,FALSE())</f>
        <v>0</v>
      </c>
      <c r="D105" s="29"/>
      <c r="E105" s="49"/>
      <c r="F105" s="49"/>
      <c r="G105" s="49"/>
      <c r="H105" s="49"/>
      <c r="I105" s="49"/>
      <c r="J105" s="49"/>
      <c r="K105" s="49"/>
      <c r="L105" s="49"/>
      <c r="M105" s="49"/>
      <c r="N105" s="49"/>
      <c r="O105" s="49"/>
      <c r="P105" s="49"/>
      <c r="Q105" s="38"/>
    </row>
    <row r="106" customFormat="false" ht="15" hidden="false" customHeight="false" outlineLevel="0" collapsed="false">
      <c r="A106" s="18" t="s">
        <v>455</v>
      </c>
      <c r="B106" s="37" t="s">
        <v>33</v>
      </c>
      <c r="C106" s="50"/>
      <c r="D106" s="29" t="s">
        <v>40</v>
      </c>
      <c r="E106" s="52" t="n">
        <f aca="false">IFERROR(IF($E$13&gt;0,IF($C$103,B205/$E$13,$E$13/B205),1),1)</f>
        <v>1</v>
      </c>
      <c r="F106" s="52" t="n">
        <f aca="false">IFERROR(IF($F$13&gt;0,IF($C$103,C205/$F$13,$F$13/C205),1),1)</f>
        <v>1</v>
      </c>
      <c r="G106" s="52" t="n">
        <f aca="false">IFERROR(IF($G$13&gt;0,IF($C$103,D205/$G$13,$G$13/D205),1),1)</f>
        <v>1</v>
      </c>
      <c r="H106" s="52" t="n">
        <f aca="false">IFERROR(IF($H$13&gt;0,IF($C$103,E205/$H$13,$H$13/E205),1),1)</f>
        <v>1</v>
      </c>
      <c r="I106" s="52" t="n">
        <f aca="false">IFERROR(IF($I$13&gt;0,IF($C$103,F205/$I$13,$I$13/F205),1),1)</f>
        <v>1</v>
      </c>
      <c r="J106" s="52" t="n">
        <f aca="false">IFERROR(IF($J$13&gt;0,IF($C$103,G205/$J$13,$J$13/G205),1),1)</f>
        <v>1</v>
      </c>
      <c r="K106" s="52" t="n">
        <f aca="false">IFERROR(IF($K$13&gt;0,IF($C$103,H205/$K$13,$K$13/H205),1),1)</f>
        <v>1</v>
      </c>
      <c r="L106" s="52" t="n">
        <f aca="false">IFERROR(IF($L$13&gt;0,IF($C$103,I205/$L$13,$L$13/I205),1),1)</f>
        <v>1</v>
      </c>
      <c r="M106" s="52" t="n">
        <f aca="false">IFERROR(IF($M$13&gt;0,IF($C$103,J205/$M$13,$M$13/J205),1),1)</f>
        <v>1</v>
      </c>
      <c r="N106" s="52" t="n">
        <f aca="false">IFERROR(IF($N$13&gt;0,IF($C$103,K205/$N$13,$N$13/K205),1),1)</f>
        <v>1</v>
      </c>
      <c r="O106" s="52" t="n">
        <f aca="false">IFERROR(IF($O$13&gt;0,IF($C$103,L205/$O$13,$O$13/L205),1),1)</f>
        <v>1</v>
      </c>
      <c r="P106" s="52" t="n">
        <f aca="false">IFERROR(IF($P$13&gt;0,IF($C$103,M205/$P$13,$P$13/M205),1),1)</f>
        <v>1</v>
      </c>
      <c r="Q106" s="38" t="s">
        <v>456</v>
      </c>
    </row>
    <row r="107" customFormat="false" ht="15" hidden="false" customHeight="false" outlineLevel="0" collapsed="false">
      <c r="A107" s="18" t="s">
        <v>457</v>
      </c>
      <c r="B107" s="37" t="s">
        <v>33</v>
      </c>
      <c r="C107" s="50"/>
      <c r="D107" s="29" t="s">
        <v>40</v>
      </c>
      <c r="E107" s="52" t="n">
        <f aca="false">IFERROR(IF($E$13&gt;0,IF($C$104,B249/$E$13,$E$13/B249),1),1)</f>
        <v>1</v>
      </c>
      <c r="F107" s="52" t="n">
        <f aca="false">IFERROR(IF($F$13&gt;0,IF($C$104,C249/$F$13,$F$13/C249),1),1)</f>
        <v>1</v>
      </c>
      <c r="G107" s="52" t="n">
        <f aca="false">IFERROR(IF($G$13&gt;0,IF($C$104,D249/$G$13,$G$13/D249),1),1)</f>
        <v>1</v>
      </c>
      <c r="H107" s="52" t="n">
        <f aca="false">IFERROR(IF($H$13&gt;0,IF($C$104,E249/$H$13,$H$13/E249),1),1)</f>
        <v>1</v>
      </c>
      <c r="I107" s="52" t="n">
        <f aca="false">IFERROR(IF($I$13&gt;0,IF($C$104,F249/$I$13,$I$13/F249),1),1)</f>
        <v>1</v>
      </c>
      <c r="J107" s="52" t="n">
        <f aca="false">IFERROR(IF($J$13&gt;0,IF($C$104,G249/$J$13,$J$13/G249),1),1)</f>
        <v>1</v>
      </c>
      <c r="K107" s="52" t="n">
        <f aca="false">IFERROR(IF($K$13&gt;0,IF($C$104,H249/$K$13,$K$13/H249),1),1)</f>
        <v>1</v>
      </c>
      <c r="L107" s="52" t="n">
        <f aca="false">IFERROR(IF($L$13&gt;0,IF($C$104,I249/$L$13,$L$13/I249),1),1)</f>
        <v>1</v>
      </c>
      <c r="M107" s="52" t="n">
        <f aca="false">IFERROR(IF($M$13&gt;0,IF($C$104,J249/$M$13,$M$13/J249),1),1)</f>
        <v>1</v>
      </c>
      <c r="N107" s="52" t="n">
        <f aca="false">IFERROR(IF($N$13&gt;0,IF($C$104,K249/$N$13,$N$13/K249),1),1)</f>
        <v>1</v>
      </c>
      <c r="O107" s="52" t="n">
        <f aca="false">IFERROR(IF($O$13&gt;0,IF($C$104,L249/$O$13,$O$13/L249),1),1)</f>
        <v>1</v>
      </c>
      <c r="P107" s="52" t="n">
        <f aca="false">IFERROR(IF($P$13&gt;0,IF($C$104,M249/$P$13,$P$13/M249),1),1)</f>
        <v>1</v>
      </c>
      <c r="Q107" s="38"/>
    </row>
    <row r="108" customFormat="false" ht="15" hidden="false" customHeight="false" outlineLevel="0" collapsed="false">
      <c r="A108" s="18" t="s">
        <v>458</v>
      </c>
      <c r="B108" s="37" t="s">
        <v>33</v>
      </c>
      <c r="C108" s="50"/>
      <c r="D108" s="29" t="s">
        <v>40</v>
      </c>
      <c r="E108" s="52" t="n">
        <f aca="false">IFERROR(IF($E$13&gt;0,IF($C$105,B293/$E$13,$E$13/B293),1),1)</f>
        <v>1</v>
      </c>
      <c r="F108" s="52" t="n">
        <f aca="false">IFERROR(IF($F$13&gt;0,IF($C$105,C293/$F$13,$F$13/C293),1),1)</f>
        <v>1</v>
      </c>
      <c r="G108" s="52" t="n">
        <f aca="false">IFERROR(IF($G$13&gt;0,IF($C$105,D293/$G$13,$G$13/D293),1),1)</f>
        <v>1</v>
      </c>
      <c r="H108" s="52" t="n">
        <f aca="false">IFERROR(IF($H$13&gt;0,IF($C$105,E293/$H$13,$H$13/E293),1),1)</f>
        <v>1</v>
      </c>
      <c r="I108" s="52" t="n">
        <f aca="false">IFERROR(IF($I$13&gt;0,IF($C$105,F293/$I$13,$I$13/F293),1),1)</f>
        <v>1</v>
      </c>
      <c r="J108" s="52" t="n">
        <f aca="false">IFERROR(IF($J$13&gt;0,IF($C$105,G293/$J$13,$J$13/G293),1),1)</f>
        <v>1</v>
      </c>
      <c r="K108" s="52" t="n">
        <f aca="false">IFERROR(IF($K$13&gt;0,IF($C$105,H293/$K$13,$K$13/H293),1),1)</f>
        <v>1</v>
      </c>
      <c r="L108" s="52" t="n">
        <f aca="false">IFERROR(IF($L$13&gt;0,IF($C$105,I293/$L$13,$L$13/I293),1),1)</f>
        <v>1</v>
      </c>
      <c r="M108" s="52" t="n">
        <f aca="false">IFERROR(IF($M$13&gt;0,IF($C$105,J293/$M$13,$M$13/J293),1),1)</f>
        <v>1</v>
      </c>
      <c r="N108" s="52" t="n">
        <f aca="false">IFERROR(IF($N$13&gt;0,IF($C$105,K293/$N$13,$N$13/K293),1),1)</f>
        <v>1</v>
      </c>
      <c r="O108" s="52" t="n">
        <f aca="false">IFERROR(IF($O$13&gt;0,IF($C$105,L293/$O$13,$O$13/L293),1),1)</f>
        <v>1</v>
      </c>
      <c r="P108" s="52" t="n">
        <f aca="false">IFERROR(IF($P$13&gt;0,IF($C$105,M293/$P$13,$P$13/M293),1),1)</f>
        <v>1</v>
      </c>
      <c r="Q108" s="38"/>
    </row>
    <row r="109" customFormat="false" ht="15" hidden="false" customHeight="false" outlineLevel="0" collapsed="false">
      <c r="A109" s="18" t="s">
        <v>459</v>
      </c>
      <c r="B109" s="37" t="s">
        <v>439</v>
      </c>
      <c r="C109" s="31" t="n">
        <f aca="false">MIN($C$100,$C$101,$C$102)</f>
        <v>1E+099</v>
      </c>
      <c r="D109" s="29" t="s">
        <v>40</v>
      </c>
      <c r="E109" s="49"/>
      <c r="F109" s="49"/>
      <c r="G109" s="49"/>
      <c r="H109" s="49"/>
      <c r="I109" s="49"/>
      <c r="J109" s="49"/>
      <c r="K109" s="49"/>
      <c r="L109" s="49"/>
      <c r="M109" s="49"/>
      <c r="N109" s="49"/>
      <c r="O109" s="49"/>
      <c r="P109" s="49"/>
      <c r="Q109" s="38"/>
    </row>
    <row r="110" customFormat="false" ht="15" hidden="false" customHeight="false" outlineLevel="0" collapsed="false">
      <c r="A110" s="19" t="s">
        <v>460</v>
      </c>
      <c r="B110" s="37"/>
      <c r="C110" s="21" t="n">
        <f aca="false">$C$109&lt;1E+098</f>
        <v>0</v>
      </c>
      <c r="D110" s="29"/>
      <c r="E110" s="49"/>
      <c r="F110" s="49"/>
      <c r="G110" s="49"/>
      <c r="H110" s="49"/>
      <c r="I110" s="49"/>
      <c r="J110" s="49"/>
      <c r="K110" s="49"/>
      <c r="L110" s="49"/>
      <c r="M110" s="49"/>
      <c r="N110" s="49"/>
      <c r="O110" s="49"/>
      <c r="P110" s="49"/>
      <c r="Q110" s="38"/>
    </row>
    <row r="111" customFormat="false" ht="15" hidden="false" customHeight="false" outlineLevel="0" collapsed="false">
      <c r="A111" s="18" t="s">
        <v>461</v>
      </c>
      <c r="B111" s="37" t="s">
        <v>19</v>
      </c>
      <c r="C111" s="32" t="n">
        <f aca="false">IF($C$110,MATCH($C$109,$C$100:$C$102,0),1)</f>
        <v>1</v>
      </c>
      <c r="D111" s="29" t="s">
        <v>40</v>
      </c>
      <c r="E111" s="49"/>
      <c r="F111" s="49"/>
      <c r="G111" s="49"/>
      <c r="H111" s="49"/>
      <c r="I111" s="49"/>
      <c r="J111" s="49"/>
      <c r="K111" s="49"/>
      <c r="L111" s="49"/>
      <c r="M111" s="49"/>
      <c r="N111" s="49"/>
      <c r="O111" s="49"/>
      <c r="P111" s="49"/>
      <c r="Q111" s="38" t="s">
        <v>462</v>
      </c>
    </row>
    <row r="112" customFormat="false" ht="15" hidden="false" customHeight="false" outlineLevel="0" collapsed="false">
      <c r="A112" s="18" t="s">
        <v>463</v>
      </c>
      <c r="B112" s="37" t="s">
        <v>33</v>
      </c>
      <c r="C112" s="50"/>
      <c r="D112" s="29" t="s">
        <v>40</v>
      </c>
      <c r="E112" s="52" t="n">
        <f aca="false">CHOOSE($C$111,$E$106,$E$107,$E$108)</f>
        <v>1</v>
      </c>
      <c r="F112" s="52" t="n">
        <f aca="false">CHOOSE($C$111,$F$106,$F$107,$F$108)</f>
        <v>1</v>
      </c>
      <c r="G112" s="52" t="n">
        <f aca="false">CHOOSE($C$111,$G$106,$G$107,$G$108)</f>
        <v>1</v>
      </c>
      <c r="H112" s="52" t="n">
        <f aca="false">CHOOSE($C$111,$H$106,$H$107,$H$108)</f>
        <v>1</v>
      </c>
      <c r="I112" s="52" t="n">
        <f aca="false">CHOOSE($C$111,$I$106,$I$107,$I$108)</f>
        <v>1</v>
      </c>
      <c r="J112" s="52" t="n">
        <f aca="false">CHOOSE($C$111,$J$106,$J$107,$J$108)</f>
        <v>1</v>
      </c>
      <c r="K112" s="52" t="n">
        <f aca="false">CHOOSE($C$111,$K$106,$K$107,$K$108)</f>
        <v>1</v>
      </c>
      <c r="L112" s="52" t="n">
        <f aca="false">CHOOSE($C$111,$L$106,$L$107,$L$108)</f>
        <v>1</v>
      </c>
      <c r="M112" s="52" t="n">
        <f aca="false">CHOOSE($C$111,$M$106,$M$107,$M$108)</f>
        <v>1</v>
      </c>
      <c r="N112" s="52" t="n">
        <f aca="false">CHOOSE($C$111,$N$106,$N$107,$N$108)</f>
        <v>1</v>
      </c>
      <c r="O112" s="52" t="n">
        <f aca="false">CHOOSE($C$111,$O$106,$O$107,$O$108)</f>
        <v>1</v>
      </c>
      <c r="P112" s="52" t="n">
        <f aca="false">CHOOSE($C$111,$P$106,$P$107,$P$108)</f>
        <v>1</v>
      </c>
      <c r="Q112" s="38" t="s">
        <v>464</v>
      </c>
    </row>
    <row r="113" customFormat="false" ht="15" hidden="false" customHeight="false" outlineLevel="0" collapsed="false">
      <c r="A113" s="4" t="s">
        <v>465</v>
      </c>
    </row>
    <row r="114" customFormat="false" ht="15" hidden="false" customHeight="false" outlineLevel="0" collapsed="false">
      <c r="A114" s="18" t="s">
        <v>466</v>
      </c>
      <c r="B114" s="37" t="s">
        <v>467</v>
      </c>
      <c r="C114" s="50"/>
      <c r="D114" s="29" t="s">
        <v>40</v>
      </c>
      <c r="E114" s="52" t="n">
        <f aca="false">IF($E$13&gt;0,LN($E$13)+$E$86,0)</f>
        <v>-0.107840271021729</v>
      </c>
      <c r="F114" s="52" t="n">
        <f aca="false">IF($F$13&gt;0,LN($F$13)+$F$86,0)</f>
        <v>0</v>
      </c>
      <c r="G114" s="52" t="n">
        <f aca="false">IF($G$13&gt;0,LN($G$13)+$G$86,0)</f>
        <v>0</v>
      </c>
      <c r="H114" s="52" t="n">
        <f aca="false">IF($H$13&gt;0,LN($H$13)+$H$86,0)</f>
        <v>0</v>
      </c>
      <c r="I114" s="52" t="n">
        <f aca="false">IF($I$13&gt;0,LN($I$13)+$I$86,0)</f>
        <v>0</v>
      </c>
      <c r="J114" s="52" t="n">
        <f aca="false">IF($J$13&gt;0,LN($J$13)+$J$86,0)</f>
        <v>0</v>
      </c>
      <c r="K114" s="52" t="n">
        <f aca="false">IF($K$13&gt;0,LN($K$13)+$K$86,0)</f>
        <v>0</v>
      </c>
      <c r="L114" s="52" t="n">
        <f aca="false">IF($L$13&gt;0,LN($L$13)+$L$86,0)</f>
        <v>0</v>
      </c>
      <c r="M114" s="52" t="n">
        <f aca="false">IF($M$13&gt;0,LN($M$13)+$M$86,0)</f>
        <v>0</v>
      </c>
      <c r="N114" s="52" t="n">
        <f aca="false">IF($N$13&gt;0,LN($N$13)+$N$86,0)</f>
        <v>0</v>
      </c>
      <c r="O114" s="52" t="n">
        <f aca="false">IF($O$13&gt;0,LN($O$13)+$O$86,0)</f>
        <v>0</v>
      </c>
      <c r="P114" s="52" t="n">
        <f aca="false">IF($P$13&gt;0,LN($P$13)+$P$86,0)</f>
        <v>0</v>
      </c>
      <c r="Q114" s="38" t="s">
        <v>468</v>
      </c>
    </row>
    <row r="115" customFormat="false" ht="15" hidden="false" customHeight="false" outlineLevel="0" collapsed="false">
      <c r="A115" s="18" t="s">
        <v>469</v>
      </c>
      <c r="B115" s="37" t="s">
        <v>470</v>
      </c>
      <c r="C115" s="31" t="n">
        <f aca="false">SUMPRODUCT($E$13:$P$13,$E$114:$P$114)</f>
        <v>-0.107840271021729</v>
      </c>
      <c r="D115" s="29" t="s">
        <v>40</v>
      </c>
      <c r="E115" s="49"/>
      <c r="F115" s="49"/>
      <c r="G115" s="49"/>
      <c r="H115" s="49"/>
      <c r="I115" s="49"/>
      <c r="J115" s="49"/>
      <c r="K115" s="49"/>
      <c r="L115" s="49"/>
      <c r="M115" s="49"/>
      <c r="N115" s="49"/>
      <c r="O115" s="49"/>
      <c r="P115" s="49"/>
      <c r="Q115" s="38" t="s">
        <v>471</v>
      </c>
    </row>
    <row r="116" customFormat="false" ht="15" hidden="false" customHeight="false" outlineLevel="0" collapsed="false">
      <c r="A116" s="18" t="s">
        <v>472</v>
      </c>
      <c r="B116" s="37" t="s">
        <v>473</v>
      </c>
      <c r="C116" s="31" t="n">
        <f aca="false">IJ357</f>
        <v>0</v>
      </c>
      <c r="D116" s="29" t="s">
        <v>40</v>
      </c>
      <c r="E116" s="49"/>
      <c r="F116" s="49"/>
      <c r="G116" s="49"/>
      <c r="H116" s="49"/>
      <c r="I116" s="49"/>
      <c r="J116" s="49"/>
      <c r="K116" s="49"/>
      <c r="L116" s="49"/>
      <c r="M116" s="49"/>
      <c r="N116" s="49"/>
      <c r="O116" s="49"/>
      <c r="P116" s="49"/>
      <c r="Q116" s="38" t="s">
        <v>474</v>
      </c>
    </row>
    <row r="117" customFormat="false" ht="15" hidden="false" customHeight="false" outlineLevel="0" collapsed="false">
      <c r="A117" s="18" t="s">
        <v>475</v>
      </c>
      <c r="B117" s="37" t="s">
        <v>476</v>
      </c>
      <c r="C117" s="31" t="n">
        <f aca="false">IK357</f>
        <v>0</v>
      </c>
      <c r="D117" s="29" t="s">
        <v>40</v>
      </c>
      <c r="E117" s="49"/>
      <c r="F117" s="49"/>
      <c r="G117" s="49"/>
      <c r="H117" s="49"/>
      <c r="I117" s="49"/>
      <c r="J117" s="49"/>
      <c r="K117" s="49"/>
      <c r="L117" s="49"/>
      <c r="M117" s="49"/>
      <c r="N117" s="49"/>
      <c r="O117" s="49"/>
      <c r="P117" s="49"/>
      <c r="Q117" s="38" t="s">
        <v>477</v>
      </c>
    </row>
    <row r="118" customFormat="false" ht="15" hidden="false" customHeight="false" outlineLevel="0" collapsed="false">
      <c r="A118" s="18" t="s">
        <v>478</v>
      </c>
      <c r="B118" s="37"/>
      <c r="C118" s="31" t="n">
        <f aca="false">AB357</f>
        <v>0</v>
      </c>
      <c r="D118" s="29"/>
      <c r="E118" s="49"/>
      <c r="F118" s="49"/>
      <c r="G118" s="49"/>
      <c r="H118" s="49"/>
      <c r="I118" s="49"/>
      <c r="J118" s="49"/>
      <c r="K118" s="49"/>
      <c r="L118" s="49"/>
      <c r="M118" s="49"/>
      <c r="N118" s="49"/>
      <c r="O118" s="49"/>
      <c r="P118" s="49"/>
      <c r="Q118" s="38"/>
    </row>
    <row r="119" customFormat="false" ht="15" hidden="false" customHeight="false" outlineLevel="0" collapsed="false">
      <c r="A119" s="18" t="s">
        <v>479</v>
      </c>
      <c r="B119" s="37" t="s">
        <v>480</v>
      </c>
      <c r="C119" s="31" t="n">
        <f aca="false">BI357</f>
        <v>1</v>
      </c>
      <c r="D119" s="29" t="s">
        <v>40</v>
      </c>
      <c r="E119" s="49"/>
      <c r="F119" s="49"/>
      <c r="G119" s="49"/>
      <c r="H119" s="49"/>
      <c r="I119" s="49"/>
      <c r="J119" s="49"/>
      <c r="K119" s="49"/>
      <c r="L119" s="49"/>
      <c r="M119" s="49"/>
      <c r="N119" s="49"/>
      <c r="O119" s="49"/>
      <c r="P119" s="49"/>
      <c r="Q119" s="38" t="s">
        <v>481</v>
      </c>
    </row>
    <row r="120" customFormat="false" ht="15" hidden="false" customHeight="false" outlineLevel="0" collapsed="false">
      <c r="A120" s="18" t="s">
        <v>482</v>
      </c>
      <c r="B120" s="37"/>
      <c r="C120" s="31" t="n">
        <f aca="false">IFERROR(AND($C$116&lt;=0.00000000000001,$C$117&gt;=0.00000001,$C$118,$C$119&gt;0,$C$119&lt;1),FALSE())</f>
        <v>0</v>
      </c>
      <c r="D120" s="29"/>
      <c r="E120" s="49"/>
      <c r="F120" s="49"/>
      <c r="G120" s="49"/>
      <c r="H120" s="49"/>
      <c r="I120" s="49"/>
      <c r="J120" s="49"/>
      <c r="K120" s="49"/>
      <c r="L120" s="49"/>
      <c r="M120" s="49"/>
      <c r="N120" s="49"/>
      <c r="O120" s="49"/>
      <c r="P120" s="49"/>
      <c r="Q120" s="38"/>
    </row>
    <row r="121" customFormat="false" ht="15" hidden="false" customHeight="false" outlineLevel="0" collapsed="false">
      <c r="A121" s="18" t="s">
        <v>483</v>
      </c>
      <c r="B121" s="37" t="s">
        <v>467</v>
      </c>
      <c r="C121" s="50"/>
      <c r="D121" s="29" t="s">
        <v>40</v>
      </c>
      <c r="E121" s="52" t="n">
        <f aca="false">IF($E$13&gt;0,LN(CJ357)+HK357,0)</f>
        <v>-0.107840271021729</v>
      </c>
      <c r="F121" s="52" t="n">
        <f aca="false">IF($F$13&gt;0,LN(CK357)+HL357,0)</f>
        <v>0</v>
      </c>
      <c r="G121" s="52" t="n">
        <f aca="false">IF($G$13&gt;0,LN(CL357)+HM357,0)</f>
        <v>0</v>
      </c>
      <c r="H121" s="52" t="n">
        <f aca="false">IF($H$13&gt;0,LN(CM357)+HN357,0)</f>
        <v>0</v>
      </c>
      <c r="I121" s="52" t="n">
        <f aca="false">IF($I$13&gt;0,LN(CN357)+HO357,0)</f>
        <v>0</v>
      </c>
      <c r="J121" s="52" t="n">
        <f aca="false">IF($J$13&gt;0,LN(CO357)+HP357,0)</f>
        <v>0</v>
      </c>
      <c r="K121" s="52" t="n">
        <f aca="false">IF($K$13&gt;0,LN(CP357)+HQ357,0)</f>
        <v>0</v>
      </c>
      <c r="L121" s="52" t="n">
        <f aca="false">IF($L$13&gt;0,LN(CQ357)+HR357,0)</f>
        <v>0</v>
      </c>
      <c r="M121" s="52" t="n">
        <f aca="false">IF($M$13&gt;0,LN(CR357)+HS357,0)</f>
        <v>0</v>
      </c>
      <c r="N121" s="52" t="n">
        <f aca="false">IF($N$13&gt;0,LN(CS357)+HT357,0)</f>
        <v>0</v>
      </c>
      <c r="O121" s="52" t="n">
        <f aca="false">IF($O$13&gt;0,LN(CT357)+HU357,0)</f>
        <v>0</v>
      </c>
      <c r="P121" s="52" t="n">
        <f aca="false">IF($P$13&gt;0,LN(CU357)+HV357,0)</f>
        <v>0</v>
      </c>
      <c r="Q121" s="38" t="s">
        <v>484</v>
      </c>
    </row>
    <row r="122" customFormat="false" ht="15" hidden="false" customHeight="false" outlineLevel="0" collapsed="false">
      <c r="A122" s="18" t="s">
        <v>485</v>
      </c>
      <c r="B122" s="37" t="s">
        <v>470</v>
      </c>
      <c r="C122" s="31" t="n">
        <f aca="false">IFERROR(SUMPRODUCT($E$13:$P$13,$E$121:$P$121),1E+099)</f>
        <v>-0.107840271021729</v>
      </c>
      <c r="D122" s="29" t="s">
        <v>40</v>
      </c>
      <c r="E122" s="49"/>
      <c r="F122" s="49"/>
      <c r="G122" s="49"/>
      <c r="H122" s="49"/>
      <c r="I122" s="49"/>
      <c r="J122" s="49"/>
      <c r="K122" s="49"/>
      <c r="L122" s="49"/>
      <c r="M122" s="49"/>
      <c r="N122" s="49"/>
      <c r="O122" s="49"/>
      <c r="P122" s="49"/>
      <c r="Q122" s="38" t="s">
        <v>486</v>
      </c>
    </row>
    <row r="123" customFormat="false" ht="15" hidden="false" customHeight="false" outlineLevel="0" collapsed="false">
      <c r="A123" s="18" t="s">
        <v>487</v>
      </c>
      <c r="B123" s="37"/>
      <c r="C123" s="31" t="n">
        <f aca="false">AND($C$120,$C$122&lt;$C$115)</f>
        <v>0</v>
      </c>
      <c r="D123" s="29"/>
      <c r="E123" s="49"/>
      <c r="F123" s="49"/>
      <c r="G123" s="49"/>
      <c r="H123" s="49"/>
      <c r="I123" s="49"/>
      <c r="J123" s="49"/>
      <c r="K123" s="49"/>
      <c r="L123" s="49"/>
      <c r="M123" s="49"/>
      <c r="N123" s="49"/>
      <c r="O123" s="49"/>
      <c r="P123" s="49"/>
      <c r="Q123" s="38"/>
    </row>
    <row r="124" customFormat="false" ht="15" hidden="false" customHeight="false" outlineLevel="0" collapsed="false">
      <c r="A124" s="18" t="s">
        <v>488</v>
      </c>
      <c r="B124" s="37" t="s">
        <v>473</v>
      </c>
      <c r="C124" s="31" t="n">
        <f aca="false">IJ421</f>
        <v>0</v>
      </c>
      <c r="D124" s="29" t="s">
        <v>40</v>
      </c>
      <c r="E124" s="49"/>
      <c r="F124" s="49"/>
      <c r="G124" s="49"/>
      <c r="H124" s="49"/>
      <c r="I124" s="49"/>
      <c r="J124" s="49"/>
      <c r="K124" s="49"/>
      <c r="L124" s="49"/>
      <c r="M124" s="49"/>
      <c r="N124" s="49"/>
      <c r="O124" s="49"/>
      <c r="P124" s="49"/>
      <c r="Q124" s="38" t="s">
        <v>474</v>
      </c>
    </row>
    <row r="125" customFormat="false" ht="15" hidden="false" customHeight="false" outlineLevel="0" collapsed="false">
      <c r="A125" s="18" t="s">
        <v>489</v>
      </c>
      <c r="B125" s="37" t="s">
        <v>476</v>
      </c>
      <c r="C125" s="31" t="n">
        <f aca="false">IK421</f>
        <v>0</v>
      </c>
      <c r="D125" s="29" t="s">
        <v>40</v>
      </c>
      <c r="E125" s="49"/>
      <c r="F125" s="49"/>
      <c r="G125" s="49"/>
      <c r="H125" s="49"/>
      <c r="I125" s="49"/>
      <c r="J125" s="49"/>
      <c r="K125" s="49"/>
      <c r="L125" s="49"/>
      <c r="M125" s="49"/>
      <c r="N125" s="49"/>
      <c r="O125" s="49"/>
      <c r="P125" s="49"/>
      <c r="Q125" s="38" t="s">
        <v>477</v>
      </c>
    </row>
    <row r="126" customFormat="false" ht="15" hidden="false" customHeight="false" outlineLevel="0" collapsed="false">
      <c r="A126" s="18" t="s">
        <v>490</v>
      </c>
      <c r="B126" s="37"/>
      <c r="C126" s="31" t="n">
        <f aca="false">AB421</f>
        <v>0</v>
      </c>
      <c r="D126" s="29"/>
      <c r="E126" s="49"/>
      <c r="F126" s="49"/>
      <c r="G126" s="49"/>
      <c r="H126" s="49"/>
      <c r="I126" s="49"/>
      <c r="J126" s="49"/>
      <c r="K126" s="49"/>
      <c r="L126" s="49"/>
      <c r="M126" s="49"/>
      <c r="N126" s="49"/>
      <c r="O126" s="49"/>
      <c r="P126" s="49"/>
      <c r="Q126" s="38"/>
    </row>
    <row r="127" customFormat="false" ht="15" hidden="false" customHeight="false" outlineLevel="0" collapsed="false">
      <c r="A127" s="18" t="s">
        <v>491</v>
      </c>
      <c r="B127" s="37" t="s">
        <v>480</v>
      </c>
      <c r="C127" s="31" t="n">
        <f aca="false">BI421</f>
        <v>1</v>
      </c>
      <c r="D127" s="29" t="s">
        <v>40</v>
      </c>
      <c r="E127" s="49"/>
      <c r="F127" s="49"/>
      <c r="G127" s="49"/>
      <c r="H127" s="49"/>
      <c r="I127" s="49"/>
      <c r="J127" s="49"/>
      <c r="K127" s="49"/>
      <c r="L127" s="49"/>
      <c r="M127" s="49"/>
      <c r="N127" s="49"/>
      <c r="O127" s="49"/>
      <c r="P127" s="49"/>
      <c r="Q127" s="38" t="s">
        <v>481</v>
      </c>
    </row>
    <row r="128" customFormat="false" ht="15" hidden="false" customHeight="false" outlineLevel="0" collapsed="false">
      <c r="A128" s="18" t="s">
        <v>492</v>
      </c>
      <c r="B128" s="37"/>
      <c r="C128" s="31" t="n">
        <f aca="false">IFERROR(AND($C$124&lt;=0.00000000000001,$C$125&gt;=0.00000001,$C$126,$C$127&gt;0,$C$127&lt;1),FALSE())</f>
        <v>0</v>
      </c>
      <c r="D128" s="29"/>
      <c r="E128" s="49"/>
      <c r="F128" s="49"/>
      <c r="G128" s="49"/>
      <c r="H128" s="49"/>
      <c r="I128" s="49"/>
      <c r="J128" s="49"/>
      <c r="K128" s="49"/>
      <c r="L128" s="49"/>
      <c r="M128" s="49"/>
      <c r="N128" s="49"/>
      <c r="O128" s="49"/>
      <c r="P128" s="49"/>
      <c r="Q128" s="38"/>
    </row>
    <row r="129" customFormat="false" ht="15" hidden="false" customHeight="false" outlineLevel="0" collapsed="false">
      <c r="A129" s="18" t="s">
        <v>493</v>
      </c>
      <c r="B129" s="37" t="s">
        <v>467</v>
      </c>
      <c r="C129" s="50"/>
      <c r="D129" s="29" t="s">
        <v>40</v>
      </c>
      <c r="E129" s="52" t="n">
        <f aca="false">IF($E$13&gt;0,LN(CJ421)+HK421,0)</f>
        <v>-0.107840271021729</v>
      </c>
      <c r="F129" s="52" t="n">
        <f aca="false">IF($F$13&gt;0,LN(CK421)+HL421,0)</f>
        <v>0</v>
      </c>
      <c r="G129" s="52" t="n">
        <f aca="false">IF($G$13&gt;0,LN(CL421)+HM421,0)</f>
        <v>0</v>
      </c>
      <c r="H129" s="52" t="n">
        <f aca="false">IF($H$13&gt;0,LN(CM421)+HN421,0)</f>
        <v>0</v>
      </c>
      <c r="I129" s="52" t="n">
        <f aca="false">IF($I$13&gt;0,LN(CN421)+HO421,0)</f>
        <v>0</v>
      </c>
      <c r="J129" s="52" t="n">
        <f aca="false">IF($J$13&gt;0,LN(CO421)+HP421,0)</f>
        <v>0</v>
      </c>
      <c r="K129" s="52" t="n">
        <f aca="false">IF($K$13&gt;0,LN(CP421)+HQ421,0)</f>
        <v>0</v>
      </c>
      <c r="L129" s="52" t="n">
        <f aca="false">IF($L$13&gt;0,LN(CQ421)+HR421,0)</f>
        <v>0</v>
      </c>
      <c r="M129" s="52" t="n">
        <f aca="false">IF($M$13&gt;0,LN(CR421)+HS421,0)</f>
        <v>0</v>
      </c>
      <c r="N129" s="52" t="n">
        <f aca="false">IF($N$13&gt;0,LN(CS421)+HT421,0)</f>
        <v>0</v>
      </c>
      <c r="O129" s="52" t="n">
        <f aca="false">IF($O$13&gt;0,LN(CT421)+HU421,0)</f>
        <v>0</v>
      </c>
      <c r="P129" s="52" t="n">
        <f aca="false">IF($P$13&gt;0,LN(CU421)+HV421,0)</f>
        <v>0</v>
      </c>
      <c r="Q129" s="38" t="s">
        <v>484</v>
      </c>
    </row>
    <row r="130" customFormat="false" ht="15" hidden="false" customHeight="false" outlineLevel="0" collapsed="false">
      <c r="A130" s="18" t="s">
        <v>494</v>
      </c>
      <c r="B130" s="37" t="s">
        <v>470</v>
      </c>
      <c r="C130" s="31" t="n">
        <f aca="false">IFERROR(SUMPRODUCT($E$13:$P$13,$E$129:$P$129),1E+099)</f>
        <v>-0.107840271021729</v>
      </c>
      <c r="D130" s="29" t="s">
        <v>40</v>
      </c>
      <c r="E130" s="49"/>
      <c r="F130" s="49"/>
      <c r="G130" s="49"/>
      <c r="H130" s="49"/>
      <c r="I130" s="49"/>
      <c r="J130" s="49"/>
      <c r="K130" s="49"/>
      <c r="L130" s="49"/>
      <c r="M130" s="49"/>
      <c r="N130" s="49"/>
      <c r="O130" s="49"/>
      <c r="P130" s="49"/>
      <c r="Q130" s="38" t="s">
        <v>486</v>
      </c>
    </row>
    <row r="131" customFormat="false" ht="15" hidden="false" customHeight="false" outlineLevel="0" collapsed="false">
      <c r="A131" s="18" t="s">
        <v>495</v>
      </c>
      <c r="B131" s="37"/>
      <c r="C131" s="31" t="n">
        <f aca="false">AND($C$128,$C$130&lt;$C$115)</f>
        <v>0</v>
      </c>
      <c r="D131" s="29"/>
      <c r="E131" s="49"/>
      <c r="F131" s="49"/>
      <c r="G131" s="49"/>
      <c r="H131" s="49"/>
      <c r="I131" s="49"/>
      <c r="J131" s="49"/>
      <c r="K131" s="49"/>
      <c r="L131" s="49"/>
      <c r="M131" s="49"/>
      <c r="N131" s="49"/>
      <c r="O131" s="49"/>
      <c r="P131" s="49"/>
      <c r="Q131" s="38"/>
    </row>
    <row r="132" customFormat="false" ht="15" hidden="false" customHeight="false" outlineLevel="0" collapsed="false">
      <c r="A132" s="19" t="s">
        <v>496</v>
      </c>
      <c r="B132" s="37"/>
      <c r="C132" s="57" t="n">
        <f aca="false">IF(AND($C$123,$C$131),IF($C$130&lt;$C$122,2,1),IF($C$123,1,IF($C$131,2,0)))</f>
        <v>0</v>
      </c>
      <c r="D132" s="29"/>
      <c r="E132" s="49"/>
      <c r="F132" s="49"/>
      <c r="G132" s="49"/>
      <c r="H132" s="49"/>
      <c r="I132" s="49"/>
      <c r="J132" s="49"/>
      <c r="K132" s="49"/>
      <c r="L132" s="49"/>
      <c r="M132" s="49"/>
      <c r="N132" s="49"/>
      <c r="O132" s="49"/>
      <c r="P132" s="49"/>
      <c r="Q132" s="38" t="s">
        <v>497</v>
      </c>
    </row>
    <row r="133" customFormat="false" ht="15" hidden="false" customHeight="false" outlineLevel="0" collapsed="false">
      <c r="A133" s="19" t="s">
        <v>498</v>
      </c>
      <c r="B133" s="37"/>
      <c r="C133" s="57" t="n">
        <f aca="false">IF($C$11&lt;2,1,IF(NOT($C$110),1,IF($C$132&gt;0,2,3)))</f>
        <v>1</v>
      </c>
      <c r="D133" s="29"/>
      <c r="E133" s="49"/>
      <c r="F133" s="49"/>
      <c r="G133" s="49"/>
      <c r="H133" s="49"/>
      <c r="I133" s="49"/>
      <c r="J133" s="49"/>
      <c r="K133" s="49"/>
      <c r="L133" s="49"/>
      <c r="M133" s="49"/>
      <c r="N133" s="49"/>
      <c r="O133" s="49"/>
      <c r="P133" s="49"/>
      <c r="Q133" s="38"/>
    </row>
    <row r="134" customFormat="false" ht="15" hidden="false" customHeight="false" outlineLevel="0" collapsed="false">
      <c r="A134" s="4" t="s">
        <v>499</v>
      </c>
    </row>
    <row r="135" customFormat="false" ht="15" hidden="false" customHeight="false" outlineLevel="0" collapsed="false">
      <c r="A135" s="18" t="s">
        <v>500</v>
      </c>
      <c r="B135" s="37" t="s">
        <v>480</v>
      </c>
      <c r="C135" s="31" t="n">
        <f aca="false">IF($C$133=2,CHOOSE($C$132,$C$119,$C$127),1)</f>
        <v>1</v>
      </c>
      <c r="D135" s="29" t="s">
        <v>40</v>
      </c>
      <c r="E135" s="49"/>
      <c r="F135" s="49"/>
      <c r="G135" s="49"/>
      <c r="H135" s="49"/>
      <c r="I135" s="49"/>
      <c r="J135" s="49"/>
      <c r="K135" s="49"/>
      <c r="L135" s="49"/>
      <c r="M135" s="49"/>
      <c r="N135" s="49"/>
      <c r="O135" s="49"/>
      <c r="P135" s="49"/>
      <c r="Q135" s="38"/>
    </row>
    <row r="136" customFormat="false" ht="15" hidden="false" customHeight="false" outlineLevel="0" collapsed="false">
      <c r="A136" s="18" t="s">
        <v>501</v>
      </c>
      <c r="B136" s="37" t="s">
        <v>502</v>
      </c>
      <c r="C136" s="50"/>
      <c r="D136" s="29" t="s">
        <v>40</v>
      </c>
      <c r="E136" s="52" t="n">
        <f aca="false">IF($C$133=2,CHOOSE($C$132,BX357,BX421),0)</f>
        <v>0</v>
      </c>
      <c r="F136" s="52" t="n">
        <f aca="false">IF($C$133=2,CHOOSE($C$132,BY357,BY421),0)</f>
        <v>0</v>
      </c>
      <c r="G136" s="52" t="n">
        <f aca="false">IF($C$133=2,CHOOSE($C$132,BZ357,BZ421),0)</f>
        <v>0</v>
      </c>
      <c r="H136" s="52" t="n">
        <f aca="false">IF($C$133=2,CHOOSE($C$132,CA357,CA421),0)</f>
        <v>0</v>
      </c>
      <c r="I136" s="52" t="n">
        <f aca="false">IF($C$133=2,CHOOSE($C$132,CB357,CB421),0)</f>
        <v>0</v>
      </c>
      <c r="J136" s="52" t="n">
        <f aca="false">IF($C$133=2,CHOOSE($C$132,CC357,CC421),0)</f>
        <v>0</v>
      </c>
      <c r="K136" s="52" t="n">
        <f aca="false">IF($C$133=2,CHOOSE($C$132,CD357,CD421),0)</f>
        <v>0</v>
      </c>
      <c r="L136" s="52" t="n">
        <f aca="false">IF($C$133=2,CHOOSE($C$132,CE357,CE421),0)</f>
        <v>0</v>
      </c>
      <c r="M136" s="52" t="n">
        <f aca="false">IF($C$133=2,CHOOSE($C$132,CF357,CF421),0)</f>
        <v>0</v>
      </c>
      <c r="N136" s="52" t="n">
        <f aca="false">IF($C$133=2,CHOOSE($C$132,CG357,CG421),0)</f>
        <v>0</v>
      </c>
      <c r="O136" s="52" t="n">
        <f aca="false">IF($C$133=2,CHOOSE($C$132,CH357,CH421),0)</f>
        <v>0</v>
      </c>
      <c r="P136" s="52" t="n">
        <f aca="false">IF($C$133=2,CHOOSE($C$132,CI357,CI421),0)</f>
        <v>0</v>
      </c>
      <c r="Q136" s="38"/>
    </row>
    <row r="137" customFormat="false" ht="15" hidden="false" customHeight="false" outlineLevel="0" collapsed="false">
      <c r="A137" s="18" t="s">
        <v>503</v>
      </c>
      <c r="B137" s="37" t="s">
        <v>504</v>
      </c>
      <c r="C137" s="50"/>
      <c r="D137" s="29" t="s">
        <v>40</v>
      </c>
      <c r="E137" s="52" t="n">
        <f aca="false">IF($C$133=2,CHOOSE($C$132,CJ357,CJ421),$E$13)</f>
        <v>1</v>
      </c>
      <c r="F137" s="52" t="n">
        <f aca="false">IF($C$133=2,CHOOSE($C$132,CK357,CK421),$F$13)</f>
        <v>0</v>
      </c>
      <c r="G137" s="52" t="n">
        <f aca="false">IF($C$133=2,CHOOSE($C$132,CL357,CL421),$G$13)</f>
        <v>0</v>
      </c>
      <c r="H137" s="52" t="n">
        <f aca="false">IF($C$133=2,CHOOSE($C$132,CM357,CM421),$H$13)</f>
        <v>0</v>
      </c>
      <c r="I137" s="52" t="n">
        <f aca="false">IF($C$133=2,CHOOSE($C$132,CN357,CN421),$I$13)</f>
        <v>0</v>
      </c>
      <c r="J137" s="52" t="n">
        <f aca="false">IF($C$133=2,CHOOSE($C$132,CO357,CO421),$J$13)</f>
        <v>0</v>
      </c>
      <c r="K137" s="52" t="n">
        <f aca="false">IF($C$133=2,CHOOSE($C$132,CP357,CP421),$K$13)</f>
        <v>0</v>
      </c>
      <c r="L137" s="52" t="n">
        <f aca="false">IF($C$133=2,CHOOSE($C$132,CQ357,CQ421),$L$13)</f>
        <v>0</v>
      </c>
      <c r="M137" s="52" t="n">
        <f aca="false">IF($C$133=2,CHOOSE($C$132,CR357,CR421),$M$13)</f>
        <v>0</v>
      </c>
      <c r="N137" s="52" t="n">
        <f aca="false">IF($C$133=2,CHOOSE($C$132,CS357,CS421),$N$13)</f>
        <v>0</v>
      </c>
      <c r="O137" s="52" t="n">
        <f aca="false">IF($C$133=2,CHOOSE($C$132,CT357,CT421),$O$13)</f>
        <v>0</v>
      </c>
      <c r="P137" s="52" t="n">
        <f aca="false">IF($C$133=2,CHOOSE($C$132,CU357,CU421),$P$13)</f>
        <v>0</v>
      </c>
      <c r="Q137" s="38"/>
    </row>
    <row r="138" customFormat="false" ht="15" hidden="false" customHeight="false" outlineLevel="0" collapsed="false">
      <c r="A138" s="18" t="s">
        <v>505</v>
      </c>
      <c r="B138" s="37" t="s">
        <v>252</v>
      </c>
      <c r="C138" s="50"/>
      <c r="D138" s="29" t="s">
        <v>40</v>
      </c>
      <c r="E138" s="52" t="n">
        <f aca="false">IF($C$133=2,CHOOSE($C$132,EW357,EW421),0)</f>
        <v>0</v>
      </c>
      <c r="F138" s="52" t="n">
        <f aca="false">IF($C$133=2,CHOOSE($C$132,EX357,EX421),0)</f>
        <v>0</v>
      </c>
      <c r="G138" s="52" t="n">
        <f aca="false">IF($C$133=2,CHOOSE($C$132,EY357,EY421),0)</f>
        <v>0</v>
      </c>
      <c r="H138" s="52" t="n">
        <f aca="false">IF($C$133=2,CHOOSE($C$132,EZ357,EZ421),0)</f>
        <v>0</v>
      </c>
      <c r="I138" s="52" t="n">
        <f aca="false">IF($C$133=2,CHOOSE($C$132,FA357,FA421),0)</f>
        <v>0</v>
      </c>
      <c r="J138" s="52" t="n">
        <f aca="false">IF($C$133=2,CHOOSE($C$132,FB357,FB421),0)</f>
        <v>0</v>
      </c>
      <c r="K138" s="52" t="n">
        <f aca="false">IF($C$133=2,CHOOSE($C$132,FC357,FC421),0)</f>
        <v>0</v>
      </c>
      <c r="L138" s="52" t="n">
        <f aca="false">IF($C$133=2,CHOOSE($C$132,FD357,FD421),0)</f>
        <v>0</v>
      </c>
      <c r="M138" s="52" t="n">
        <f aca="false">IF($C$133=2,CHOOSE($C$132,FE357,FE421),0)</f>
        <v>0</v>
      </c>
      <c r="N138" s="52" t="n">
        <f aca="false">IF($C$133=2,CHOOSE($C$132,FF357,FF421),0)</f>
        <v>0</v>
      </c>
      <c r="O138" s="52" t="n">
        <f aca="false">IF($C$133=2,CHOOSE($C$132,FG357,FG421),0)</f>
        <v>0</v>
      </c>
      <c r="P138" s="52" t="n">
        <f aca="false">IF($C$133=2,CHOOSE($C$132,FH357,FH421),0)</f>
        <v>0</v>
      </c>
      <c r="Q138" s="38"/>
    </row>
    <row r="139" customFormat="false" ht="15" hidden="false" customHeight="false" outlineLevel="0" collapsed="false">
      <c r="A139" s="18" t="s">
        <v>506</v>
      </c>
      <c r="B139" s="37" t="s">
        <v>252</v>
      </c>
      <c r="C139" s="50"/>
      <c r="D139" s="29" t="s">
        <v>40</v>
      </c>
      <c r="E139" s="52" t="n">
        <f aca="false">IF($C$133=2,CHOOSE($C$132,HK357,HK421),$E$86)</f>
        <v>-0.107840271021729</v>
      </c>
      <c r="F139" s="52" t="n">
        <f aca="false">IF($C$133=2,CHOOSE($C$132,HL357,HL421),$F$86)</f>
        <v>0.198812070380318</v>
      </c>
      <c r="G139" s="52" t="n">
        <f aca="false">IF($C$133=2,CHOOSE($C$132,HM357,HM421),$G$86)</f>
        <v>0.198812070380318</v>
      </c>
      <c r="H139" s="52" t="n">
        <f aca="false">IF($C$133=2,CHOOSE($C$132,HN357,HN421),$H$86)</f>
        <v>0.198812070380318</v>
      </c>
      <c r="I139" s="52" t="n">
        <f aca="false">IF($C$133=2,CHOOSE($C$132,HO357,HO421),$I$86)</f>
        <v>0.198812070380318</v>
      </c>
      <c r="J139" s="52" t="n">
        <f aca="false">IF($C$133=2,CHOOSE($C$132,HP357,HP421),$J$86)</f>
        <v>0.198812070380318</v>
      </c>
      <c r="K139" s="52" t="n">
        <f aca="false">IF($C$133=2,CHOOSE($C$132,HQ357,HQ421),$K$86)</f>
        <v>0.198812070380318</v>
      </c>
      <c r="L139" s="52" t="n">
        <f aca="false">IF($C$133=2,CHOOSE($C$132,HR357,HR421),$L$86)</f>
        <v>0.198812070380318</v>
      </c>
      <c r="M139" s="52" t="n">
        <f aca="false">IF($C$133=2,CHOOSE($C$132,HS357,HS421),$M$86)</f>
        <v>0.198812070380318</v>
      </c>
      <c r="N139" s="52" t="n">
        <f aca="false">IF($C$133=2,CHOOSE($C$132,HT357,HT421),$N$86)</f>
        <v>0.198812070380318</v>
      </c>
      <c r="O139" s="52" t="n">
        <f aca="false">IF($C$133=2,CHOOSE($C$132,HU357,HU421),$O$86)</f>
        <v>0.198812070380318</v>
      </c>
      <c r="P139" s="52" t="n">
        <f aca="false">IF($C$133=2,CHOOSE($C$132,HV357,HV421),$P$86)</f>
        <v>0.198812070380318</v>
      </c>
      <c r="Q139" s="38"/>
    </row>
    <row r="140" customFormat="false" ht="15" hidden="false" customHeight="false" outlineLevel="0" collapsed="false">
      <c r="A140" s="18" t="s">
        <v>507</v>
      </c>
      <c r="B140" s="37" t="s">
        <v>250</v>
      </c>
      <c r="C140" s="31" t="n">
        <f aca="false">IF($C$133=2,CHOOSE($C$132,ET357,ET421),0)</f>
        <v>0</v>
      </c>
      <c r="D140" s="29" t="s">
        <v>40</v>
      </c>
      <c r="E140" s="49"/>
      <c r="F140" s="49"/>
      <c r="G140" s="49"/>
      <c r="H140" s="49"/>
      <c r="I140" s="49"/>
      <c r="J140" s="49"/>
      <c r="K140" s="49"/>
      <c r="L140" s="49"/>
      <c r="M140" s="49"/>
      <c r="N140" s="49"/>
      <c r="O140" s="49"/>
      <c r="P140" s="49"/>
      <c r="Q140" s="38"/>
    </row>
    <row r="141" customFormat="false" ht="15" hidden="false" customHeight="false" outlineLevel="0" collapsed="false">
      <c r="A141" s="18" t="s">
        <v>508</v>
      </c>
      <c r="B141" s="37" t="s">
        <v>250</v>
      </c>
      <c r="C141" s="31" t="n">
        <f aca="false">IF($C$133=2,CHOOSE($C$132,HH357,HH421),$C$83)</f>
        <v>0.91158844983184</v>
      </c>
      <c r="D141" s="29" t="s">
        <v>40</v>
      </c>
      <c r="E141" s="49"/>
      <c r="F141" s="49"/>
      <c r="G141" s="49"/>
      <c r="H141" s="49"/>
      <c r="I141" s="49"/>
      <c r="J141" s="49"/>
      <c r="K141" s="49"/>
      <c r="L141" s="49"/>
      <c r="M141" s="49"/>
      <c r="N141" s="49"/>
      <c r="O141" s="49"/>
      <c r="P141" s="49"/>
      <c r="Q141" s="38"/>
    </row>
    <row r="142" customFormat="false" ht="15" hidden="false" customHeight="false" outlineLevel="0" collapsed="false">
      <c r="A142" s="18" t="s">
        <v>509</v>
      </c>
      <c r="B142" s="37"/>
      <c r="C142" s="31" t="n">
        <f aca="false">IF($C$133=2,CHOOSE($C$132,FI357,FI421),FALSE())</f>
        <v>0</v>
      </c>
      <c r="D142" s="29"/>
      <c r="E142" s="49"/>
      <c r="F142" s="49"/>
      <c r="G142" s="49"/>
      <c r="H142" s="49"/>
      <c r="I142" s="49"/>
      <c r="J142" s="49"/>
      <c r="K142" s="49"/>
      <c r="L142" s="49"/>
      <c r="M142" s="49"/>
      <c r="N142" s="49"/>
      <c r="O142" s="49"/>
      <c r="P142" s="49"/>
      <c r="Q142" s="38"/>
    </row>
    <row r="143" customFormat="false" ht="15" hidden="false" customHeight="false" outlineLevel="0" collapsed="false">
      <c r="A143" s="18" t="s">
        <v>510</v>
      </c>
      <c r="B143" s="37"/>
      <c r="C143" s="31" t="n">
        <f aca="false">IF($C$133=2,CHOOSE($C$132,HW357,HW421),$C$87)</f>
        <v>0</v>
      </c>
      <c r="D143" s="29"/>
      <c r="E143" s="49"/>
      <c r="F143" s="49"/>
      <c r="G143" s="49"/>
      <c r="H143" s="49"/>
      <c r="I143" s="49"/>
      <c r="J143" s="49"/>
      <c r="K143" s="49"/>
      <c r="L143" s="49"/>
      <c r="M143" s="49"/>
      <c r="N143" s="49"/>
      <c r="O143" s="49"/>
      <c r="P143" s="49"/>
      <c r="Q143" s="38"/>
    </row>
    <row r="144" customFormat="false" ht="15" hidden="false" customHeight="false" outlineLevel="0" collapsed="false">
      <c r="A144" s="18" t="s">
        <v>511</v>
      </c>
      <c r="B144" s="37"/>
      <c r="C144" s="31" t="n">
        <f aca="false">$C$140&gt;$C$141</f>
        <v>0</v>
      </c>
      <c r="D144" s="29"/>
      <c r="E144" s="49"/>
      <c r="F144" s="49"/>
      <c r="G144" s="49"/>
      <c r="H144" s="49"/>
      <c r="I144" s="49"/>
      <c r="J144" s="49"/>
      <c r="K144" s="49"/>
      <c r="L144" s="49"/>
      <c r="M144" s="49"/>
      <c r="N144" s="49"/>
      <c r="O144" s="49"/>
      <c r="P144" s="49"/>
      <c r="Q144" s="38" t="s">
        <v>512</v>
      </c>
    </row>
    <row r="145" customFormat="false" ht="15" hidden="false" customHeight="false" outlineLevel="0" collapsed="false">
      <c r="A145" s="19" t="s">
        <v>513</v>
      </c>
      <c r="B145" s="37" t="s">
        <v>480</v>
      </c>
      <c r="C145" s="21" t="n">
        <f aca="false">IF($C$144,1-$C$135,$C$135)</f>
        <v>1</v>
      </c>
      <c r="D145" s="29" t="s">
        <v>40</v>
      </c>
      <c r="E145" s="49"/>
      <c r="F145" s="49"/>
      <c r="G145" s="49"/>
      <c r="H145" s="49"/>
      <c r="I145" s="49"/>
      <c r="J145" s="49"/>
      <c r="K145" s="49"/>
      <c r="L145" s="49"/>
      <c r="M145" s="49"/>
      <c r="N145" s="49"/>
      <c r="O145" s="49"/>
      <c r="P145" s="49"/>
      <c r="Q145" s="38"/>
    </row>
    <row r="146" customFormat="false" ht="15" hidden="false" customHeight="false" outlineLevel="0" collapsed="false">
      <c r="A146" s="19" t="s">
        <v>514</v>
      </c>
      <c r="B146" s="37" t="s">
        <v>504</v>
      </c>
      <c r="C146" s="50"/>
      <c r="D146" s="29" t="s">
        <v>40</v>
      </c>
      <c r="E146" s="58" t="n">
        <f aca="false">IF($C$144,$E$136,$E$137)</f>
        <v>1</v>
      </c>
      <c r="F146" s="58" t="n">
        <f aca="false">IF($C$144,$F$136,$F$137)</f>
        <v>0</v>
      </c>
      <c r="G146" s="58" t="n">
        <f aca="false">IF($C$144,$G$136,$G$137)</f>
        <v>0</v>
      </c>
      <c r="H146" s="58" t="n">
        <f aca="false">IF($C$144,$H$136,$H$137)</f>
        <v>0</v>
      </c>
      <c r="I146" s="58" t="n">
        <f aca="false">IF($C$144,$I$136,$I$137)</f>
        <v>0</v>
      </c>
      <c r="J146" s="58" t="n">
        <f aca="false">IF($C$144,$J$136,$J$137)</f>
        <v>0</v>
      </c>
      <c r="K146" s="58" t="n">
        <f aca="false">IF($C$144,$K$136,$K$137)</f>
        <v>0</v>
      </c>
      <c r="L146" s="58" t="n">
        <f aca="false">IF($C$144,$L$136,$L$137)</f>
        <v>0</v>
      </c>
      <c r="M146" s="58" t="n">
        <f aca="false">IF($C$144,$M$136,$M$137)</f>
        <v>0</v>
      </c>
      <c r="N146" s="58" t="n">
        <f aca="false">IF($C$144,$N$136,$N$137)</f>
        <v>0</v>
      </c>
      <c r="O146" s="58" t="n">
        <f aca="false">IF($C$144,$O$136,$O$137)</f>
        <v>0</v>
      </c>
      <c r="P146" s="58" t="n">
        <f aca="false">IF($C$144,$P$136,$P$137)</f>
        <v>0</v>
      </c>
      <c r="Q146" s="38"/>
    </row>
    <row r="147" customFormat="false" ht="15" hidden="false" customHeight="false" outlineLevel="0" collapsed="false">
      <c r="A147" s="19" t="s">
        <v>515</v>
      </c>
      <c r="B147" s="37" t="s">
        <v>502</v>
      </c>
      <c r="C147" s="50"/>
      <c r="D147" s="29" t="s">
        <v>40</v>
      </c>
      <c r="E147" s="58" t="n">
        <f aca="false">IF($C$144,$E$137,$E$136)</f>
        <v>0</v>
      </c>
      <c r="F147" s="58" t="n">
        <f aca="false">IF($C$144,$F$137,$F$136)</f>
        <v>0</v>
      </c>
      <c r="G147" s="58" t="n">
        <f aca="false">IF($C$144,$G$137,$G$136)</f>
        <v>0</v>
      </c>
      <c r="H147" s="58" t="n">
        <f aca="false">IF($C$144,$H$137,$H$136)</f>
        <v>0</v>
      </c>
      <c r="I147" s="58" t="n">
        <f aca="false">IF($C$144,$I$137,$I$136)</f>
        <v>0</v>
      </c>
      <c r="J147" s="58" t="n">
        <f aca="false">IF($C$144,$J$137,$J$136)</f>
        <v>0</v>
      </c>
      <c r="K147" s="58" t="n">
        <f aca="false">IF($C$144,$K$137,$K$136)</f>
        <v>0</v>
      </c>
      <c r="L147" s="58" t="n">
        <f aca="false">IF($C$144,$L$137,$L$136)</f>
        <v>0</v>
      </c>
      <c r="M147" s="58" t="n">
        <f aca="false">IF($C$144,$M$137,$M$136)</f>
        <v>0</v>
      </c>
      <c r="N147" s="58" t="n">
        <f aca="false">IF($C$144,$N$137,$N$136)</f>
        <v>0</v>
      </c>
      <c r="O147" s="58" t="n">
        <f aca="false">IF($C$144,$O$137,$O$136)</f>
        <v>0</v>
      </c>
      <c r="P147" s="58" t="n">
        <f aca="false">IF($C$144,$P$137,$P$136)</f>
        <v>0</v>
      </c>
      <c r="Q147" s="38"/>
    </row>
    <row r="148" customFormat="false" ht="15" hidden="false" customHeight="false" outlineLevel="0" collapsed="false">
      <c r="A148" s="18" t="s">
        <v>516</v>
      </c>
      <c r="B148" s="37" t="s">
        <v>252</v>
      </c>
      <c r="C148" s="50"/>
      <c r="D148" s="29" t="s">
        <v>40</v>
      </c>
      <c r="E148" s="52" t="n">
        <f aca="false">IF($C$144,$E$138,$E$139)</f>
        <v>-0.107840271021729</v>
      </c>
      <c r="F148" s="52" t="n">
        <f aca="false">IF($C$144,$F$138,$F$139)</f>
        <v>0.198812070380318</v>
      </c>
      <c r="G148" s="52" t="n">
        <f aca="false">IF($C$144,$G$138,$G$139)</f>
        <v>0.198812070380318</v>
      </c>
      <c r="H148" s="52" t="n">
        <f aca="false">IF($C$144,$H$138,$H$139)</f>
        <v>0.198812070380318</v>
      </c>
      <c r="I148" s="52" t="n">
        <f aca="false">IF($C$144,$I$138,$I$139)</f>
        <v>0.198812070380318</v>
      </c>
      <c r="J148" s="52" t="n">
        <f aca="false">IF($C$144,$J$138,$J$139)</f>
        <v>0.198812070380318</v>
      </c>
      <c r="K148" s="52" t="n">
        <f aca="false">IF($C$144,$K$138,$K$139)</f>
        <v>0.198812070380318</v>
      </c>
      <c r="L148" s="52" t="n">
        <f aca="false">IF($C$144,$L$138,$L$139)</f>
        <v>0.198812070380318</v>
      </c>
      <c r="M148" s="52" t="n">
        <f aca="false">IF($C$144,$M$138,$M$139)</f>
        <v>0.198812070380318</v>
      </c>
      <c r="N148" s="52" t="n">
        <f aca="false">IF($C$144,$N$138,$N$139)</f>
        <v>0.198812070380318</v>
      </c>
      <c r="O148" s="52" t="n">
        <f aca="false">IF($C$144,$O$138,$O$139)</f>
        <v>0.198812070380318</v>
      </c>
      <c r="P148" s="52" t="n">
        <f aca="false">IF($C$144,$P$138,$P$139)</f>
        <v>0.198812070380318</v>
      </c>
      <c r="Q148" s="38"/>
    </row>
    <row r="149" customFormat="false" ht="15" hidden="false" customHeight="false" outlineLevel="0" collapsed="false">
      <c r="A149" s="18" t="s">
        <v>517</v>
      </c>
      <c r="B149" s="37" t="s">
        <v>252</v>
      </c>
      <c r="C149" s="50"/>
      <c r="D149" s="29" t="s">
        <v>40</v>
      </c>
      <c r="E149" s="52" t="n">
        <f aca="false">IF($C$144,$E$139,$E$138)</f>
        <v>0</v>
      </c>
      <c r="F149" s="52" t="n">
        <f aca="false">IF($C$144,$F$139,$F$138)</f>
        <v>0</v>
      </c>
      <c r="G149" s="52" t="n">
        <f aca="false">IF($C$144,$G$139,$G$138)</f>
        <v>0</v>
      </c>
      <c r="H149" s="52" t="n">
        <f aca="false">IF($C$144,$H$139,$H$138)</f>
        <v>0</v>
      </c>
      <c r="I149" s="52" t="n">
        <f aca="false">IF($C$144,$I$139,$I$138)</f>
        <v>0</v>
      </c>
      <c r="J149" s="52" t="n">
        <f aca="false">IF($C$144,$J$139,$J$138)</f>
        <v>0</v>
      </c>
      <c r="K149" s="52" t="n">
        <f aca="false">IF($C$144,$K$139,$K$138)</f>
        <v>0</v>
      </c>
      <c r="L149" s="52" t="n">
        <f aca="false">IF($C$144,$L$139,$L$138)</f>
        <v>0</v>
      </c>
      <c r="M149" s="52" t="n">
        <f aca="false">IF($C$144,$M$139,$M$138)</f>
        <v>0</v>
      </c>
      <c r="N149" s="52" t="n">
        <f aca="false">IF($C$144,$N$139,$N$138)</f>
        <v>0</v>
      </c>
      <c r="O149" s="52" t="n">
        <f aca="false">IF($C$144,$O$139,$O$138)</f>
        <v>0</v>
      </c>
      <c r="P149" s="52" t="n">
        <f aca="false">IF($C$144,$P$139,$P$138)</f>
        <v>0</v>
      </c>
      <c r="Q149" s="38"/>
    </row>
    <row r="150" customFormat="false" ht="15" hidden="false" customHeight="false" outlineLevel="0" collapsed="false">
      <c r="A150" s="19" t="s">
        <v>518</v>
      </c>
      <c r="B150" s="37" t="s">
        <v>250</v>
      </c>
      <c r="C150" s="21" t="n">
        <f aca="false">IF($C$144,$C$140,$C$141)</f>
        <v>0.91158844983184</v>
      </c>
      <c r="D150" s="29" t="s">
        <v>40</v>
      </c>
      <c r="E150" s="49"/>
      <c r="F150" s="49"/>
      <c r="G150" s="49"/>
      <c r="H150" s="49"/>
      <c r="I150" s="49"/>
      <c r="J150" s="49"/>
      <c r="K150" s="49"/>
      <c r="L150" s="49"/>
      <c r="M150" s="49"/>
      <c r="N150" s="49"/>
      <c r="O150" s="49"/>
      <c r="P150" s="49"/>
      <c r="Q150" s="38"/>
    </row>
    <row r="151" customFormat="false" ht="15" hidden="false" customHeight="false" outlineLevel="0" collapsed="false">
      <c r="A151" s="19" t="s">
        <v>519</v>
      </c>
      <c r="B151" s="37" t="s">
        <v>250</v>
      </c>
      <c r="C151" s="21" t="n">
        <f aca="false">IF($C$144,$C$141,$C$140)</f>
        <v>0</v>
      </c>
      <c r="D151" s="29" t="s">
        <v>40</v>
      </c>
      <c r="E151" s="49"/>
      <c r="F151" s="49"/>
      <c r="G151" s="49"/>
      <c r="H151" s="49"/>
      <c r="I151" s="49"/>
      <c r="J151" s="49"/>
      <c r="K151" s="49"/>
      <c r="L151" s="49"/>
      <c r="M151" s="49"/>
      <c r="N151" s="49"/>
      <c r="O151" s="49"/>
      <c r="P151" s="49"/>
      <c r="Q151" s="38"/>
    </row>
    <row r="152" customFormat="false" ht="15" hidden="false" customHeight="false" outlineLevel="0" collapsed="false">
      <c r="A152" s="18" t="s">
        <v>520</v>
      </c>
      <c r="B152" s="37"/>
      <c r="C152" s="31" t="n">
        <f aca="false">IF($C$144,$C$142,$C$143)</f>
        <v>0</v>
      </c>
      <c r="D152" s="29"/>
      <c r="E152" s="49"/>
      <c r="F152" s="49"/>
      <c r="G152" s="49"/>
      <c r="H152" s="49"/>
      <c r="I152" s="49"/>
      <c r="J152" s="49"/>
      <c r="K152" s="49"/>
      <c r="L152" s="49"/>
      <c r="M152" s="49"/>
      <c r="N152" s="49"/>
      <c r="O152" s="49"/>
      <c r="P152" s="49"/>
      <c r="Q152" s="38"/>
    </row>
    <row r="153" customFormat="false" ht="15" hidden="false" customHeight="false" outlineLevel="0" collapsed="false">
      <c r="A153" s="18" t="s">
        <v>521</v>
      </c>
      <c r="B153" s="37"/>
      <c r="C153" s="31" t="str">
        <f aca="false">IF($C$133=2,IF($C$152,"Light liquid","Vapour"),IF($C$11=1,CHOOSE($C$7,'EOS steps'!$D$66,'EOS steps'!$E$66,'EOS steps'!$F$66),IF($C$152,"Liquid","Gas / vapour")))</f>
        <v>Supercritical</v>
      </c>
      <c r="D153" s="29"/>
      <c r="E153" s="49"/>
      <c r="F153" s="49"/>
      <c r="G153" s="49"/>
      <c r="H153" s="49"/>
      <c r="I153" s="49"/>
      <c r="J153" s="49"/>
      <c r="K153" s="49"/>
      <c r="L153" s="49"/>
      <c r="M153" s="49"/>
      <c r="N153" s="49"/>
      <c r="O153" s="49"/>
      <c r="P153" s="49"/>
      <c r="Q153" s="38" t="s">
        <v>522</v>
      </c>
    </row>
    <row r="154" customFormat="false" ht="15" hidden="false" customHeight="false" outlineLevel="0" collapsed="false">
      <c r="A154" s="18" t="s">
        <v>523</v>
      </c>
      <c r="B154" s="37"/>
      <c r="C154" s="31" t="str">
        <f aca="false">IF($C$133=2,"Liquid","-")</f>
        <v>-</v>
      </c>
      <c r="D154" s="29"/>
      <c r="E154" s="49"/>
      <c r="F154" s="49"/>
      <c r="G154" s="49"/>
      <c r="H154" s="49"/>
      <c r="I154" s="49"/>
      <c r="J154" s="49"/>
      <c r="K154" s="49"/>
      <c r="L154" s="49"/>
      <c r="M154" s="49"/>
      <c r="N154" s="49"/>
      <c r="O154" s="49"/>
      <c r="P154" s="49"/>
      <c r="Q154" s="38"/>
    </row>
    <row r="155" customFormat="false" ht="15" hidden="false" customHeight="false" outlineLevel="0" collapsed="false">
      <c r="A155" s="18" t="s">
        <v>524</v>
      </c>
      <c r="B155" s="37" t="s">
        <v>124</v>
      </c>
      <c r="C155" s="31" t="n">
        <f aca="false">SUMPRODUCT($E$146:$P$146,$E$17:$P$17)</f>
        <v>16.043</v>
      </c>
      <c r="D155" s="29" t="s">
        <v>38</v>
      </c>
      <c r="E155" s="49"/>
      <c r="F155" s="49"/>
      <c r="G155" s="49"/>
      <c r="H155" s="49"/>
      <c r="I155" s="49"/>
      <c r="J155" s="49"/>
      <c r="K155" s="49"/>
      <c r="L155" s="49"/>
      <c r="M155" s="49"/>
      <c r="N155" s="49"/>
      <c r="O155" s="49"/>
      <c r="P155" s="49"/>
      <c r="Q155" s="38" t="s">
        <v>525</v>
      </c>
    </row>
    <row r="156" customFormat="false" ht="15" hidden="false" customHeight="false" outlineLevel="0" collapsed="false">
      <c r="A156" s="18" t="s">
        <v>526</v>
      </c>
      <c r="B156" s="37" t="s">
        <v>124</v>
      </c>
      <c r="C156" s="31" t="n">
        <f aca="false">SUMPRODUCT($E$147:$P$147,$E$17:$P$17)</f>
        <v>0</v>
      </c>
      <c r="D156" s="29" t="s">
        <v>38</v>
      </c>
      <c r="E156" s="49"/>
      <c r="F156" s="49"/>
      <c r="G156" s="49"/>
      <c r="H156" s="49"/>
      <c r="I156" s="49"/>
      <c r="J156" s="49"/>
      <c r="K156" s="49"/>
      <c r="L156" s="49"/>
      <c r="M156" s="49"/>
      <c r="N156" s="49"/>
      <c r="O156" s="49"/>
      <c r="P156" s="49"/>
      <c r="Q156" s="38"/>
    </row>
    <row r="157" customFormat="false" ht="15" hidden="false" customHeight="false" outlineLevel="0" collapsed="false">
      <c r="A157" s="18" t="s">
        <v>527</v>
      </c>
      <c r="B157" s="37" t="s">
        <v>257</v>
      </c>
      <c r="C157" s="31" t="n">
        <f aca="false">$C$150*$C$10*$C$8/$C$9</f>
        <v>0.000265277863401801</v>
      </c>
      <c r="D157" s="29" t="s">
        <v>155</v>
      </c>
      <c r="E157" s="49"/>
      <c r="F157" s="49"/>
      <c r="G157" s="49"/>
      <c r="H157" s="49"/>
      <c r="I157" s="49"/>
      <c r="J157" s="49"/>
      <c r="K157" s="49"/>
      <c r="L157" s="49"/>
      <c r="M157" s="49"/>
      <c r="N157" s="49"/>
      <c r="O157" s="49"/>
      <c r="P157" s="49"/>
      <c r="Q157" s="38" t="s">
        <v>258</v>
      </c>
    </row>
    <row r="158" customFormat="false" ht="15" hidden="false" customHeight="false" outlineLevel="0" collapsed="false">
      <c r="A158" s="18" t="s">
        <v>528</v>
      </c>
      <c r="B158" s="37" t="s">
        <v>257</v>
      </c>
      <c r="C158" s="31" t="n">
        <f aca="false">$C$151*$C$10*$C$8/$C$9</f>
        <v>0</v>
      </c>
      <c r="D158" s="29" t="s">
        <v>155</v>
      </c>
      <c r="E158" s="49"/>
      <c r="F158" s="49"/>
      <c r="G158" s="49"/>
      <c r="H158" s="49"/>
      <c r="I158" s="49"/>
      <c r="J158" s="49"/>
      <c r="K158" s="49"/>
      <c r="L158" s="49"/>
      <c r="M158" s="49"/>
      <c r="N158" s="49"/>
      <c r="O158" s="49"/>
      <c r="P158" s="49"/>
      <c r="Q158" s="38"/>
    </row>
    <row r="159" customFormat="false" ht="15" hidden="false" customHeight="false" outlineLevel="0" collapsed="false">
      <c r="A159" s="18" t="s">
        <v>529</v>
      </c>
      <c r="B159" s="37" t="s">
        <v>124</v>
      </c>
      <c r="C159" s="31" t="n">
        <f aca="false">SUMPRODUCT($E$13:$P$13,$E$17:$P$17)</f>
        <v>16.043</v>
      </c>
      <c r="D159" s="29" t="s">
        <v>38</v>
      </c>
      <c r="E159" s="49"/>
      <c r="F159" s="49"/>
      <c r="G159" s="49"/>
      <c r="H159" s="49"/>
      <c r="I159" s="49"/>
      <c r="J159" s="49"/>
      <c r="K159" s="49"/>
      <c r="L159" s="49"/>
      <c r="M159" s="49"/>
      <c r="N159" s="49"/>
      <c r="O159" s="49"/>
      <c r="P159" s="49"/>
      <c r="Q159" s="38"/>
    </row>
    <row r="160" customFormat="false" ht="15" hidden="false" customHeight="false" outlineLevel="0" collapsed="false">
      <c r="A160" s="18" t="s">
        <v>530</v>
      </c>
      <c r="B160" s="37" t="s">
        <v>257</v>
      </c>
      <c r="C160" s="31" t="n">
        <f aca="false">$C$145*$C$157+(1-$C$145)*$C$158</f>
        <v>0.000265277863401801</v>
      </c>
      <c r="D160" s="29" t="s">
        <v>155</v>
      </c>
      <c r="E160" s="49"/>
      <c r="F160" s="49"/>
      <c r="G160" s="49"/>
      <c r="H160" s="49"/>
      <c r="I160" s="49"/>
      <c r="J160" s="49"/>
      <c r="K160" s="49"/>
      <c r="L160" s="49"/>
      <c r="M160" s="49"/>
      <c r="N160" s="49"/>
      <c r="O160" s="49"/>
      <c r="P160" s="49"/>
      <c r="Q160" s="38" t="s">
        <v>531</v>
      </c>
    </row>
    <row r="161" customFormat="false" ht="15" hidden="false" customHeight="false" outlineLevel="0" collapsed="false">
      <c r="A161" s="18" t="s">
        <v>532</v>
      </c>
      <c r="B161" s="37" t="s">
        <v>250</v>
      </c>
      <c r="C161" s="31" t="n">
        <f aca="false">$C$9*$C$160/($C$10*$C$8)</f>
        <v>0.91158844983184</v>
      </c>
      <c r="D161" s="29" t="s">
        <v>40</v>
      </c>
      <c r="E161" s="49"/>
      <c r="F161" s="49"/>
      <c r="G161" s="49"/>
      <c r="H161" s="49"/>
      <c r="I161" s="49"/>
      <c r="J161" s="49"/>
      <c r="K161" s="49"/>
      <c r="L161" s="49"/>
      <c r="M161" s="49"/>
      <c r="N161" s="49"/>
      <c r="O161" s="49"/>
      <c r="P161" s="49"/>
      <c r="Q161" s="38" t="s">
        <v>533</v>
      </c>
    </row>
    <row r="164" customFormat="false" ht="15" hidden="false" customHeight="false" outlineLevel="0" collapsed="false">
      <c r="A164" s="4" t="s">
        <v>534</v>
      </c>
    </row>
    <row r="165" customFormat="false" ht="15" hidden="false" customHeight="false" outlineLevel="0" collapsed="false">
      <c r="A165" s="8" t="s">
        <v>300</v>
      </c>
      <c r="B165" s="8" t="s">
        <v>535</v>
      </c>
      <c r="C165" s="8" t="s">
        <v>536</v>
      </c>
      <c r="D165" s="8" t="s">
        <v>537</v>
      </c>
      <c r="E165" s="8" t="s">
        <v>538</v>
      </c>
      <c r="F165" s="8" t="s">
        <v>539</v>
      </c>
      <c r="G165" s="8" t="s">
        <v>540</v>
      </c>
      <c r="H165" s="8" t="s">
        <v>541</v>
      </c>
      <c r="I165" s="8" t="s">
        <v>542</v>
      </c>
      <c r="J165" s="8" t="s">
        <v>543</v>
      </c>
      <c r="K165" s="8" t="s">
        <v>544</v>
      </c>
      <c r="L165" s="8" t="s">
        <v>545</v>
      </c>
      <c r="M165" s="8" t="s">
        <v>546</v>
      </c>
      <c r="N165" s="8" t="s">
        <v>547</v>
      </c>
      <c r="O165" s="8" t="s">
        <v>548</v>
      </c>
      <c r="P165" s="8" t="s">
        <v>549</v>
      </c>
      <c r="Q165" s="8" t="s">
        <v>550</v>
      </c>
      <c r="R165" s="8" t="s">
        <v>551</v>
      </c>
      <c r="S165" s="8" t="s">
        <v>552</v>
      </c>
      <c r="T165" s="8" t="s">
        <v>553</v>
      </c>
      <c r="U165" s="8" t="s">
        <v>554</v>
      </c>
      <c r="V165" s="8" t="s">
        <v>555</v>
      </c>
      <c r="W165" s="8" t="s">
        <v>556</v>
      </c>
      <c r="X165" s="8" t="s">
        <v>557</v>
      </c>
      <c r="Y165" s="8" t="s">
        <v>558</v>
      </c>
      <c r="Z165" s="8" t="s">
        <v>559</v>
      </c>
      <c r="AA165" s="8" t="s">
        <v>560</v>
      </c>
      <c r="AB165" s="8" t="s">
        <v>561</v>
      </c>
      <c r="AC165" s="8" t="s">
        <v>562</v>
      </c>
      <c r="AD165" s="8" t="s">
        <v>563</v>
      </c>
      <c r="AE165" s="8" t="s">
        <v>564</v>
      </c>
      <c r="AF165" s="8" t="s">
        <v>565</v>
      </c>
      <c r="AG165" s="8" t="s">
        <v>566</v>
      </c>
      <c r="AH165" s="8" t="s">
        <v>567</v>
      </c>
      <c r="AI165" s="8" t="s">
        <v>568</v>
      </c>
      <c r="AJ165" s="8" t="s">
        <v>569</v>
      </c>
      <c r="AK165" s="8" t="s">
        <v>570</v>
      </c>
      <c r="AL165" s="8" t="s">
        <v>571</v>
      </c>
      <c r="AM165" s="8" t="s">
        <v>572</v>
      </c>
      <c r="AN165" s="8" t="s">
        <v>573</v>
      </c>
      <c r="AO165" s="8" t="s">
        <v>158</v>
      </c>
      <c r="AP165" s="8" t="s">
        <v>161</v>
      </c>
      <c r="AQ165" s="8" t="s">
        <v>165</v>
      </c>
      <c r="AR165" s="8" t="s">
        <v>168</v>
      </c>
      <c r="AS165" s="8" t="s">
        <v>171</v>
      </c>
      <c r="AT165" s="8" t="s">
        <v>175</v>
      </c>
      <c r="AU165" s="8" t="s">
        <v>177</v>
      </c>
      <c r="AV165" s="8" t="s">
        <v>180</v>
      </c>
      <c r="AW165" s="8" t="s">
        <v>183</v>
      </c>
      <c r="AX165" s="8" t="s">
        <v>185</v>
      </c>
      <c r="AY165" s="8" t="s">
        <v>304</v>
      </c>
      <c r="AZ165" s="8" t="s">
        <v>190</v>
      </c>
      <c r="BA165" s="8" t="s">
        <v>192</v>
      </c>
      <c r="BB165" s="8" t="s">
        <v>305</v>
      </c>
      <c r="BC165" s="8" t="s">
        <v>197</v>
      </c>
      <c r="BD165" s="8" t="s">
        <v>200</v>
      </c>
      <c r="BE165" s="8" t="s">
        <v>197</v>
      </c>
      <c r="BF165" s="8" t="s">
        <v>200</v>
      </c>
      <c r="BG165" s="8" t="s">
        <v>306</v>
      </c>
      <c r="BH165" s="8" t="s">
        <v>209</v>
      </c>
      <c r="BI165" s="8" t="s">
        <v>212</v>
      </c>
      <c r="BJ165" s="8" t="s">
        <v>215</v>
      </c>
      <c r="BK165" s="8" t="s">
        <v>218</v>
      </c>
      <c r="BL165" s="8" t="s">
        <v>221</v>
      </c>
      <c r="BM165" s="8" t="s">
        <v>307</v>
      </c>
      <c r="BN165" s="8" t="s">
        <v>200</v>
      </c>
      <c r="BO165" s="8" t="s">
        <v>221</v>
      </c>
      <c r="BP165" s="8" t="s">
        <v>200</v>
      </c>
      <c r="BQ165" s="8" t="s">
        <v>308</v>
      </c>
      <c r="BR165" s="8" t="s">
        <v>232</v>
      </c>
      <c r="BS165" s="8" t="s">
        <v>238</v>
      </c>
      <c r="BT165" s="8" t="s">
        <v>574</v>
      </c>
      <c r="BU165" s="8" t="s">
        <v>575</v>
      </c>
      <c r="BV165" s="8" t="s">
        <v>576</v>
      </c>
      <c r="BW165" s="8" t="s">
        <v>577</v>
      </c>
      <c r="BX165" s="8" t="s">
        <v>578</v>
      </c>
      <c r="BY165" s="8" t="s">
        <v>250</v>
      </c>
      <c r="BZ165" s="8" t="s">
        <v>579</v>
      </c>
      <c r="CA165" s="8" t="s">
        <v>420</v>
      </c>
      <c r="CB165" s="8" t="s">
        <v>580</v>
      </c>
      <c r="CC165" s="8" t="s">
        <v>581</v>
      </c>
      <c r="CD165" s="8" t="s">
        <v>582</v>
      </c>
      <c r="CE165" s="8" t="s">
        <v>583</v>
      </c>
      <c r="CF165" s="8" t="s">
        <v>584</v>
      </c>
      <c r="CG165" s="8" t="s">
        <v>585</v>
      </c>
      <c r="CH165" s="8" t="s">
        <v>586</v>
      </c>
      <c r="CI165" s="8" t="s">
        <v>587</v>
      </c>
      <c r="CJ165" s="8" t="s">
        <v>588</v>
      </c>
      <c r="CK165" s="8" t="s">
        <v>589</v>
      </c>
      <c r="CL165" s="8" t="s">
        <v>590</v>
      </c>
      <c r="CM165" s="8" t="s">
        <v>591</v>
      </c>
      <c r="CN165" s="8" t="s">
        <v>592</v>
      </c>
      <c r="CO165" s="8" t="s">
        <v>439</v>
      </c>
      <c r="CP165" s="8" t="s">
        <v>593</v>
      </c>
    </row>
    <row r="166" customFormat="false" ht="15" hidden="false" customHeight="false" outlineLevel="0" collapsed="false">
      <c r="A166" s="59" t="n">
        <v>1</v>
      </c>
      <c r="B166" s="60" t="n">
        <f aca="false">$E$91</f>
        <v>5.48173853091944</v>
      </c>
      <c r="C166" s="60" t="n">
        <f aca="false">$F$91</f>
        <v>0</v>
      </c>
      <c r="D166" s="60" t="n">
        <f aca="false">$G$91</f>
        <v>0</v>
      </c>
      <c r="E166" s="60" t="n">
        <f aca="false">$H$91</f>
        <v>0</v>
      </c>
      <c r="F166" s="60" t="n">
        <f aca="false">$I$91</f>
        <v>0</v>
      </c>
      <c r="G166" s="60" t="n">
        <f aca="false">$J$91</f>
        <v>0</v>
      </c>
      <c r="H166" s="60" t="n">
        <f aca="false">$K$91</f>
        <v>0</v>
      </c>
      <c r="I166" s="60" t="n">
        <f aca="false">$L$91</f>
        <v>0</v>
      </c>
      <c r="J166" s="60" t="n">
        <f aca="false">$M$91</f>
        <v>0</v>
      </c>
      <c r="K166" s="60" t="n">
        <f aca="false">$N$91</f>
        <v>0</v>
      </c>
      <c r="L166" s="60" t="n">
        <f aca="false">$O$91</f>
        <v>0</v>
      </c>
      <c r="M166" s="60" t="n">
        <f aca="false">$P$91</f>
        <v>0</v>
      </c>
      <c r="N166" s="60" t="n">
        <f aca="false">SUM(B166:M166)</f>
        <v>5.48173853091944</v>
      </c>
      <c r="O166" s="60" t="n">
        <f aca="false">B166/N166</f>
        <v>1</v>
      </c>
      <c r="P166" s="60" t="n">
        <f aca="false">C166/N166</f>
        <v>0</v>
      </c>
      <c r="Q166" s="60" t="n">
        <f aca="false">D166/N166</f>
        <v>0</v>
      </c>
      <c r="R166" s="60" t="n">
        <f aca="false">E166/N166</f>
        <v>0</v>
      </c>
      <c r="S166" s="60" t="n">
        <f aca="false">F166/N166</f>
        <v>0</v>
      </c>
      <c r="T166" s="60" t="n">
        <f aca="false">G166/N166</f>
        <v>0</v>
      </c>
      <c r="U166" s="60" t="n">
        <f aca="false">H166/N166</f>
        <v>0</v>
      </c>
      <c r="V166" s="60" t="n">
        <f aca="false">I166/N166</f>
        <v>0</v>
      </c>
      <c r="W166" s="60" t="n">
        <f aca="false">J166/N166</f>
        <v>0</v>
      </c>
      <c r="X166" s="60" t="n">
        <f aca="false">K166/N166</f>
        <v>0</v>
      </c>
      <c r="Y166" s="60" t="n">
        <f aca="false">L166/N166</f>
        <v>0</v>
      </c>
      <c r="Z166" s="60" t="n">
        <f aca="false">M166/N166</f>
        <v>0</v>
      </c>
      <c r="AA166" s="60" t="n">
        <f aca="false">$E$28*SUMPRODUCT($E$31:$P$31,O166:Z166,$E$28:$P$28)</f>
        <v>0.184416866619846</v>
      </c>
      <c r="AB166" s="60" t="n">
        <f aca="false">$F$28*SUMPRODUCT($E$32:$P$32,O166:Z166,$E$28:$P$28)</f>
        <v>0</v>
      </c>
      <c r="AC166" s="60" t="n">
        <f aca="false">$G$28*SUMPRODUCT($E$33:$P$33,O166:Z166,$E$28:$P$28)</f>
        <v>0</v>
      </c>
      <c r="AD166" s="60" t="n">
        <f aca="false">$H$28*SUMPRODUCT($E$34:$P$34,O166:Z166,$E$28:$P$28)</f>
        <v>0</v>
      </c>
      <c r="AE166" s="60" t="n">
        <f aca="false">$I$28*SUMPRODUCT($E$35:$P$35,O166:Z166,$E$28:$P$28)</f>
        <v>0</v>
      </c>
      <c r="AF166" s="60" t="n">
        <f aca="false">$J$28*SUMPRODUCT($E$36:$P$36,O166:Z166,$E$28:$P$28)</f>
        <v>0</v>
      </c>
      <c r="AG166" s="60" t="n">
        <f aca="false">$K$28*SUMPRODUCT($E$37:$P$37,O166:Z166,$E$28:$P$28)</f>
        <v>0</v>
      </c>
      <c r="AH166" s="60" t="n">
        <f aca="false">$L$28*SUMPRODUCT($E$38:$P$38,O166:Z166,$E$28:$P$28)</f>
        <v>0</v>
      </c>
      <c r="AI166" s="60" t="n">
        <f aca="false">$M$28*SUMPRODUCT($E$39:$P$39,O166:Z166,$E$28:$P$28)</f>
        <v>0</v>
      </c>
      <c r="AJ166" s="60" t="n">
        <f aca="false">$N$28*SUMPRODUCT($E$40:$P$40,O166:Z166,$E$28:$P$28)</f>
        <v>0</v>
      </c>
      <c r="AK166" s="60" t="n">
        <f aca="false">$O$28*SUMPRODUCT($E$41:$P$41,O166:Z166,$E$28:$P$28)</f>
        <v>0</v>
      </c>
      <c r="AL166" s="60" t="n">
        <f aca="false">$P$28*SUMPRODUCT($E$42:$P$42,O166:Z166,$E$28:$P$28)</f>
        <v>0</v>
      </c>
      <c r="AM166" s="60" t="n">
        <f aca="false">SUMPRODUCT(O166:Z166,AA166:AL166)</f>
        <v>0.184416866619846</v>
      </c>
      <c r="AN166" s="60" t="n">
        <f aca="false">SUMPRODUCT(O166:Z166,$E$27:$P$27)</f>
        <v>2.67389635063809E-005</v>
      </c>
      <c r="AO166" s="60" t="n">
        <f aca="false">AM166*$C$9/($C$10*$C$8)^2</f>
        <v>0.21776909410545</v>
      </c>
      <c r="AP166" s="60" t="n">
        <f aca="false">AN166*$C$9/($C$10*$C$8)</f>
        <v>0.0918845243259994</v>
      </c>
      <c r="AQ166" s="60" t="n">
        <f aca="false">CHOOSE($C$7,-(1+AP166),-1,-(1-AP166))</f>
        <v>-0.908115475674001</v>
      </c>
      <c r="AR166" s="60" t="n">
        <f aca="false">CHOOSE($C$7,AO166,AO166-AP166-AP166^2,AO166-3*AP166^2-2*AP166)</f>
        <v>0.00867174802160559</v>
      </c>
      <c r="AS166" s="60" t="n">
        <f aca="false">CHOOSE($C$7,-AO166*AP166,-AO166*AP166,-(AO166*AP166-AP166^2-AP166^3))</f>
        <v>-0.0107910842936637</v>
      </c>
      <c r="AT166" s="60" t="n">
        <f aca="false">AR166-AQ166^2/3</f>
        <v>-0.266219491031267</v>
      </c>
      <c r="AU166" s="60" t="n">
        <f aca="false">2*AQ166^3/27-AQ166*AR166/3+AS166</f>
        <v>-0.0636400988362784</v>
      </c>
      <c r="AV166" s="60" t="n">
        <f aca="false">AU166^2/4+AT166^3/27</f>
        <v>0.000313710901361829</v>
      </c>
      <c r="AW166" s="60" t="n">
        <f aca="false">-AU166/2-IF(AU166&gt;=0,1,-1)*SQRT(MAX(AV166,0))</f>
        <v>0.0495319352963236</v>
      </c>
      <c r="AX166" s="60" t="n">
        <f aca="false">SIGN(AW166)*ABS(AW166)^(1/3)</f>
        <v>0.367249967174439</v>
      </c>
      <c r="AY166" s="60" t="n">
        <f aca="false">IF(AX166=0,0,AX166-AT166/(3*AX166))</f>
        <v>0.60888329127384</v>
      </c>
      <c r="AZ166" s="60" t="n">
        <f aca="false">2*SQRT(MAX(-AT166,0)/3)</f>
        <v>0.595784626668918</v>
      </c>
      <c r="BA166" s="60" t="n">
        <f aca="false">ACOS(IF(AZ166=0,0,MAX(-1,MIN(1,3*AU166/(AT166*AZ166)))))</f>
        <v>0</v>
      </c>
      <c r="BB166" s="60" t="n">
        <f aca="false">AZ166*COS(BA166/3)</f>
        <v>0.595784626668918</v>
      </c>
      <c r="BC166" s="60" t="n">
        <f aca="false">IF(AV166&lt;0,BB166,AY166)-AQ166/3</f>
        <v>0.91158844983184</v>
      </c>
      <c r="BD166" s="60" t="n">
        <f aca="false">IFERROR((((BC166+AQ166)*BC166+AR166)*BC166+AS166)/((3*BC166+2*AQ166)*BC166+AR166),0)</f>
        <v>0</v>
      </c>
      <c r="BE166" s="60" t="n">
        <f aca="false">IF(ABS(BD166)&lt;0.1*ABS(BC166),BC166-BD166,BC166)</f>
        <v>0.91158844983184</v>
      </c>
      <c r="BF166" s="60" t="n">
        <f aca="false">IFERROR((((BE166+AQ166)*BE166+AR166)*BE166+AS166)/((3*BE166+2*AQ166)*BE166+AR166),0)</f>
        <v>0</v>
      </c>
      <c r="BG166" s="60" t="n">
        <f aca="false">IF(ABS(BF166)&lt;0.1*ABS(BE166),BE166-BF166,BE166)</f>
        <v>0.91158844983184</v>
      </c>
      <c r="BH166" s="60" t="n">
        <f aca="false">-AS166/BG166</f>
        <v>0.0118376711504565</v>
      </c>
      <c r="BI166" s="60" t="n">
        <f aca="false">(AR166-BH166)/BG166</f>
        <v>-0.00347297415783941</v>
      </c>
      <c r="BJ166" s="60" t="n">
        <f aca="false">BI166^2-4*BH166</f>
        <v>-0.0473386230523248</v>
      </c>
      <c r="BK166" s="60" t="n">
        <f aca="false">IF(BJ166&gt;=0,(BI166+IF(BI166&gt;=0,1,-1)*SQRT(BJ166))/2,0)</f>
        <v>0</v>
      </c>
      <c r="BL166" s="60" t="n">
        <f aca="false">IF(AND(BJ166&gt;=0,BK166&lt;&gt;0),MIN(BK166,BH166/BK166),-1)</f>
        <v>-1</v>
      </c>
      <c r="BM166" s="60" t="n">
        <f aca="false">AND(BJ166&gt;=0,BL166&gt;AP166,ABS(BG166-BL166)&gt;=0.00005*MAX(BG166,BL166))</f>
        <v>0</v>
      </c>
      <c r="BN166" s="60" t="n">
        <f aca="false">IF(BM166,IFERROR((((BL166+AQ166)*BL166+AR166)*BL166+AS166)/((3*BL166+2*AQ166)*BL166+AR166),0),0)</f>
        <v>0</v>
      </c>
      <c r="BO166" s="60" t="n">
        <f aca="false">IF(ABS(BN166)&lt;0.1*ABS(BL166),BL166-BN166,BL166)</f>
        <v>-1</v>
      </c>
      <c r="BP166" s="60" t="n">
        <f aca="false">IF(BM166,IFERROR((((BO166+AQ166)*BO166+AR166)*BO166+AS166)/((3*BO166+2*AQ166)*BO166+AR166),0),0)</f>
        <v>0</v>
      </c>
      <c r="BQ166" s="60" t="n">
        <f aca="false">IF(ABS(BP166)&lt;0.1*ABS(BO166),BO166-BP166,BO166)</f>
        <v>-1</v>
      </c>
      <c r="BR166" s="60" t="n">
        <f aca="false">IF(BM166,MAX(BG166,BQ166),BG166)</f>
        <v>0.91158844983184</v>
      </c>
      <c r="BS166" s="60" t="n">
        <f aca="false">IF(BM166,MIN(BG166,BQ166),-1)</f>
        <v>-1</v>
      </c>
      <c r="BT166" s="60" t="n">
        <f aca="false">CHOOSE($C$7,AO166/BR166,AO166/AP166*LN(1+AP166/BR166),AO166/(2*SQRT(2)*AP166)*LN((BR166+(1+SQRT(2))*AP166)/(BR166+(1-SQRT(2))*AP166)))</f>
        <v>0.218240791233887</v>
      </c>
      <c r="BU166" s="60" t="n">
        <f aca="false">BR166-1-LN(BR166-AP166)-BT166</f>
        <v>-0.107840271021729</v>
      </c>
      <c r="BV166" s="60" t="n">
        <f aca="false">IF(BM166,CHOOSE($C$7,AO166/BS166,AO166/AP166*LN(1+AP166/BS166),AO166/(2*SQRT(2)*AP166)*LN((BS166+(1+SQRT(2))*AP166)/(BS166+(1-SQRT(2))*AP166))),0)</f>
        <v>0</v>
      </c>
      <c r="BW166" s="60" t="n">
        <f aca="false">IF(BM166,BS166-1-LN(BS166-AP166)-BV166,0)</f>
        <v>0</v>
      </c>
      <c r="BX166" s="60" t="n">
        <f aca="false">AND(BM166,BW166&lt;BU166)</f>
        <v>0</v>
      </c>
      <c r="BY166" s="60" t="n">
        <f aca="false">IF(BX166,BS166,BR166)</f>
        <v>0.91158844983184</v>
      </c>
      <c r="BZ166" s="60" t="n">
        <f aca="false">IF(BX166,BV166,BT166)</f>
        <v>0.218240791233887</v>
      </c>
      <c r="CA166" s="60" t="n">
        <f aca="false">LN(BY166-AP166)</f>
        <v>-0.198812070380318</v>
      </c>
      <c r="CB166" s="60" t="n">
        <f aca="false">$E$27/AN166*(BY166-1)-CA166-BZ166*(2*AA166/AM166-$E$27/AN166)</f>
        <v>-0.107840271021729</v>
      </c>
      <c r="CC166" s="60" t="n">
        <f aca="false">$F$27/AN166*(BY166-1)-CA166-BZ166*(2*AB166/AM166-$F$27/AN166)</f>
        <v>0.198812070380318</v>
      </c>
      <c r="CD166" s="60" t="n">
        <f aca="false">$G$27/AN166*(BY166-1)-CA166-BZ166*(2*AC166/AM166-$G$27/AN166)</f>
        <v>0.198812070380318</v>
      </c>
      <c r="CE166" s="60" t="n">
        <f aca="false">$H$27/AN166*(BY166-1)-CA166-BZ166*(2*AD166/AM166-$H$27/AN166)</f>
        <v>0.198812070380318</v>
      </c>
      <c r="CF166" s="60" t="n">
        <f aca="false">$I$27/AN166*(BY166-1)-CA166-BZ166*(2*AE166/AM166-$I$27/AN166)</f>
        <v>0.198812070380318</v>
      </c>
      <c r="CG166" s="60" t="n">
        <f aca="false">$J$27/AN166*(BY166-1)-CA166-BZ166*(2*AF166/AM166-$J$27/AN166)</f>
        <v>0.198812070380318</v>
      </c>
      <c r="CH166" s="60" t="n">
        <f aca="false">$K$27/AN166*(BY166-1)-CA166-BZ166*(2*AG166/AM166-$K$27/AN166)</f>
        <v>0.198812070380318</v>
      </c>
      <c r="CI166" s="60" t="n">
        <f aca="false">$L$27/AN166*(BY166-1)-CA166-BZ166*(2*AH166/AM166-$L$27/AN166)</f>
        <v>0.198812070380318</v>
      </c>
      <c r="CJ166" s="60" t="n">
        <f aca="false">$M$27/AN166*(BY166-1)-CA166-BZ166*(2*AI166/AM166-$M$27/AN166)</f>
        <v>0.198812070380318</v>
      </c>
      <c r="CK166" s="60" t="n">
        <f aca="false">$N$27/AN166*(BY166-1)-CA166-BZ166*(2*AJ166/AM166-$N$27/AN166)</f>
        <v>0.198812070380318</v>
      </c>
      <c r="CL166" s="60" t="n">
        <f aca="false">$O$27/AN166*(BY166-1)-CA166-BZ166*(2*AK166/AM166-$O$27/AN166)</f>
        <v>0.198812070380318</v>
      </c>
      <c r="CM166" s="60" t="n">
        <f aca="false">$P$27/AN166*(BY166-1)-CA166-BZ166*(2*AL166/AM166-$P$27/AN166)</f>
        <v>0.198812070380318</v>
      </c>
      <c r="CN166" s="60" t="n">
        <f aca="false">AP166/BY166&gt;$C$22</f>
        <v>0</v>
      </c>
      <c r="CO166" s="60"/>
      <c r="CP166" s="60" t="n">
        <f aca="false">SUMXMY2(O166:Z166,$E$13:$P$13)</f>
        <v>0</v>
      </c>
    </row>
    <row r="167" customFormat="false" ht="15" hidden="false" customHeight="false" outlineLevel="0" collapsed="false">
      <c r="A167" s="59" t="n">
        <v>2</v>
      </c>
      <c r="B167" s="60" t="n">
        <f aca="false">$E$13*EXP(MAX(-700,MIN(700,$E$86-CB166)))</f>
        <v>1</v>
      </c>
      <c r="C167" s="60" t="n">
        <f aca="false">$F$13*EXP(MAX(-700,MIN(700,$F$86-CC166)))</f>
        <v>0</v>
      </c>
      <c r="D167" s="60" t="n">
        <f aca="false">$G$13*EXP(MAX(-700,MIN(700,$G$86-CD166)))</f>
        <v>0</v>
      </c>
      <c r="E167" s="60" t="n">
        <f aca="false">$H$13*EXP(MAX(-700,MIN(700,$H$86-CE166)))</f>
        <v>0</v>
      </c>
      <c r="F167" s="60" t="n">
        <f aca="false">$I$13*EXP(MAX(-700,MIN(700,$I$86-CF166)))</f>
        <v>0</v>
      </c>
      <c r="G167" s="60" t="n">
        <f aca="false">$J$13*EXP(MAX(-700,MIN(700,$J$86-CG166)))</f>
        <v>0</v>
      </c>
      <c r="H167" s="60" t="n">
        <f aca="false">$K$13*EXP(MAX(-700,MIN(700,$K$86-CH166)))</f>
        <v>0</v>
      </c>
      <c r="I167" s="60" t="n">
        <f aca="false">$L$13*EXP(MAX(-700,MIN(700,$L$86-CI166)))</f>
        <v>0</v>
      </c>
      <c r="J167" s="60" t="n">
        <f aca="false">$M$13*EXP(MAX(-700,MIN(700,$M$86-CJ166)))</f>
        <v>0</v>
      </c>
      <c r="K167" s="60" t="n">
        <f aca="false">$N$13*EXP(MAX(-700,MIN(700,$N$86-CK166)))</f>
        <v>0</v>
      </c>
      <c r="L167" s="60" t="n">
        <f aca="false">$O$13*EXP(MAX(-700,MIN(700,$O$86-CL166)))</f>
        <v>0</v>
      </c>
      <c r="M167" s="60" t="n">
        <f aca="false">$P$13*EXP(MAX(-700,MIN(700,$P$86-CM166)))</f>
        <v>0</v>
      </c>
      <c r="N167" s="60" t="n">
        <f aca="false">SUM(B167:M167)</f>
        <v>1</v>
      </c>
      <c r="O167" s="60" t="n">
        <f aca="false">B167/N167</f>
        <v>1</v>
      </c>
      <c r="P167" s="60" t="n">
        <f aca="false">C167/N167</f>
        <v>0</v>
      </c>
      <c r="Q167" s="60" t="n">
        <f aca="false">D167/N167</f>
        <v>0</v>
      </c>
      <c r="R167" s="60" t="n">
        <f aca="false">E167/N167</f>
        <v>0</v>
      </c>
      <c r="S167" s="60" t="n">
        <f aca="false">F167/N167</f>
        <v>0</v>
      </c>
      <c r="T167" s="60" t="n">
        <f aca="false">G167/N167</f>
        <v>0</v>
      </c>
      <c r="U167" s="60" t="n">
        <f aca="false">H167/N167</f>
        <v>0</v>
      </c>
      <c r="V167" s="60" t="n">
        <f aca="false">I167/N167</f>
        <v>0</v>
      </c>
      <c r="W167" s="60" t="n">
        <f aca="false">J167/N167</f>
        <v>0</v>
      </c>
      <c r="X167" s="60" t="n">
        <f aca="false">K167/N167</f>
        <v>0</v>
      </c>
      <c r="Y167" s="60" t="n">
        <f aca="false">L167/N167</f>
        <v>0</v>
      </c>
      <c r="Z167" s="60" t="n">
        <f aca="false">M167/N167</f>
        <v>0</v>
      </c>
      <c r="AA167" s="60" t="n">
        <f aca="false">$E$28*SUMPRODUCT($E$31:$P$31,O167:Z167,$E$28:$P$28)</f>
        <v>0.184416866619846</v>
      </c>
      <c r="AB167" s="60" t="n">
        <f aca="false">$F$28*SUMPRODUCT($E$32:$P$32,O167:Z167,$E$28:$P$28)</f>
        <v>0</v>
      </c>
      <c r="AC167" s="60" t="n">
        <f aca="false">$G$28*SUMPRODUCT($E$33:$P$33,O167:Z167,$E$28:$P$28)</f>
        <v>0</v>
      </c>
      <c r="AD167" s="60" t="n">
        <f aca="false">$H$28*SUMPRODUCT($E$34:$P$34,O167:Z167,$E$28:$P$28)</f>
        <v>0</v>
      </c>
      <c r="AE167" s="60" t="n">
        <f aca="false">$I$28*SUMPRODUCT($E$35:$P$35,O167:Z167,$E$28:$P$28)</f>
        <v>0</v>
      </c>
      <c r="AF167" s="60" t="n">
        <f aca="false">$J$28*SUMPRODUCT($E$36:$P$36,O167:Z167,$E$28:$P$28)</f>
        <v>0</v>
      </c>
      <c r="AG167" s="60" t="n">
        <f aca="false">$K$28*SUMPRODUCT($E$37:$P$37,O167:Z167,$E$28:$P$28)</f>
        <v>0</v>
      </c>
      <c r="AH167" s="60" t="n">
        <f aca="false">$L$28*SUMPRODUCT($E$38:$P$38,O167:Z167,$E$28:$P$28)</f>
        <v>0</v>
      </c>
      <c r="AI167" s="60" t="n">
        <f aca="false">$M$28*SUMPRODUCT($E$39:$P$39,O167:Z167,$E$28:$P$28)</f>
        <v>0</v>
      </c>
      <c r="AJ167" s="60" t="n">
        <f aca="false">$N$28*SUMPRODUCT($E$40:$P$40,O167:Z167,$E$28:$P$28)</f>
        <v>0</v>
      </c>
      <c r="AK167" s="60" t="n">
        <f aca="false">$O$28*SUMPRODUCT($E$41:$P$41,O167:Z167,$E$28:$P$28)</f>
        <v>0</v>
      </c>
      <c r="AL167" s="60" t="n">
        <f aca="false">$P$28*SUMPRODUCT($E$42:$P$42,O167:Z167,$E$28:$P$28)</f>
        <v>0</v>
      </c>
      <c r="AM167" s="60" t="n">
        <f aca="false">SUMPRODUCT(O167:Z167,AA167:AL167)</f>
        <v>0.184416866619846</v>
      </c>
      <c r="AN167" s="60" t="n">
        <f aca="false">SUMPRODUCT(O167:Z167,$E$27:$P$27)</f>
        <v>2.67389635063809E-005</v>
      </c>
      <c r="AO167" s="60" t="n">
        <f aca="false">AM167*$C$9/($C$10*$C$8)^2</f>
        <v>0.21776909410545</v>
      </c>
      <c r="AP167" s="60" t="n">
        <f aca="false">AN167*$C$9/($C$10*$C$8)</f>
        <v>0.0918845243259994</v>
      </c>
      <c r="AQ167" s="60" t="n">
        <f aca="false">CHOOSE($C$7,-(1+AP167),-1,-(1-AP167))</f>
        <v>-0.908115475674001</v>
      </c>
      <c r="AR167" s="60" t="n">
        <f aca="false">CHOOSE($C$7,AO167,AO167-AP167-AP167^2,AO167-3*AP167^2-2*AP167)</f>
        <v>0.00867174802160559</v>
      </c>
      <c r="AS167" s="60" t="n">
        <f aca="false">CHOOSE($C$7,-AO167*AP167,-AO167*AP167,-(AO167*AP167-AP167^2-AP167^3))</f>
        <v>-0.0107910842936637</v>
      </c>
      <c r="AT167" s="60" t="n">
        <f aca="false">AR167-AQ167^2/3</f>
        <v>-0.266219491031267</v>
      </c>
      <c r="AU167" s="60" t="n">
        <f aca="false">2*AQ167^3/27-AQ167*AR167/3+AS167</f>
        <v>-0.0636400988362784</v>
      </c>
      <c r="AV167" s="60" t="n">
        <f aca="false">AU167^2/4+AT167^3/27</f>
        <v>0.000313710901361829</v>
      </c>
      <c r="AW167" s="60" t="n">
        <f aca="false">-AU167/2-IF(AU167&gt;=0,1,-1)*SQRT(MAX(AV167,0))</f>
        <v>0.0495319352963236</v>
      </c>
      <c r="AX167" s="60" t="n">
        <f aca="false">SIGN(AW167)*ABS(AW167)^(1/3)</f>
        <v>0.367249967174439</v>
      </c>
      <c r="AY167" s="60" t="n">
        <f aca="false">IF(AX167=0,0,AX167-AT167/(3*AX167))</f>
        <v>0.60888329127384</v>
      </c>
      <c r="AZ167" s="60" t="n">
        <f aca="false">2*SQRT(MAX(-AT167,0)/3)</f>
        <v>0.595784626668918</v>
      </c>
      <c r="BA167" s="60" t="n">
        <f aca="false">ACOS(IF(AZ167=0,0,MAX(-1,MIN(1,3*AU167/(AT167*AZ167)))))</f>
        <v>0</v>
      </c>
      <c r="BB167" s="60" t="n">
        <f aca="false">AZ167*COS(BA167/3)</f>
        <v>0.595784626668918</v>
      </c>
      <c r="BC167" s="60" t="n">
        <f aca="false">IF(AV167&lt;0,BB167,AY167)-AQ167/3</f>
        <v>0.91158844983184</v>
      </c>
      <c r="BD167" s="60" t="n">
        <f aca="false">IFERROR((((BC167+AQ167)*BC167+AR167)*BC167+AS167)/((3*BC167+2*AQ167)*BC167+AR167),0)</f>
        <v>0</v>
      </c>
      <c r="BE167" s="60" t="n">
        <f aca="false">IF(ABS(BD167)&lt;0.1*ABS(BC167),BC167-BD167,BC167)</f>
        <v>0.91158844983184</v>
      </c>
      <c r="BF167" s="60" t="n">
        <f aca="false">IFERROR((((BE167+AQ167)*BE167+AR167)*BE167+AS167)/((3*BE167+2*AQ167)*BE167+AR167),0)</f>
        <v>0</v>
      </c>
      <c r="BG167" s="60" t="n">
        <f aca="false">IF(ABS(BF167)&lt;0.1*ABS(BE167),BE167-BF167,BE167)</f>
        <v>0.91158844983184</v>
      </c>
      <c r="BH167" s="60" t="n">
        <f aca="false">-AS167/BG167</f>
        <v>0.0118376711504565</v>
      </c>
      <c r="BI167" s="60" t="n">
        <f aca="false">(AR167-BH167)/BG167</f>
        <v>-0.00347297415783941</v>
      </c>
      <c r="BJ167" s="60" t="n">
        <f aca="false">BI167^2-4*BH167</f>
        <v>-0.0473386230523248</v>
      </c>
      <c r="BK167" s="60" t="n">
        <f aca="false">IF(BJ167&gt;=0,(BI167+IF(BI167&gt;=0,1,-1)*SQRT(BJ167))/2,0)</f>
        <v>0</v>
      </c>
      <c r="BL167" s="60" t="n">
        <f aca="false">IF(AND(BJ167&gt;=0,BK167&lt;&gt;0),MIN(BK167,BH167/BK167),-1)</f>
        <v>-1</v>
      </c>
      <c r="BM167" s="60" t="n">
        <f aca="false">AND(BJ167&gt;=0,BL167&gt;AP167,ABS(BG167-BL167)&gt;=0.00005*MAX(BG167,BL167))</f>
        <v>0</v>
      </c>
      <c r="BN167" s="60" t="n">
        <f aca="false">IF(BM167,IFERROR((((BL167+AQ167)*BL167+AR167)*BL167+AS167)/((3*BL167+2*AQ167)*BL167+AR167),0),0)</f>
        <v>0</v>
      </c>
      <c r="BO167" s="60" t="n">
        <f aca="false">IF(ABS(BN167)&lt;0.1*ABS(BL167),BL167-BN167,BL167)</f>
        <v>-1</v>
      </c>
      <c r="BP167" s="60" t="n">
        <f aca="false">IF(BM167,IFERROR((((BO167+AQ167)*BO167+AR167)*BO167+AS167)/((3*BO167+2*AQ167)*BO167+AR167),0),0)</f>
        <v>0</v>
      </c>
      <c r="BQ167" s="60" t="n">
        <f aca="false">IF(ABS(BP167)&lt;0.1*ABS(BO167),BO167-BP167,BO167)</f>
        <v>-1</v>
      </c>
      <c r="BR167" s="60" t="n">
        <f aca="false">IF(BM167,MAX(BG167,BQ167),BG167)</f>
        <v>0.91158844983184</v>
      </c>
      <c r="BS167" s="60" t="n">
        <f aca="false">IF(BM167,MIN(BG167,BQ167),-1)</f>
        <v>-1</v>
      </c>
      <c r="BT167" s="60" t="n">
        <f aca="false">CHOOSE($C$7,AO167/BR167,AO167/AP167*LN(1+AP167/BR167),AO167/(2*SQRT(2)*AP167)*LN((BR167+(1+SQRT(2))*AP167)/(BR167+(1-SQRT(2))*AP167)))</f>
        <v>0.218240791233887</v>
      </c>
      <c r="BU167" s="60" t="n">
        <f aca="false">BR167-1-LN(BR167-AP167)-BT167</f>
        <v>-0.107840271021729</v>
      </c>
      <c r="BV167" s="60" t="n">
        <f aca="false">IF(BM167,CHOOSE($C$7,AO167/BS167,AO167/AP167*LN(1+AP167/BS167),AO167/(2*SQRT(2)*AP167)*LN((BS167+(1+SQRT(2))*AP167)/(BS167+(1-SQRT(2))*AP167))),0)</f>
        <v>0</v>
      </c>
      <c r="BW167" s="60" t="n">
        <f aca="false">IF(BM167,BS167-1-LN(BS167-AP167)-BV167,0)</f>
        <v>0</v>
      </c>
      <c r="BX167" s="60" t="n">
        <f aca="false">AND(BM167,BW167&lt;BU167)</f>
        <v>0</v>
      </c>
      <c r="BY167" s="60" t="n">
        <f aca="false">IF(BX167,BS167,BR167)</f>
        <v>0.91158844983184</v>
      </c>
      <c r="BZ167" s="60" t="n">
        <f aca="false">IF(BX167,BV167,BT167)</f>
        <v>0.218240791233887</v>
      </c>
      <c r="CA167" s="60" t="n">
        <f aca="false">LN(BY167-AP167)</f>
        <v>-0.198812070380318</v>
      </c>
      <c r="CB167" s="60" t="n">
        <f aca="false">$E$27/AN167*(BY167-1)-CA167-BZ167*(2*AA167/AM167-$E$27/AN167)</f>
        <v>-0.107840271021729</v>
      </c>
      <c r="CC167" s="60" t="n">
        <f aca="false">$F$27/AN167*(BY167-1)-CA167-BZ167*(2*AB167/AM167-$F$27/AN167)</f>
        <v>0.198812070380318</v>
      </c>
      <c r="CD167" s="60" t="n">
        <f aca="false">$G$27/AN167*(BY167-1)-CA167-BZ167*(2*AC167/AM167-$G$27/AN167)</f>
        <v>0.198812070380318</v>
      </c>
      <c r="CE167" s="60" t="n">
        <f aca="false">$H$27/AN167*(BY167-1)-CA167-BZ167*(2*AD167/AM167-$H$27/AN167)</f>
        <v>0.198812070380318</v>
      </c>
      <c r="CF167" s="60" t="n">
        <f aca="false">$I$27/AN167*(BY167-1)-CA167-BZ167*(2*AE167/AM167-$I$27/AN167)</f>
        <v>0.198812070380318</v>
      </c>
      <c r="CG167" s="60" t="n">
        <f aca="false">$J$27/AN167*(BY167-1)-CA167-BZ167*(2*AF167/AM167-$J$27/AN167)</f>
        <v>0.198812070380318</v>
      </c>
      <c r="CH167" s="60" t="n">
        <f aca="false">$K$27/AN167*(BY167-1)-CA167-BZ167*(2*AG167/AM167-$K$27/AN167)</f>
        <v>0.198812070380318</v>
      </c>
      <c r="CI167" s="60" t="n">
        <f aca="false">$L$27/AN167*(BY167-1)-CA167-BZ167*(2*AH167/AM167-$L$27/AN167)</f>
        <v>0.198812070380318</v>
      </c>
      <c r="CJ167" s="60" t="n">
        <f aca="false">$M$27/AN167*(BY167-1)-CA167-BZ167*(2*AI167/AM167-$M$27/AN167)</f>
        <v>0.198812070380318</v>
      </c>
      <c r="CK167" s="60" t="n">
        <f aca="false">$N$27/AN167*(BY167-1)-CA167-BZ167*(2*AJ167/AM167-$N$27/AN167)</f>
        <v>0.198812070380318</v>
      </c>
      <c r="CL167" s="60" t="n">
        <f aca="false">$O$27/AN167*(BY167-1)-CA167-BZ167*(2*AK167/AM167-$O$27/AN167)</f>
        <v>0.198812070380318</v>
      </c>
      <c r="CM167" s="60" t="n">
        <f aca="false">$P$27/AN167*(BY167-1)-CA167-BZ167*(2*AL167/AM167-$P$27/AN167)</f>
        <v>0.198812070380318</v>
      </c>
      <c r="CN167" s="60" t="n">
        <f aca="false">AP167/BY167&gt;$C$22</f>
        <v>0</v>
      </c>
      <c r="CO167" s="60" t="n">
        <f aca="false">1-N167+SUMPRODUCT(B167:M167,CB167:CM167)-SUMPRODUCT(B167:M167,CB166:CM166)</f>
        <v>0</v>
      </c>
      <c r="CP167" s="60" t="n">
        <f aca="false">SUMXMY2(O167:Z167,$E$13:$P$13)</f>
        <v>0</v>
      </c>
    </row>
    <row r="168" customFormat="false" ht="15" hidden="false" customHeight="false" outlineLevel="0" collapsed="false">
      <c r="A168" s="59" t="n">
        <v>3</v>
      </c>
      <c r="B168" s="60" t="n">
        <f aca="false">$E$13*EXP(MAX(-700,MIN(700,$E$86-CB167)))</f>
        <v>1</v>
      </c>
      <c r="C168" s="60" t="n">
        <f aca="false">$F$13*EXP(MAX(-700,MIN(700,$F$86-CC167)))</f>
        <v>0</v>
      </c>
      <c r="D168" s="60" t="n">
        <f aca="false">$G$13*EXP(MAX(-700,MIN(700,$G$86-CD167)))</f>
        <v>0</v>
      </c>
      <c r="E168" s="60" t="n">
        <f aca="false">$H$13*EXP(MAX(-700,MIN(700,$H$86-CE167)))</f>
        <v>0</v>
      </c>
      <c r="F168" s="60" t="n">
        <f aca="false">$I$13*EXP(MAX(-700,MIN(700,$I$86-CF167)))</f>
        <v>0</v>
      </c>
      <c r="G168" s="60" t="n">
        <f aca="false">$J$13*EXP(MAX(-700,MIN(700,$J$86-CG167)))</f>
        <v>0</v>
      </c>
      <c r="H168" s="60" t="n">
        <f aca="false">$K$13*EXP(MAX(-700,MIN(700,$K$86-CH167)))</f>
        <v>0</v>
      </c>
      <c r="I168" s="60" t="n">
        <f aca="false">$L$13*EXP(MAX(-700,MIN(700,$L$86-CI167)))</f>
        <v>0</v>
      </c>
      <c r="J168" s="60" t="n">
        <f aca="false">$M$13*EXP(MAX(-700,MIN(700,$M$86-CJ167)))</f>
        <v>0</v>
      </c>
      <c r="K168" s="60" t="n">
        <f aca="false">$N$13*EXP(MAX(-700,MIN(700,$N$86-CK167)))</f>
        <v>0</v>
      </c>
      <c r="L168" s="60" t="n">
        <f aca="false">$O$13*EXP(MAX(-700,MIN(700,$O$86-CL167)))</f>
        <v>0</v>
      </c>
      <c r="M168" s="60" t="n">
        <f aca="false">$P$13*EXP(MAX(-700,MIN(700,$P$86-CM167)))</f>
        <v>0</v>
      </c>
      <c r="N168" s="60" t="n">
        <f aca="false">SUM(B168:M168)</f>
        <v>1</v>
      </c>
      <c r="O168" s="60" t="n">
        <f aca="false">B168/N168</f>
        <v>1</v>
      </c>
      <c r="P168" s="60" t="n">
        <f aca="false">C168/N168</f>
        <v>0</v>
      </c>
      <c r="Q168" s="60" t="n">
        <f aca="false">D168/N168</f>
        <v>0</v>
      </c>
      <c r="R168" s="60" t="n">
        <f aca="false">E168/N168</f>
        <v>0</v>
      </c>
      <c r="S168" s="60" t="n">
        <f aca="false">F168/N168</f>
        <v>0</v>
      </c>
      <c r="T168" s="60" t="n">
        <f aca="false">G168/N168</f>
        <v>0</v>
      </c>
      <c r="U168" s="60" t="n">
        <f aca="false">H168/N168</f>
        <v>0</v>
      </c>
      <c r="V168" s="60" t="n">
        <f aca="false">I168/N168</f>
        <v>0</v>
      </c>
      <c r="W168" s="60" t="n">
        <f aca="false">J168/N168</f>
        <v>0</v>
      </c>
      <c r="X168" s="60" t="n">
        <f aca="false">K168/N168</f>
        <v>0</v>
      </c>
      <c r="Y168" s="60" t="n">
        <f aca="false">L168/N168</f>
        <v>0</v>
      </c>
      <c r="Z168" s="60" t="n">
        <f aca="false">M168/N168</f>
        <v>0</v>
      </c>
      <c r="AA168" s="60" t="n">
        <f aca="false">$E$28*SUMPRODUCT($E$31:$P$31,O168:Z168,$E$28:$P$28)</f>
        <v>0.184416866619846</v>
      </c>
      <c r="AB168" s="60" t="n">
        <f aca="false">$F$28*SUMPRODUCT($E$32:$P$32,O168:Z168,$E$28:$P$28)</f>
        <v>0</v>
      </c>
      <c r="AC168" s="60" t="n">
        <f aca="false">$G$28*SUMPRODUCT($E$33:$P$33,O168:Z168,$E$28:$P$28)</f>
        <v>0</v>
      </c>
      <c r="AD168" s="60" t="n">
        <f aca="false">$H$28*SUMPRODUCT($E$34:$P$34,O168:Z168,$E$28:$P$28)</f>
        <v>0</v>
      </c>
      <c r="AE168" s="60" t="n">
        <f aca="false">$I$28*SUMPRODUCT($E$35:$P$35,O168:Z168,$E$28:$P$28)</f>
        <v>0</v>
      </c>
      <c r="AF168" s="60" t="n">
        <f aca="false">$J$28*SUMPRODUCT($E$36:$P$36,O168:Z168,$E$28:$P$28)</f>
        <v>0</v>
      </c>
      <c r="AG168" s="60" t="n">
        <f aca="false">$K$28*SUMPRODUCT($E$37:$P$37,O168:Z168,$E$28:$P$28)</f>
        <v>0</v>
      </c>
      <c r="AH168" s="60" t="n">
        <f aca="false">$L$28*SUMPRODUCT($E$38:$P$38,O168:Z168,$E$28:$P$28)</f>
        <v>0</v>
      </c>
      <c r="AI168" s="60" t="n">
        <f aca="false">$M$28*SUMPRODUCT($E$39:$P$39,O168:Z168,$E$28:$P$28)</f>
        <v>0</v>
      </c>
      <c r="AJ168" s="60" t="n">
        <f aca="false">$N$28*SUMPRODUCT($E$40:$P$40,O168:Z168,$E$28:$P$28)</f>
        <v>0</v>
      </c>
      <c r="AK168" s="60" t="n">
        <f aca="false">$O$28*SUMPRODUCT($E$41:$P$41,O168:Z168,$E$28:$P$28)</f>
        <v>0</v>
      </c>
      <c r="AL168" s="60" t="n">
        <f aca="false">$P$28*SUMPRODUCT($E$42:$P$42,O168:Z168,$E$28:$P$28)</f>
        <v>0</v>
      </c>
      <c r="AM168" s="60" t="n">
        <f aca="false">SUMPRODUCT(O168:Z168,AA168:AL168)</f>
        <v>0.184416866619846</v>
      </c>
      <c r="AN168" s="60" t="n">
        <f aca="false">SUMPRODUCT(O168:Z168,$E$27:$P$27)</f>
        <v>2.67389635063809E-005</v>
      </c>
      <c r="AO168" s="60" t="n">
        <f aca="false">AM168*$C$9/($C$10*$C$8)^2</f>
        <v>0.21776909410545</v>
      </c>
      <c r="AP168" s="60" t="n">
        <f aca="false">AN168*$C$9/($C$10*$C$8)</f>
        <v>0.0918845243259994</v>
      </c>
      <c r="AQ168" s="60" t="n">
        <f aca="false">CHOOSE($C$7,-(1+AP168),-1,-(1-AP168))</f>
        <v>-0.908115475674001</v>
      </c>
      <c r="AR168" s="60" t="n">
        <f aca="false">CHOOSE($C$7,AO168,AO168-AP168-AP168^2,AO168-3*AP168^2-2*AP168)</f>
        <v>0.00867174802160559</v>
      </c>
      <c r="AS168" s="60" t="n">
        <f aca="false">CHOOSE($C$7,-AO168*AP168,-AO168*AP168,-(AO168*AP168-AP168^2-AP168^3))</f>
        <v>-0.0107910842936637</v>
      </c>
      <c r="AT168" s="60" t="n">
        <f aca="false">AR168-AQ168^2/3</f>
        <v>-0.266219491031267</v>
      </c>
      <c r="AU168" s="60" t="n">
        <f aca="false">2*AQ168^3/27-AQ168*AR168/3+AS168</f>
        <v>-0.0636400988362784</v>
      </c>
      <c r="AV168" s="60" t="n">
        <f aca="false">AU168^2/4+AT168^3/27</f>
        <v>0.000313710901361829</v>
      </c>
      <c r="AW168" s="60" t="n">
        <f aca="false">-AU168/2-IF(AU168&gt;=0,1,-1)*SQRT(MAX(AV168,0))</f>
        <v>0.0495319352963236</v>
      </c>
      <c r="AX168" s="60" t="n">
        <f aca="false">SIGN(AW168)*ABS(AW168)^(1/3)</f>
        <v>0.367249967174439</v>
      </c>
      <c r="AY168" s="60" t="n">
        <f aca="false">IF(AX168=0,0,AX168-AT168/(3*AX168))</f>
        <v>0.60888329127384</v>
      </c>
      <c r="AZ168" s="60" t="n">
        <f aca="false">2*SQRT(MAX(-AT168,0)/3)</f>
        <v>0.595784626668918</v>
      </c>
      <c r="BA168" s="60" t="n">
        <f aca="false">ACOS(IF(AZ168=0,0,MAX(-1,MIN(1,3*AU168/(AT168*AZ168)))))</f>
        <v>0</v>
      </c>
      <c r="BB168" s="60" t="n">
        <f aca="false">AZ168*COS(BA168/3)</f>
        <v>0.595784626668918</v>
      </c>
      <c r="BC168" s="60" t="n">
        <f aca="false">IF(AV168&lt;0,BB168,AY168)-AQ168/3</f>
        <v>0.91158844983184</v>
      </c>
      <c r="BD168" s="60" t="n">
        <f aca="false">IFERROR((((BC168+AQ168)*BC168+AR168)*BC168+AS168)/((3*BC168+2*AQ168)*BC168+AR168),0)</f>
        <v>0</v>
      </c>
      <c r="BE168" s="60" t="n">
        <f aca="false">IF(ABS(BD168)&lt;0.1*ABS(BC168),BC168-BD168,BC168)</f>
        <v>0.91158844983184</v>
      </c>
      <c r="BF168" s="60" t="n">
        <f aca="false">IFERROR((((BE168+AQ168)*BE168+AR168)*BE168+AS168)/((3*BE168+2*AQ168)*BE168+AR168),0)</f>
        <v>0</v>
      </c>
      <c r="BG168" s="60" t="n">
        <f aca="false">IF(ABS(BF168)&lt;0.1*ABS(BE168),BE168-BF168,BE168)</f>
        <v>0.91158844983184</v>
      </c>
      <c r="BH168" s="60" t="n">
        <f aca="false">-AS168/BG168</f>
        <v>0.0118376711504565</v>
      </c>
      <c r="BI168" s="60" t="n">
        <f aca="false">(AR168-BH168)/BG168</f>
        <v>-0.00347297415783941</v>
      </c>
      <c r="BJ168" s="60" t="n">
        <f aca="false">BI168^2-4*BH168</f>
        <v>-0.0473386230523248</v>
      </c>
      <c r="BK168" s="60" t="n">
        <f aca="false">IF(BJ168&gt;=0,(BI168+IF(BI168&gt;=0,1,-1)*SQRT(BJ168))/2,0)</f>
        <v>0</v>
      </c>
      <c r="BL168" s="60" t="n">
        <f aca="false">IF(AND(BJ168&gt;=0,BK168&lt;&gt;0),MIN(BK168,BH168/BK168),-1)</f>
        <v>-1</v>
      </c>
      <c r="BM168" s="60" t="n">
        <f aca="false">AND(BJ168&gt;=0,BL168&gt;AP168,ABS(BG168-BL168)&gt;=0.00005*MAX(BG168,BL168))</f>
        <v>0</v>
      </c>
      <c r="BN168" s="60" t="n">
        <f aca="false">IF(BM168,IFERROR((((BL168+AQ168)*BL168+AR168)*BL168+AS168)/((3*BL168+2*AQ168)*BL168+AR168),0),0)</f>
        <v>0</v>
      </c>
      <c r="BO168" s="60" t="n">
        <f aca="false">IF(ABS(BN168)&lt;0.1*ABS(BL168),BL168-BN168,BL168)</f>
        <v>-1</v>
      </c>
      <c r="BP168" s="60" t="n">
        <f aca="false">IF(BM168,IFERROR((((BO168+AQ168)*BO168+AR168)*BO168+AS168)/((3*BO168+2*AQ168)*BO168+AR168),0),0)</f>
        <v>0</v>
      </c>
      <c r="BQ168" s="60" t="n">
        <f aca="false">IF(ABS(BP168)&lt;0.1*ABS(BO168),BO168-BP168,BO168)</f>
        <v>-1</v>
      </c>
      <c r="BR168" s="60" t="n">
        <f aca="false">IF(BM168,MAX(BG168,BQ168),BG168)</f>
        <v>0.91158844983184</v>
      </c>
      <c r="BS168" s="60" t="n">
        <f aca="false">IF(BM168,MIN(BG168,BQ168),-1)</f>
        <v>-1</v>
      </c>
      <c r="BT168" s="60" t="n">
        <f aca="false">CHOOSE($C$7,AO168/BR168,AO168/AP168*LN(1+AP168/BR168),AO168/(2*SQRT(2)*AP168)*LN((BR168+(1+SQRT(2))*AP168)/(BR168+(1-SQRT(2))*AP168)))</f>
        <v>0.218240791233887</v>
      </c>
      <c r="BU168" s="60" t="n">
        <f aca="false">BR168-1-LN(BR168-AP168)-BT168</f>
        <v>-0.107840271021729</v>
      </c>
      <c r="BV168" s="60" t="n">
        <f aca="false">IF(BM168,CHOOSE($C$7,AO168/BS168,AO168/AP168*LN(1+AP168/BS168),AO168/(2*SQRT(2)*AP168)*LN((BS168+(1+SQRT(2))*AP168)/(BS168+(1-SQRT(2))*AP168))),0)</f>
        <v>0</v>
      </c>
      <c r="BW168" s="60" t="n">
        <f aca="false">IF(BM168,BS168-1-LN(BS168-AP168)-BV168,0)</f>
        <v>0</v>
      </c>
      <c r="BX168" s="60" t="n">
        <f aca="false">AND(BM168,BW168&lt;BU168)</f>
        <v>0</v>
      </c>
      <c r="BY168" s="60" t="n">
        <f aca="false">IF(BX168,BS168,BR168)</f>
        <v>0.91158844983184</v>
      </c>
      <c r="BZ168" s="60" t="n">
        <f aca="false">IF(BX168,BV168,BT168)</f>
        <v>0.218240791233887</v>
      </c>
      <c r="CA168" s="60" t="n">
        <f aca="false">LN(BY168-AP168)</f>
        <v>-0.198812070380318</v>
      </c>
      <c r="CB168" s="60" t="n">
        <f aca="false">$E$27/AN168*(BY168-1)-CA168-BZ168*(2*AA168/AM168-$E$27/AN168)</f>
        <v>-0.107840271021729</v>
      </c>
      <c r="CC168" s="60" t="n">
        <f aca="false">$F$27/AN168*(BY168-1)-CA168-BZ168*(2*AB168/AM168-$F$27/AN168)</f>
        <v>0.198812070380318</v>
      </c>
      <c r="CD168" s="60" t="n">
        <f aca="false">$G$27/AN168*(BY168-1)-CA168-BZ168*(2*AC168/AM168-$G$27/AN168)</f>
        <v>0.198812070380318</v>
      </c>
      <c r="CE168" s="60" t="n">
        <f aca="false">$H$27/AN168*(BY168-1)-CA168-BZ168*(2*AD168/AM168-$H$27/AN168)</f>
        <v>0.198812070380318</v>
      </c>
      <c r="CF168" s="60" t="n">
        <f aca="false">$I$27/AN168*(BY168-1)-CA168-BZ168*(2*AE168/AM168-$I$27/AN168)</f>
        <v>0.198812070380318</v>
      </c>
      <c r="CG168" s="60" t="n">
        <f aca="false">$J$27/AN168*(BY168-1)-CA168-BZ168*(2*AF168/AM168-$J$27/AN168)</f>
        <v>0.198812070380318</v>
      </c>
      <c r="CH168" s="60" t="n">
        <f aca="false">$K$27/AN168*(BY168-1)-CA168-BZ168*(2*AG168/AM168-$K$27/AN168)</f>
        <v>0.198812070380318</v>
      </c>
      <c r="CI168" s="60" t="n">
        <f aca="false">$L$27/AN168*(BY168-1)-CA168-BZ168*(2*AH168/AM168-$L$27/AN168)</f>
        <v>0.198812070380318</v>
      </c>
      <c r="CJ168" s="60" t="n">
        <f aca="false">$M$27/AN168*(BY168-1)-CA168-BZ168*(2*AI168/AM168-$M$27/AN168)</f>
        <v>0.198812070380318</v>
      </c>
      <c r="CK168" s="60" t="n">
        <f aca="false">$N$27/AN168*(BY168-1)-CA168-BZ168*(2*AJ168/AM168-$N$27/AN168)</f>
        <v>0.198812070380318</v>
      </c>
      <c r="CL168" s="60" t="n">
        <f aca="false">$O$27/AN168*(BY168-1)-CA168-BZ168*(2*AK168/AM168-$O$27/AN168)</f>
        <v>0.198812070380318</v>
      </c>
      <c r="CM168" s="60" t="n">
        <f aca="false">$P$27/AN168*(BY168-1)-CA168-BZ168*(2*AL168/AM168-$P$27/AN168)</f>
        <v>0.198812070380318</v>
      </c>
      <c r="CN168" s="60" t="n">
        <f aca="false">AP168/BY168&gt;$C$22</f>
        <v>0</v>
      </c>
      <c r="CO168" s="60" t="n">
        <f aca="false">1-N168+SUMPRODUCT(B168:M168,CB168:CM168)-SUMPRODUCT(B168:M168,CB167:CM167)</f>
        <v>0</v>
      </c>
      <c r="CP168" s="60" t="n">
        <f aca="false">SUMXMY2(O168:Z168,$E$13:$P$13)</f>
        <v>0</v>
      </c>
    </row>
    <row r="169" customFormat="false" ht="15" hidden="false" customHeight="false" outlineLevel="0" collapsed="false">
      <c r="A169" s="59" t="n">
        <v>4</v>
      </c>
      <c r="B169" s="60" t="n">
        <f aca="false">$E$13*EXP(MAX(-700,MIN(700,$E$86-CB168)))</f>
        <v>1</v>
      </c>
      <c r="C169" s="60" t="n">
        <f aca="false">$F$13*EXP(MAX(-700,MIN(700,$F$86-CC168)))</f>
        <v>0</v>
      </c>
      <c r="D169" s="60" t="n">
        <f aca="false">$G$13*EXP(MAX(-700,MIN(700,$G$86-CD168)))</f>
        <v>0</v>
      </c>
      <c r="E169" s="60" t="n">
        <f aca="false">$H$13*EXP(MAX(-700,MIN(700,$H$86-CE168)))</f>
        <v>0</v>
      </c>
      <c r="F169" s="60" t="n">
        <f aca="false">$I$13*EXP(MAX(-700,MIN(700,$I$86-CF168)))</f>
        <v>0</v>
      </c>
      <c r="G169" s="60" t="n">
        <f aca="false">$J$13*EXP(MAX(-700,MIN(700,$J$86-CG168)))</f>
        <v>0</v>
      </c>
      <c r="H169" s="60" t="n">
        <f aca="false">$K$13*EXP(MAX(-700,MIN(700,$K$86-CH168)))</f>
        <v>0</v>
      </c>
      <c r="I169" s="60" t="n">
        <f aca="false">$L$13*EXP(MAX(-700,MIN(700,$L$86-CI168)))</f>
        <v>0</v>
      </c>
      <c r="J169" s="60" t="n">
        <f aca="false">$M$13*EXP(MAX(-700,MIN(700,$M$86-CJ168)))</f>
        <v>0</v>
      </c>
      <c r="K169" s="60" t="n">
        <f aca="false">$N$13*EXP(MAX(-700,MIN(700,$N$86-CK168)))</f>
        <v>0</v>
      </c>
      <c r="L169" s="60" t="n">
        <f aca="false">$O$13*EXP(MAX(-700,MIN(700,$O$86-CL168)))</f>
        <v>0</v>
      </c>
      <c r="M169" s="60" t="n">
        <f aca="false">$P$13*EXP(MAX(-700,MIN(700,$P$86-CM168)))</f>
        <v>0</v>
      </c>
      <c r="N169" s="60" t="n">
        <f aca="false">SUM(B169:M169)</f>
        <v>1</v>
      </c>
      <c r="O169" s="60" t="n">
        <f aca="false">B169/N169</f>
        <v>1</v>
      </c>
      <c r="P169" s="60" t="n">
        <f aca="false">C169/N169</f>
        <v>0</v>
      </c>
      <c r="Q169" s="60" t="n">
        <f aca="false">D169/N169</f>
        <v>0</v>
      </c>
      <c r="R169" s="60" t="n">
        <f aca="false">E169/N169</f>
        <v>0</v>
      </c>
      <c r="S169" s="60" t="n">
        <f aca="false">F169/N169</f>
        <v>0</v>
      </c>
      <c r="T169" s="60" t="n">
        <f aca="false">G169/N169</f>
        <v>0</v>
      </c>
      <c r="U169" s="60" t="n">
        <f aca="false">H169/N169</f>
        <v>0</v>
      </c>
      <c r="V169" s="60" t="n">
        <f aca="false">I169/N169</f>
        <v>0</v>
      </c>
      <c r="W169" s="60" t="n">
        <f aca="false">J169/N169</f>
        <v>0</v>
      </c>
      <c r="X169" s="60" t="n">
        <f aca="false">K169/N169</f>
        <v>0</v>
      </c>
      <c r="Y169" s="60" t="n">
        <f aca="false">L169/N169</f>
        <v>0</v>
      </c>
      <c r="Z169" s="60" t="n">
        <f aca="false">M169/N169</f>
        <v>0</v>
      </c>
      <c r="AA169" s="60" t="n">
        <f aca="false">$E$28*SUMPRODUCT($E$31:$P$31,O169:Z169,$E$28:$P$28)</f>
        <v>0.184416866619846</v>
      </c>
      <c r="AB169" s="60" t="n">
        <f aca="false">$F$28*SUMPRODUCT($E$32:$P$32,O169:Z169,$E$28:$P$28)</f>
        <v>0</v>
      </c>
      <c r="AC169" s="60" t="n">
        <f aca="false">$G$28*SUMPRODUCT($E$33:$P$33,O169:Z169,$E$28:$P$28)</f>
        <v>0</v>
      </c>
      <c r="AD169" s="60" t="n">
        <f aca="false">$H$28*SUMPRODUCT($E$34:$P$34,O169:Z169,$E$28:$P$28)</f>
        <v>0</v>
      </c>
      <c r="AE169" s="60" t="n">
        <f aca="false">$I$28*SUMPRODUCT($E$35:$P$35,O169:Z169,$E$28:$P$28)</f>
        <v>0</v>
      </c>
      <c r="AF169" s="60" t="n">
        <f aca="false">$J$28*SUMPRODUCT($E$36:$P$36,O169:Z169,$E$28:$P$28)</f>
        <v>0</v>
      </c>
      <c r="AG169" s="60" t="n">
        <f aca="false">$K$28*SUMPRODUCT($E$37:$P$37,O169:Z169,$E$28:$P$28)</f>
        <v>0</v>
      </c>
      <c r="AH169" s="60" t="n">
        <f aca="false">$L$28*SUMPRODUCT($E$38:$P$38,O169:Z169,$E$28:$P$28)</f>
        <v>0</v>
      </c>
      <c r="AI169" s="60" t="n">
        <f aca="false">$M$28*SUMPRODUCT($E$39:$P$39,O169:Z169,$E$28:$P$28)</f>
        <v>0</v>
      </c>
      <c r="AJ169" s="60" t="n">
        <f aca="false">$N$28*SUMPRODUCT($E$40:$P$40,O169:Z169,$E$28:$P$28)</f>
        <v>0</v>
      </c>
      <c r="AK169" s="60" t="n">
        <f aca="false">$O$28*SUMPRODUCT($E$41:$P$41,O169:Z169,$E$28:$P$28)</f>
        <v>0</v>
      </c>
      <c r="AL169" s="60" t="n">
        <f aca="false">$P$28*SUMPRODUCT($E$42:$P$42,O169:Z169,$E$28:$P$28)</f>
        <v>0</v>
      </c>
      <c r="AM169" s="60" t="n">
        <f aca="false">SUMPRODUCT(O169:Z169,AA169:AL169)</f>
        <v>0.184416866619846</v>
      </c>
      <c r="AN169" s="60" t="n">
        <f aca="false">SUMPRODUCT(O169:Z169,$E$27:$P$27)</f>
        <v>2.67389635063809E-005</v>
      </c>
      <c r="AO169" s="60" t="n">
        <f aca="false">AM169*$C$9/($C$10*$C$8)^2</f>
        <v>0.21776909410545</v>
      </c>
      <c r="AP169" s="60" t="n">
        <f aca="false">AN169*$C$9/($C$10*$C$8)</f>
        <v>0.0918845243259994</v>
      </c>
      <c r="AQ169" s="60" t="n">
        <f aca="false">CHOOSE($C$7,-(1+AP169),-1,-(1-AP169))</f>
        <v>-0.908115475674001</v>
      </c>
      <c r="AR169" s="60" t="n">
        <f aca="false">CHOOSE($C$7,AO169,AO169-AP169-AP169^2,AO169-3*AP169^2-2*AP169)</f>
        <v>0.00867174802160559</v>
      </c>
      <c r="AS169" s="60" t="n">
        <f aca="false">CHOOSE($C$7,-AO169*AP169,-AO169*AP169,-(AO169*AP169-AP169^2-AP169^3))</f>
        <v>-0.0107910842936637</v>
      </c>
      <c r="AT169" s="60" t="n">
        <f aca="false">AR169-AQ169^2/3</f>
        <v>-0.266219491031267</v>
      </c>
      <c r="AU169" s="60" t="n">
        <f aca="false">2*AQ169^3/27-AQ169*AR169/3+AS169</f>
        <v>-0.0636400988362784</v>
      </c>
      <c r="AV169" s="60" t="n">
        <f aca="false">AU169^2/4+AT169^3/27</f>
        <v>0.000313710901361829</v>
      </c>
      <c r="AW169" s="60" t="n">
        <f aca="false">-AU169/2-IF(AU169&gt;=0,1,-1)*SQRT(MAX(AV169,0))</f>
        <v>0.0495319352963236</v>
      </c>
      <c r="AX169" s="60" t="n">
        <f aca="false">SIGN(AW169)*ABS(AW169)^(1/3)</f>
        <v>0.367249967174439</v>
      </c>
      <c r="AY169" s="60" t="n">
        <f aca="false">IF(AX169=0,0,AX169-AT169/(3*AX169))</f>
        <v>0.60888329127384</v>
      </c>
      <c r="AZ169" s="60" t="n">
        <f aca="false">2*SQRT(MAX(-AT169,0)/3)</f>
        <v>0.595784626668918</v>
      </c>
      <c r="BA169" s="60" t="n">
        <f aca="false">ACOS(IF(AZ169=0,0,MAX(-1,MIN(1,3*AU169/(AT169*AZ169)))))</f>
        <v>0</v>
      </c>
      <c r="BB169" s="60" t="n">
        <f aca="false">AZ169*COS(BA169/3)</f>
        <v>0.595784626668918</v>
      </c>
      <c r="BC169" s="60" t="n">
        <f aca="false">IF(AV169&lt;0,BB169,AY169)-AQ169/3</f>
        <v>0.91158844983184</v>
      </c>
      <c r="BD169" s="60" t="n">
        <f aca="false">IFERROR((((BC169+AQ169)*BC169+AR169)*BC169+AS169)/((3*BC169+2*AQ169)*BC169+AR169),0)</f>
        <v>0</v>
      </c>
      <c r="BE169" s="60" t="n">
        <f aca="false">IF(ABS(BD169)&lt;0.1*ABS(BC169),BC169-BD169,BC169)</f>
        <v>0.91158844983184</v>
      </c>
      <c r="BF169" s="60" t="n">
        <f aca="false">IFERROR((((BE169+AQ169)*BE169+AR169)*BE169+AS169)/((3*BE169+2*AQ169)*BE169+AR169),0)</f>
        <v>0</v>
      </c>
      <c r="BG169" s="60" t="n">
        <f aca="false">IF(ABS(BF169)&lt;0.1*ABS(BE169),BE169-BF169,BE169)</f>
        <v>0.91158844983184</v>
      </c>
      <c r="BH169" s="60" t="n">
        <f aca="false">-AS169/BG169</f>
        <v>0.0118376711504565</v>
      </c>
      <c r="BI169" s="60" t="n">
        <f aca="false">(AR169-BH169)/BG169</f>
        <v>-0.00347297415783941</v>
      </c>
      <c r="BJ169" s="60" t="n">
        <f aca="false">BI169^2-4*BH169</f>
        <v>-0.0473386230523248</v>
      </c>
      <c r="BK169" s="60" t="n">
        <f aca="false">IF(BJ169&gt;=0,(BI169+IF(BI169&gt;=0,1,-1)*SQRT(BJ169))/2,0)</f>
        <v>0</v>
      </c>
      <c r="BL169" s="60" t="n">
        <f aca="false">IF(AND(BJ169&gt;=0,BK169&lt;&gt;0),MIN(BK169,BH169/BK169),-1)</f>
        <v>-1</v>
      </c>
      <c r="BM169" s="60" t="n">
        <f aca="false">AND(BJ169&gt;=0,BL169&gt;AP169,ABS(BG169-BL169)&gt;=0.00005*MAX(BG169,BL169))</f>
        <v>0</v>
      </c>
      <c r="BN169" s="60" t="n">
        <f aca="false">IF(BM169,IFERROR((((BL169+AQ169)*BL169+AR169)*BL169+AS169)/((3*BL169+2*AQ169)*BL169+AR169),0),0)</f>
        <v>0</v>
      </c>
      <c r="BO169" s="60" t="n">
        <f aca="false">IF(ABS(BN169)&lt;0.1*ABS(BL169),BL169-BN169,BL169)</f>
        <v>-1</v>
      </c>
      <c r="BP169" s="60" t="n">
        <f aca="false">IF(BM169,IFERROR((((BO169+AQ169)*BO169+AR169)*BO169+AS169)/((3*BO169+2*AQ169)*BO169+AR169),0),0)</f>
        <v>0</v>
      </c>
      <c r="BQ169" s="60" t="n">
        <f aca="false">IF(ABS(BP169)&lt;0.1*ABS(BO169),BO169-BP169,BO169)</f>
        <v>-1</v>
      </c>
      <c r="BR169" s="60" t="n">
        <f aca="false">IF(BM169,MAX(BG169,BQ169),BG169)</f>
        <v>0.91158844983184</v>
      </c>
      <c r="BS169" s="60" t="n">
        <f aca="false">IF(BM169,MIN(BG169,BQ169),-1)</f>
        <v>-1</v>
      </c>
      <c r="BT169" s="60" t="n">
        <f aca="false">CHOOSE($C$7,AO169/BR169,AO169/AP169*LN(1+AP169/BR169),AO169/(2*SQRT(2)*AP169)*LN((BR169+(1+SQRT(2))*AP169)/(BR169+(1-SQRT(2))*AP169)))</f>
        <v>0.218240791233887</v>
      </c>
      <c r="BU169" s="60" t="n">
        <f aca="false">BR169-1-LN(BR169-AP169)-BT169</f>
        <v>-0.107840271021729</v>
      </c>
      <c r="BV169" s="60" t="n">
        <f aca="false">IF(BM169,CHOOSE($C$7,AO169/BS169,AO169/AP169*LN(1+AP169/BS169),AO169/(2*SQRT(2)*AP169)*LN((BS169+(1+SQRT(2))*AP169)/(BS169+(1-SQRT(2))*AP169))),0)</f>
        <v>0</v>
      </c>
      <c r="BW169" s="60" t="n">
        <f aca="false">IF(BM169,BS169-1-LN(BS169-AP169)-BV169,0)</f>
        <v>0</v>
      </c>
      <c r="BX169" s="60" t="n">
        <f aca="false">AND(BM169,BW169&lt;BU169)</f>
        <v>0</v>
      </c>
      <c r="BY169" s="60" t="n">
        <f aca="false">IF(BX169,BS169,BR169)</f>
        <v>0.91158844983184</v>
      </c>
      <c r="BZ169" s="60" t="n">
        <f aca="false">IF(BX169,BV169,BT169)</f>
        <v>0.218240791233887</v>
      </c>
      <c r="CA169" s="60" t="n">
        <f aca="false">LN(BY169-AP169)</f>
        <v>-0.198812070380318</v>
      </c>
      <c r="CB169" s="60" t="n">
        <f aca="false">$E$27/AN169*(BY169-1)-CA169-BZ169*(2*AA169/AM169-$E$27/AN169)</f>
        <v>-0.107840271021729</v>
      </c>
      <c r="CC169" s="60" t="n">
        <f aca="false">$F$27/AN169*(BY169-1)-CA169-BZ169*(2*AB169/AM169-$F$27/AN169)</f>
        <v>0.198812070380318</v>
      </c>
      <c r="CD169" s="60" t="n">
        <f aca="false">$G$27/AN169*(BY169-1)-CA169-BZ169*(2*AC169/AM169-$G$27/AN169)</f>
        <v>0.198812070380318</v>
      </c>
      <c r="CE169" s="60" t="n">
        <f aca="false">$H$27/AN169*(BY169-1)-CA169-BZ169*(2*AD169/AM169-$H$27/AN169)</f>
        <v>0.198812070380318</v>
      </c>
      <c r="CF169" s="60" t="n">
        <f aca="false">$I$27/AN169*(BY169-1)-CA169-BZ169*(2*AE169/AM169-$I$27/AN169)</f>
        <v>0.198812070380318</v>
      </c>
      <c r="CG169" s="60" t="n">
        <f aca="false">$J$27/AN169*(BY169-1)-CA169-BZ169*(2*AF169/AM169-$J$27/AN169)</f>
        <v>0.198812070380318</v>
      </c>
      <c r="CH169" s="60" t="n">
        <f aca="false">$K$27/AN169*(BY169-1)-CA169-BZ169*(2*AG169/AM169-$K$27/AN169)</f>
        <v>0.198812070380318</v>
      </c>
      <c r="CI169" s="60" t="n">
        <f aca="false">$L$27/AN169*(BY169-1)-CA169-BZ169*(2*AH169/AM169-$L$27/AN169)</f>
        <v>0.198812070380318</v>
      </c>
      <c r="CJ169" s="60" t="n">
        <f aca="false">$M$27/AN169*(BY169-1)-CA169-BZ169*(2*AI169/AM169-$M$27/AN169)</f>
        <v>0.198812070380318</v>
      </c>
      <c r="CK169" s="60" t="n">
        <f aca="false">$N$27/AN169*(BY169-1)-CA169-BZ169*(2*AJ169/AM169-$N$27/AN169)</f>
        <v>0.198812070380318</v>
      </c>
      <c r="CL169" s="60" t="n">
        <f aca="false">$O$27/AN169*(BY169-1)-CA169-BZ169*(2*AK169/AM169-$O$27/AN169)</f>
        <v>0.198812070380318</v>
      </c>
      <c r="CM169" s="60" t="n">
        <f aca="false">$P$27/AN169*(BY169-1)-CA169-BZ169*(2*AL169/AM169-$P$27/AN169)</f>
        <v>0.198812070380318</v>
      </c>
      <c r="CN169" s="60" t="n">
        <f aca="false">AP169/BY169&gt;$C$22</f>
        <v>0</v>
      </c>
      <c r="CO169" s="60" t="n">
        <f aca="false">1-N169+SUMPRODUCT(B169:M169,CB169:CM169)-SUMPRODUCT(B169:M169,CB168:CM168)</f>
        <v>0</v>
      </c>
      <c r="CP169" s="60" t="n">
        <f aca="false">SUMXMY2(O169:Z169,$E$13:$P$13)</f>
        <v>0</v>
      </c>
    </row>
    <row r="170" customFormat="false" ht="15" hidden="false" customHeight="false" outlineLevel="0" collapsed="false">
      <c r="A170" s="59" t="n">
        <v>5</v>
      </c>
      <c r="B170" s="60" t="n">
        <f aca="false">$E$13*EXP(MAX(-700,MIN(700,$E$86-CB169)))</f>
        <v>1</v>
      </c>
      <c r="C170" s="60" t="n">
        <f aca="false">$F$13*EXP(MAX(-700,MIN(700,$F$86-CC169)))</f>
        <v>0</v>
      </c>
      <c r="D170" s="60" t="n">
        <f aca="false">$G$13*EXP(MAX(-700,MIN(700,$G$86-CD169)))</f>
        <v>0</v>
      </c>
      <c r="E170" s="60" t="n">
        <f aca="false">$H$13*EXP(MAX(-700,MIN(700,$H$86-CE169)))</f>
        <v>0</v>
      </c>
      <c r="F170" s="60" t="n">
        <f aca="false">$I$13*EXP(MAX(-700,MIN(700,$I$86-CF169)))</f>
        <v>0</v>
      </c>
      <c r="G170" s="60" t="n">
        <f aca="false">$J$13*EXP(MAX(-700,MIN(700,$J$86-CG169)))</f>
        <v>0</v>
      </c>
      <c r="H170" s="60" t="n">
        <f aca="false">$K$13*EXP(MAX(-700,MIN(700,$K$86-CH169)))</f>
        <v>0</v>
      </c>
      <c r="I170" s="60" t="n">
        <f aca="false">$L$13*EXP(MAX(-700,MIN(700,$L$86-CI169)))</f>
        <v>0</v>
      </c>
      <c r="J170" s="60" t="n">
        <f aca="false">$M$13*EXP(MAX(-700,MIN(700,$M$86-CJ169)))</f>
        <v>0</v>
      </c>
      <c r="K170" s="60" t="n">
        <f aca="false">$N$13*EXP(MAX(-700,MIN(700,$N$86-CK169)))</f>
        <v>0</v>
      </c>
      <c r="L170" s="60" t="n">
        <f aca="false">$O$13*EXP(MAX(-700,MIN(700,$O$86-CL169)))</f>
        <v>0</v>
      </c>
      <c r="M170" s="60" t="n">
        <f aca="false">$P$13*EXP(MAX(-700,MIN(700,$P$86-CM169)))</f>
        <v>0</v>
      </c>
      <c r="N170" s="60" t="n">
        <f aca="false">SUM(B170:M170)</f>
        <v>1</v>
      </c>
      <c r="O170" s="60" t="n">
        <f aca="false">B170/N170</f>
        <v>1</v>
      </c>
      <c r="P170" s="60" t="n">
        <f aca="false">C170/N170</f>
        <v>0</v>
      </c>
      <c r="Q170" s="60" t="n">
        <f aca="false">D170/N170</f>
        <v>0</v>
      </c>
      <c r="R170" s="60" t="n">
        <f aca="false">E170/N170</f>
        <v>0</v>
      </c>
      <c r="S170" s="60" t="n">
        <f aca="false">F170/N170</f>
        <v>0</v>
      </c>
      <c r="T170" s="60" t="n">
        <f aca="false">G170/N170</f>
        <v>0</v>
      </c>
      <c r="U170" s="60" t="n">
        <f aca="false">H170/N170</f>
        <v>0</v>
      </c>
      <c r="V170" s="60" t="n">
        <f aca="false">I170/N170</f>
        <v>0</v>
      </c>
      <c r="W170" s="60" t="n">
        <f aca="false">J170/N170</f>
        <v>0</v>
      </c>
      <c r="X170" s="60" t="n">
        <f aca="false">K170/N170</f>
        <v>0</v>
      </c>
      <c r="Y170" s="60" t="n">
        <f aca="false">L170/N170</f>
        <v>0</v>
      </c>
      <c r="Z170" s="60" t="n">
        <f aca="false">M170/N170</f>
        <v>0</v>
      </c>
      <c r="AA170" s="60" t="n">
        <f aca="false">$E$28*SUMPRODUCT($E$31:$P$31,O170:Z170,$E$28:$P$28)</f>
        <v>0.184416866619846</v>
      </c>
      <c r="AB170" s="60" t="n">
        <f aca="false">$F$28*SUMPRODUCT($E$32:$P$32,O170:Z170,$E$28:$P$28)</f>
        <v>0</v>
      </c>
      <c r="AC170" s="60" t="n">
        <f aca="false">$G$28*SUMPRODUCT($E$33:$P$33,O170:Z170,$E$28:$P$28)</f>
        <v>0</v>
      </c>
      <c r="AD170" s="60" t="n">
        <f aca="false">$H$28*SUMPRODUCT($E$34:$P$34,O170:Z170,$E$28:$P$28)</f>
        <v>0</v>
      </c>
      <c r="AE170" s="60" t="n">
        <f aca="false">$I$28*SUMPRODUCT($E$35:$P$35,O170:Z170,$E$28:$P$28)</f>
        <v>0</v>
      </c>
      <c r="AF170" s="60" t="n">
        <f aca="false">$J$28*SUMPRODUCT($E$36:$P$36,O170:Z170,$E$28:$P$28)</f>
        <v>0</v>
      </c>
      <c r="AG170" s="60" t="n">
        <f aca="false">$K$28*SUMPRODUCT($E$37:$P$37,O170:Z170,$E$28:$P$28)</f>
        <v>0</v>
      </c>
      <c r="AH170" s="60" t="n">
        <f aca="false">$L$28*SUMPRODUCT($E$38:$P$38,O170:Z170,$E$28:$P$28)</f>
        <v>0</v>
      </c>
      <c r="AI170" s="60" t="n">
        <f aca="false">$M$28*SUMPRODUCT($E$39:$P$39,O170:Z170,$E$28:$P$28)</f>
        <v>0</v>
      </c>
      <c r="AJ170" s="60" t="n">
        <f aca="false">$N$28*SUMPRODUCT($E$40:$P$40,O170:Z170,$E$28:$P$28)</f>
        <v>0</v>
      </c>
      <c r="AK170" s="60" t="n">
        <f aca="false">$O$28*SUMPRODUCT($E$41:$P$41,O170:Z170,$E$28:$P$28)</f>
        <v>0</v>
      </c>
      <c r="AL170" s="60" t="n">
        <f aca="false">$P$28*SUMPRODUCT($E$42:$P$42,O170:Z170,$E$28:$P$28)</f>
        <v>0</v>
      </c>
      <c r="AM170" s="60" t="n">
        <f aca="false">SUMPRODUCT(O170:Z170,AA170:AL170)</f>
        <v>0.184416866619846</v>
      </c>
      <c r="AN170" s="60" t="n">
        <f aca="false">SUMPRODUCT(O170:Z170,$E$27:$P$27)</f>
        <v>2.67389635063809E-005</v>
      </c>
      <c r="AO170" s="60" t="n">
        <f aca="false">AM170*$C$9/($C$10*$C$8)^2</f>
        <v>0.21776909410545</v>
      </c>
      <c r="AP170" s="60" t="n">
        <f aca="false">AN170*$C$9/($C$10*$C$8)</f>
        <v>0.0918845243259994</v>
      </c>
      <c r="AQ170" s="60" t="n">
        <f aca="false">CHOOSE($C$7,-(1+AP170),-1,-(1-AP170))</f>
        <v>-0.908115475674001</v>
      </c>
      <c r="AR170" s="60" t="n">
        <f aca="false">CHOOSE($C$7,AO170,AO170-AP170-AP170^2,AO170-3*AP170^2-2*AP170)</f>
        <v>0.00867174802160559</v>
      </c>
      <c r="AS170" s="60" t="n">
        <f aca="false">CHOOSE($C$7,-AO170*AP170,-AO170*AP170,-(AO170*AP170-AP170^2-AP170^3))</f>
        <v>-0.0107910842936637</v>
      </c>
      <c r="AT170" s="60" t="n">
        <f aca="false">AR170-AQ170^2/3</f>
        <v>-0.266219491031267</v>
      </c>
      <c r="AU170" s="60" t="n">
        <f aca="false">2*AQ170^3/27-AQ170*AR170/3+AS170</f>
        <v>-0.0636400988362784</v>
      </c>
      <c r="AV170" s="60" t="n">
        <f aca="false">AU170^2/4+AT170^3/27</f>
        <v>0.000313710901361829</v>
      </c>
      <c r="AW170" s="60" t="n">
        <f aca="false">-AU170/2-IF(AU170&gt;=0,1,-1)*SQRT(MAX(AV170,0))</f>
        <v>0.0495319352963236</v>
      </c>
      <c r="AX170" s="60" t="n">
        <f aca="false">SIGN(AW170)*ABS(AW170)^(1/3)</f>
        <v>0.367249967174439</v>
      </c>
      <c r="AY170" s="60" t="n">
        <f aca="false">IF(AX170=0,0,AX170-AT170/(3*AX170))</f>
        <v>0.60888329127384</v>
      </c>
      <c r="AZ170" s="60" t="n">
        <f aca="false">2*SQRT(MAX(-AT170,0)/3)</f>
        <v>0.595784626668918</v>
      </c>
      <c r="BA170" s="60" t="n">
        <f aca="false">ACOS(IF(AZ170=0,0,MAX(-1,MIN(1,3*AU170/(AT170*AZ170)))))</f>
        <v>0</v>
      </c>
      <c r="BB170" s="60" t="n">
        <f aca="false">AZ170*COS(BA170/3)</f>
        <v>0.595784626668918</v>
      </c>
      <c r="BC170" s="60" t="n">
        <f aca="false">IF(AV170&lt;0,BB170,AY170)-AQ170/3</f>
        <v>0.91158844983184</v>
      </c>
      <c r="BD170" s="60" t="n">
        <f aca="false">IFERROR((((BC170+AQ170)*BC170+AR170)*BC170+AS170)/((3*BC170+2*AQ170)*BC170+AR170),0)</f>
        <v>0</v>
      </c>
      <c r="BE170" s="60" t="n">
        <f aca="false">IF(ABS(BD170)&lt;0.1*ABS(BC170),BC170-BD170,BC170)</f>
        <v>0.91158844983184</v>
      </c>
      <c r="BF170" s="60" t="n">
        <f aca="false">IFERROR((((BE170+AQ170)*BE170+AR170)*BE170+AS170)/((3*BE170+2*AQ170)*BE170+AR170),0)</f>
        <v>0</v>
      </c>
      <c r="BG170" s="60" t="n">
        <f aca="false">IF(ABS(BF170)&lt;0.1*ABS(BE170),BE170-BF170,BE170)</f>
        <v>0.91158844983184</v>
      </c>
      <c r="BH170" s="60" t="n">
        <f aca="false">-AS170/BG170</f>
        <v>0.0118376711504565</v>
      </c>
      <c r="BI170" s="60" t="n">
        <f aca="false">(AR170-BH170)/BG170</f>
        <v>-0.00347297415783941</v>
      </c>
      <c r="BJ170" s="60" t="n">
        <f aca="false">BI170^2-4*BH170</f>
        <v>-0.0473386230523248</v>
      </c>
      <c r="BK170" s="60" t="n">
        <f aca="false">IF(BJ170&gt;=0,(BI170+IF(BI170&gt;=0,1,-1)*SQRT(BJ170))/2,0)</f>
        <v>0</v>
      </c>
      <c r="BL170" s="60" t="n">
        <f aca="false">IF(AND(BJ170&gt;=0,BK170&lt;&gt;0),MIN(BK170,BH170/BK170),-1)</f>
        <v>-1</v>
      </c>
      <c r="BM170" s="60" t="n">
        <f aca="false">AND(BJ170&gt;=0,BL170&gt;AP170,ABS(BG170-BL170)&gt;=0.00005*MAX(BG170,BL170))</f>
        <v>0</v>
      </c>
      <c r="BN170" s="60" t="n">
        <f aca="false">IF(BM170,IFERROR((((BL170+AQ170)*BL170+AR170)*BL170+AS170)/((3*BL170+2*AQ170)*BL170+AR170),0),0)</f>
        <v>0</v>
      </c>
      <c r="BO170" s="60" t="n">
        <f aca="false">IF(ABS(BN170)&lt;0.1*ABS(BL170),BL170-BN170,BL170)</f>
        <v>-1</v>
      </c>
      <c r="BP170" s="60" t="n">
        <f aca="false">IF(BM170,IFERROR((((BO170+AQ170)*BO170+AR170)*BO170+AS170)/((3*BO170+2*AQ170)*BO170+AR170),0),0)</f>
        <v>0</v>
      </c>
      <c r="BQ170" s="60" t="n">
        <f aca="false">IF(ABS(BP170)&lt;0.1*ABS(BO170),BO170-BP170,BO170)</f>
        <v>-1</v>
      </c>
      <c r="BR170" s="60" t="n">
        <f aca="false">IF(BM170,MAX(BG170,BQ170),BG170)</f>
        <v>0.91158844983184</v>
      </c>
      <c r="BS170" s="60" t="n">
        <f aca="false">IF(BM170,MIN(BG170,BQ170),-1)</f>
        <v>-1</v>
      </c>
      <c r="BT170" s="60" t="n">
        <f aca="false">CHOOSE($C$7,AO170/BR170,AO170/AP170*LN(1+AP170/BR170),AO170/(2*SQRT(2)*AP170)*LN((BR170+(1+SQRT(2))*AP170)/(BR170+(1-SQRT(2))*AP170)))</f>
        <v>0.218240791233887</v>
      </c>
      <c r="BU170" s="60" t="n">
        <f aca="false">BR170-1-LN(BR170-AP170)-BT170</f>
        <v>-0.107840271021729</v>
      </c>
      <c r="BV170" s="60" t="n">
        <f aca="false">IF(BM170,CHOOSE($C$7,AO170/BS170,AO170/AP170*LN(1+AP170/BS170),AO170/(2*SQRT(2)*AP170)*LN((BS170+(1+SQRT(2))*AP170)/(BS170+(1-SQRT(2))*AP170))),0)</f>
        <v>0</v>
      </c>
      <c r="BW170" s="60" t="n">
        <f aca="false">IF(BM170,BS170-1-LN(BS170-AP170)-BV170,0)</f>
        <v>0</v>
      </c>
      <c r="BX170" s="60" t="n">
        <f aca="false">AND(BM170,BW170&lt;BU170)</f>
        <v>0</v>
      </c>
      <c r="BY170" s="60" t="n">
        <f aca="false">IF(BX170,BS170,BR170)</f>
        <v>0.91158844983184</v>
      </c>
      <c r="BZ170" s="60" t="n">
        <f aca="false">IF(BX170,BV170,BT170)</f>
        <v>0.218240791233887</v>
      </c>
      <c r="CA170" s="60" t="n">
        <f aca="false">LN(BY170-AP170)</f>
        <v>-0.198812070380318</v>
      </c>
      <c r="CB170" s="60" t="n">
        <f aca="false">$E$27/AN170*(BY170-1)-CA170-BZ170*(2*AA170/AM170-$E$27/AN170)</f>
        <v>-0.107840271021729</v>
      </c>
      <c r="CC170" s="60" t="n">
        <f aca="false">$F$27/AN170*(BY170-1)-CA170-BZ170*(2*AB170/AM170-$F$27/AN170)</f>
        <v>0.198812070380318</v>
      </c>
      <c r="CD170" s="60" t="n">
        <f aca="false">$G$27/AN170*(BY170-1)-CA170-BZ170*(2*AC170/AM170-$G$27/AN170)</f>
        <v>0.198812070380318</v>
      </c>
      <c r="CE170" s="60" t="n">
        <f aca="false">$H$27/AN170*(BY170-1)-CA170-BZ170*(2*AD170/AM170-$H$27/AN170)</f>
        <v>0.198812070380318</v>
      </c>
      <c r="CF170" s="60" t="n">
        <f aca="false">$I$27/AN170*(BY170-1)-CA170-BZ170*(2*AE170/AM170-$I$27/AN170)</f>
        <v>0.198812070380318</v>
      </c>
      <c r="CG170" s="60" t="n">
        <f aca="false">$J$27/AN170*(BY170-1)-CA170-BZ170*(2*AF170/AM170-$J$27/AN170)</f>
        <v>0.198812070380318</v>
      </c>
      <c r="CH170" s="60" t="n">
        <f aca="false">$K$27/AN170*(BY170-1)-CA170-BZ170*(2*AG170/AM170-$K$27/AN170)</f>
        <v>0.198812070380318</v>
      </c>
      <c r="CI170" s="60" t="n">
        <f aca="false">$L$27/AN170*(BY170-1)-CA170-BZ170*(2*AH170/AM170-$L$27/AN170)</f>
        <v>0.198812070380318</v>
      </c>
      <c r="CJ170" s="60" t="n">
        <f aca="false">$M$27/AN170*(BY170-1)-CA170-BZ170*(2*AI170/AM170-$M$27/AN170)</f>
        <v>0.198812070380318</v>
      </c>
      <c r="CK170" s="60" t="n">
        <f aca="false">$N$27/AN170*(BY170-1)-CA170-BZ170*(2*AJ170/AM170-$N$27/AN170)</f>
        <v>0.198812070380318</v>
      </c>
      <c r="CL170" s="60" t="n">
        <f aca="false">$O$27/AN170*(BY170-1)-CA170-BZ170*(2*AK170/AM170-$O$27/AN170)</f>
        <v>0.198812070380318</v>
      </c>
      <c r="CM170" s="60" t="n">
        <f aca="false">$P$27/AN170*(BY170-1)-CA170-BZ170*(2*AL170/AM170-$P$27/AN170)</f>
        <v>0.198812070380318</v>
      </c>
      <c r="CN170" s="60" t="n">
        <f aca="false">AP170/BY170&gt;$C$22</f>
        <v>0</v>
      </c>
      <c r="CO170" s="60" t="n">
        <f aca="false">1-N170+SUMPRODUCT(B170:M170,CB170:CM170)-SUMPRODUCT(B170:M170,CB169:CM169)</f>
        <v>0</v>
      </c>
      <c r="CP170" s="60" t="n">
        <f aca="false">SUMXMY2(O170:Z170,$E$13:$P$13)</f>
        <v>0</v>
      </c>
    </row>
    <row r="171" customFormat="false" ht="15" hidden="false" customHeight="false" outlineLevel="0" collapsed="false">
      <c r="A171" s="59" t="n">
        <v>6</v>
      </c>
      <c r="B171" s="60" t="n">
        <f aca="false">$E$13*EXP(MAX(-700,MIN(700,$E$86-CB170)))</f>
        <v>1</v>
      </c>
      <c r="C171" s="60" t="n">
        <f aca="false">$F$13*EXP(MAX(-700,MIN(700,$F$86-CC170)))</f>
        <v>0</v>
      </c>
      <c r="D171" s="60" t="n">
        <f aca="false">$G$13*EXP(MAX(-700,MIN(700,$G$86-CD170)))</f>
        <v>0</v>
      </c>
      <c r="E171" s="60" t="n">
        <f aca="false">$H$13*EXP(MAX(-700,MIN(700,$H$86-CE170)))</f>
        <v>0</v>
      </c>
      <c r="F171" s="60" t="n">
        <f aca="false">$I$13*EXP(MAX(-700,MIN(700,$I$86-CF170)))</f>
        <v>0</v>
      </c>
      <c r="G171" s="60" t="n">
        <f aca="false">$J$13*EXP(MAX(-700,MIN(700,$J$86-CG170)))</f>
        <v>0</v>
      </c>
      <c r="H171" s="60" t="n">
        <f aca="false">$K$13*EXP(MAX(-700,MIN(700,$K$86-CH170)))</f>
        <v>0</v>
      </c>
      <c r="I171" s="60" t="n">
        <f aca="false">$L$13*EXP(MAX(-700,MIN(700,$L$86-CI170)))</f>
        <v>0</v>
      </c>
      <c r="J171" s="60" t="n">
        <f aca="false">$M$13*EXP(MAX(-700,MIN(700,$M$86-CJ170)))</f>
        <v>0</v>
      </c>
      <c r="K171" s="60" t="n">
        <f aca="false">$N$13*EXP(MAX(-700,MIN(700,$N$86-CK170)))</f>
        <v>0</v>
      </c>
      <c r="L171" s="60" t="n">
        <f aca="false">$O$13*EXP(MAX(-700,MIN(700,$O$86-CL170)))</f>
        <v>0</v>
      </c>
      <c r="M171" s="60" t="n">
        <f aca="false">$P$13*EXP(MAX(-700,MIN(700,$P$86-CM170)))</f>
        <v>0</v>
      </c>
      <c r="N171" s="60" t="n">
        <f aca="false">SUM(B171:M171)</f>
        <v>1</v>
      </c>
      <c r="O171" s="60" t="n">
        <f aca="false">B171/N171</f>
        <v>1</v>
      </c>
      <c r="P171" s="60" t="n">
        <f aca="false">C171/N171</f>
        <v>0</v>
      </c>
      <c r="Q171" s="60" t="n">
        <f aca="false">D171/N171</f>
        <v>0</v>
      </c>
      <c r="R171" s="60" t="n">
        <f aca="false">E171/N171</f>
        <v>0</v>
      </c>
      <c r="S171" s="60" t="n">
        <f aca="false">F171/N171</f>
        <v>0</v>
      </c>
      <c r="T171" s="60" t="n">
        <f aca="false">G171/N171</f>
        <v>0</v>
      </c>
      <c r="U171" s="60" t="n">
        <f aca="false">H171/N171</f>
        <v>0</v>
      </c>
      <c r="V171" s="60" t="n">
        <f aca="false">I171/N171</f>
        <v>0</v>
      </c>
      <c r="W171" s="60" t="n">
        <f aca="false">J171/N171</f>
        <v>0</v>
      </c>
      <c r="X171" s="60" t="n">
        <f aca="false">K171/N171</f>
        <v>0</v>
      </c>
      <c r="Y171" s="60" t="n">
        <f aca="false">L171/N171</f>
        <v>0</v>
      </c>
      <c r="Z171" s="60" t="n">
        <f aca="false">M171/N171</f>
        <v>0</v>
      </c>
      <c r="AA171" s="60" t="n">
        <f aca="false">$E$28*SUMPRODUCT($E$31:$P$31,O171:Z171,$E$28:$P$28)</f>
        <v>0.184416866619846</v>
      </c>
      <c r="AB171" s="60" t="n">
        <f aca="false">$F$28*SUMPRODUCT($E$32:$P$32,O171:Z171,$E$28:$P$28)</f>
        <v>0</v>
      </c>
      <c r="AC171" s="60" t="n">
        <f aca="false">$G$28*SUMPRODUCT($E$33:$P$33,O171:Z171,$E$28:$P$28)</f>
        <v>0</v>
      </c>
      <c r="AD171" s="60" t="n">
        <f aca="false">$H$28*SUMPRODUCT($E$34:$P$34,O171:Z171,$E$28:$P$28)</f>
        <v>0</v>
      </c>
      <c r="AE171" s="60" t="n">
        <f aca="false">$I$28*SUMPRODUCT($E$35:$P$35,O171:Z171,$E$28:$P$28)</f>
        <v>0</v>
      </c>
      <c r="AF171" s="60" t="n">
        <f aca="false">$J$28*SUMPRODUCT($E$36:$P$36,O171:Z171,$E$28:$P$28)</f>
        <v>0</v>
      </c>
      <c r="AG171" s="60" t="n">
        <f aca="false">$K$28*SUMPRODUCT($E$37:$P$37,O171:Z171,$E$28:$P$28)</f>
        <v>0</v>
      </c>
      <c r="AH171" s="60" t="n">
        <f aca="false">$L$28*SUMPRODUCT($E$38:$P$38,O171:Z171,$E$28:$P$28)</f>
        <v>0</v>
      </c>
      <c r="AI171" s="60" t="n">
        <f aca="false">$M$28*SUMPRODUCT($E$39:$P$39,O171:Z171,$E$28:$P$28)</f>
        <v>0</v>
      </c>
      <c r="AJ171" s="60" t="n">
        <f aca="false">$N$28*SUMPRODUCT($E$40:$P$40,O171:Z171,$E$28:$P$28)</f>
        <v>0</v>
      </c>
      <c r="AK171" s="60" t="n">
        <f aca="false">$O$28*SUMPRODUCT($E$41:$P$41,O171:Z171,$E$28:$P$28)</f>
        <v>0</v>
      </c>
      <c r="AL171" s="60" t="n">
        <f aca="false">$P$28*SUMPRODUCT($E$42:$P$42,O171:Z171,$E$28:$P$28)</f>
        <v>0</v>
      </c>
      <c r="AM171" s="60" t="n">
        <f aca="false">SUMPRODUCT(O171:Z171,AA171:AL171)</f>
        <v>0.184416866619846</v>
      </c>
      <c r="AN171" s="60" t="n">
        <f aca="false">SUMPRODUCT(O171:Z171,$E$27:$P$27)</f>
        <v>2.67389635063809E-005</v>
      </c>
      <c r="AO171" s="60" t="n">
        <f aca="false">AM171*$C$9/($C$10*$C$8)^2</f>
        <v>0.21776909410545</v>
      </c>
      <c r="AP171" s="60" t="n">
        <f aca="false">AN171*$C$9/($C$10*$C$8)</f>
        <v>0.0918845243259994</v>
      </c>
      <c r="AQ171" s="60" t="n">
        <f aca="false">CHOOSE($C$7,-(1+AP171),-1,-(1-AP171))</f>
        <v>-0.908115475674001</v>
      </c>
      <c r="AR171" s="60" t="n">
        <f aca="false">CHOOSE($C$7,AO171,AO171-AP171-AP171^2,AO171-3*AP171^2-2*AP171)</f>
        <v>0.00867174802160559</v>
      </c>
      <c r="AS171" s="60" t="n">
        <f aca="false">CHOOSE($C$7,-AO171*AP171,-AO171*AP171,-(AO171*AP171-AP171^2-AP171^3))</f>
        <v>-0.0107910842936637</v>
      </c>
      <c r="AT171" s="60" t="n">
        <f aca="false">AR171-AQ171^2/3</f>
        <v>-0.266219491031267</v>
      </c>
      <c r="AU171" s="60" t="n">
        <f aca="false">2*AQ171^3/27-AQ171*AR171/3+AS171</f>
        <v>-0.0636400988362784</v>
      </c>
      <c r="AV171" s="60" t="n">
        <f aca="false">AU171^2/4+AT171^3/27</f>
        <v>0.000313710901361829</v>
      </c>
      <c r="AW171" s="60" t="n">
        <f aca="false">-AU171/2-IF(AU171&gt;=0,1,-1)*SQRT(MAX(AV171,0))</f>
        <v>0.0495319352963236</v>
      </c>
      <c r="AX171" s="60" t="n">
        <f aca="false">SIGN(AW171)*ABS(AW171)^(1/3)</f>
        <v>0.367249967174439</v>
      </c>
      <c r="AY171" s="60" t="n">
        <f aca="false">IF(AX171=0,0,AX171-AT171/(3*AX171))</f>
        <v>0.60888329127384</v>
      </c>
      <c r="AZ171" s="60" t="n">
        <f aca="false">2*SQRT(MAX(-AT171,0)/3)</f>
        <v>0.595784626668918</v>
      </c>
      <c r="BA171" s="60" t="n">
        <f aca="false">ACOS(IF(AZ171=0,0,MAX(-1,MIN(1,3*AU171/(AT171*AZ171)))))</f>
        <v>0</v>
      </c>
      <c r="BB171" s="60" t="n">
        <f aca="false">AZ171*COS(BA171/3)</f>
        <v>0.595784626668918</v>
      </c>
      <c r="BC171" s="60" t="n">
        <f aca="false">IF(AV171&lt;0,BB171,AY171)-AQ171/3</f>
        <v>0.91158844983184</v>
      </c>
      <c r="BD171" s="60" t="n">
        <f aca="false">IFERROR((((BC171+AQ171)*BC171+AR171)*BC171+AS171)/((3*BC171+2*AQ171)*BC171+AR171),0)</f>
        <v>0</v>
      </c>
      <c r="BE171" s="60" t="n">
        <f aca="false">IF(ABS(BD171)&lt;0.1*ABS(BC171),BC171-BD171,BC171)</f>
        <v>0.91158844983184</v>
      </c>
      <c r="BF171" s="60" t="n">
        <f aca="false">IFERROR((((BE171+AQ171)*BE171+AR171)*BE171+AS171)/((3*BE171+2*AQ171)*BE171+AR171),0)</f>
        <v>0</v>
      </c>
      <c r="BG171" s="60" t="n">
        <f aca="false">IF(ABS(BF171)&lt;0.1*ABS(BE171),BE171-BF171,BE171)</f>
        <v>0.91158844983184</v>
      </c>
      <c r="BH171" s="60" t="n">
        <f aca="false">-AS171/BG171</f>
        <v>0.0118376711504565</v>
      </c>
      <c r="BI171" s="60" t="n">
        <f aca="false">(AR171-BH171)/BG171</f>
        <v>-0.00347297415783941</v>
      </c>
      <c r="BJ171" s="60" t="n">
        <f aca="false">BI171^2-4*BH171</f>
        <v>-0.0473386230523248</v>
      </c>
      <c r="BK171" s="60" t="n">
        <f aca="false">IF(BJ171&gt;=0,(BI171+IF(BI171&gt;=0,1,-1)*SQRT(BJ171))/2,0)</f>
        <v>0</v>
      </c>
      <c r="BL171" s="60" t="n">
        <f aca="false">IF(AND(BJ171&gt;=0,BK171&lt;&gt;0),MIN(BK171,BH171/BK171),-1)</f>
        <v>-1</v>
      </c>
      <c r="BM171" s="60" t="n">
        <f aca="false">AND(BJ171&gt;=0,BL171&gt;AP171,ABS(BG171-BL171)&gt;=0.00005*MAX(BG171,BL171))</f>
        <v>0</v>
      </c>
      <c r="BN171" s="60" t="n">
        <f aca="false">IF(BM171,IFERROR((((BL171+AQ171)*BL171+AR171)*BL171+AS171)/((3*BL171+2*AQ171)*BL171+AR171),0),0)</f>
        <v>0</v>
      </c>
      <c r="BO171" s="60" t="n">
        <f aca="false">IF(ABS(BN171)&lt;0.1*ABS(BL171),BL171-BN171,BL171)</f>
        <v>-1</v>
      </c>
      <c r="BP171" s="60" t="n">
        <f aca="false">IF(BM171,IFERROR((((BO171+AQ171)*BO171+AR171)*BO171+AS171)/((3*BO171+2*AQ171)*BO171+AR171),0),0)</f>
        <v>0</v>
      </c>
      <c r="BQ171" s="60" t="n">
        <f aca="false">IF(ABS(BP171)&lt;0.1*ABS(BO171),BO171-BP171,BO171)</f>
        <v>-1</v>
      </c>
      <c r="BR171" s="60" t="n">
        <f aca="false">IF(BM171,MAX(BG171,BQ171),BG171)</f>
        <v>0.91158844983184</v>
      </c>
      <c r="BS171" s="60" t="n">
        <f aca="false">IF(BM171,MIN(BG171,BQ171),-1)</f>
        <v>-1</v>
      </c>
      <c r="BT171" s="60" t="n">
        <f aca="false">CHOOSE($C$7,AO171/BR171,AO171/AP171*LN(1+AP171/BR171),AO171/(2*SQRT(2)*AP171)*LN((BR171+(1+SQRT(2))*AP171)/(BR171+(1-SQRT(2))*AP171)))</f>
        <v>0.218240791233887</v>
      </c>
      <c r="BU171" s="60" t="n">
        <f aca="false">BR171-1-LN(BR171-AP171)-BT171</f>
        <v>-0.107840271021729</v>
      </c>
      <c r="BV171" s="60" t="n">
        <f aca="false">IF(BM171,CHOOSE($C$7,AO171/BS171,AO171/AP171*LN(1+AP171/BS171),AO171/(2*SQRT(2)*AP171)*LN((BS171+(1+SQRT(2))*AP171)/(BS171+(1-SQRT(2))*AP171))),0)</f>
        <v>0</v>
      </c>
      <c r="BW171" s="60" t="n">
        <f aca="false">IF(BM171,BS171-1-LN(BS171-AP171)-BV171,0)</f>
        <v>0</v>
      </c>
      <c r="BX171" s="60" t="n">
        <f aca="false">AND(BM171,BW171&lt;BU171)</f>
        <v>0</v>
      </c>
      <c r="BY171" s="60" t="n">
        <f aca="false">IF(BX171,BS171,BR171)</f>
        <v>0.91158844983184</v>
      </c>
      <c r="BZ171" s="60" t="n">
        <f aca="false">IF(BX171,BV171,BT171)</f>
        <v>0.218240791233887</v>
      </c>
      <c r="CA171" s="60" t="n">
        <f aca="false">LN(BY171-AP171)</f>
        <v>-0.198812070380318</v>
      </c>
      <c r="CB171" s="60" t="n">
        <f aca="false">$E$27/AN171*(BY171-1)-CA171-BZ171*(2*AA171/AM171-$E$27/AN171)</f>
        <v>-0.107840271021729</v>
      </c>
      <c r="CC171" s="60" t="n">
        <f aca="false">$F$27/AN171*(BY171-1)-CA171-BZ171*(2*AB171/AM171-$F$27/AN171)</f>
        <v>0.198812070380318</v>
      </c>
      <c r="CD171" s="60" t="n">
        <f aca="false">$G$27/AN171*(BY171-1)-CA171-BZ171*(2*AC171/AM171-$G$27/AN171)</f>
        <v>0.198812070380318</v>
      </c>
      <c r="CE171" s="60" t="n">
        <f aca="false">$H$27/AN171*(BY171-1)-CA171-BZ171*(2*AD171/AM171-$H$27/AN171)</f>
        <v>0.198812070380318</v>
      </c>
      <c r="CF171" s="60" t="n">
        <f aca="false">$I$27/AN171*(BY171-1)-CA171-BZ171*(2*AE171/AM171-$I$27/AN171)</f>
        <v>0.198812070380318</v>
      </c>
      <c r="CG171" s="60" t="n">
        <f aca="false">$J$27/AN171*(BY171-1)-CA171-BZ171*(2*AF171/AM171-$J$27/AN171)</f>
        <v>0.198812070380318</v>
      </c>
      <c r="CH171" s="60" t="n">
        <f aca="false">$K$27/AN171*(BY171-1)-CA171-BZ171*(2*AG171/AM171-$K$27/AN171)</f>
        <v>0.198812070380318</v>
      </c>
      <c r="CI171" s="60" t="n">
        <f aca="false">$L$27/AN171*(BY171-1)-CA171-BZ171*(2*AH171/AM171-$L$27/AN171)</f>
        <v>0.198812070380318</v>
      </c>
      <c r="CJ171" s="60" t="n">
        <f aca="false">$M$27/AN171*(BY171-1)-CA171-BZ171*(2*AI171/AM171-$M$27/AN171)</f>
        <v>0.198812070380318</v>
      </c>
      <c r="CK171" s="60" t="n">
        <f aca="false">$N$27/AN171*(BY171-1)-CA171-BZ171*(2*AJ171/AM171-$N$27/AN171)</f>
        <v>0.198812070380318</v>
      </c>
      <c r="CL171" s="60" t="n">
        <f aca="false">$O$27/AN171*(BY171-1)-CA171-BZ171*(2*AK171/AM171-$O$27/AN171)</f>
        <v>0.198812070380318</v>
      </c>
      <c r="CM171" s="60" t="n">
        <f aca="false">$P$27/AN171*(BY171-1)-CA171-BZ171*(2*AL171/AM171-$P$27/AN171)</f>
        <v>0.198812070380318</v>
      </c>
      <c r="CN171" s="60" t="n">
        <f aca="false">AP171/BY171&gt;$C$22</f>
        <v>0</v>
      </c>
      <c r="CO171" s="60" t="n">
        <f aca="false">1-N171+SUMPRODUCT(B171:M171,CB171:CM171)-SUMPRODUCT(B171:M171,CB170:CM170)</f>
        <v>0</v>
      </c>
      <c r="CP171" s="60" t="n">
        <f aca="false">SUMXMY2(O171:Z171,$E$13:$P$13)</f>
        <v>0</v>
      </c>
    </row>
    <row r="172" customFormat="false" ht="15" hidden="false" customHeight="false" outlineLevel="0" collapsed="false">
      <c r="A172" s="59" t="n">
        <v>7</v>
      </c>
      <c r="B172" s="60" t="n">
        <f aca="false">$E$13*EXP(MAX(-700,MIN(700,$E$86-CB171)))</f>
        <v>1</v>
      </c>
      <c r="C172" s="60" t="n">
        <f aca="false">$F$13*EXP(MAX(-700,MIN(700,$F$86-CC171)))</f>
        <v>0</v>
      </c>
      <c r="D172" s="60" t="n">
        <f aca="false">$G$13*EXP(MAX(-700,MIN(700,$G$86-CD171)))</f>
        <v>0</v>
      </c>
      <c r="E172" s="60" t="n">
        <f aca="false">$H$13*EXP(MAX(-700,MIN(700,$H$86-CE171)))</f>
        <v>0</v>
      </c>
      <c r="F172" s="60" t="n">
        <f aca="false">$I$13*EXP(MAX(-700,MIN(700,$I$86-CF171)))</f>
        <v>0</v>
      </c>
      <c r="G172" s="60" t="n">
        <f aca="false">$J$13*EXP(MAX(-700,MIN(700,$J$86-CG171)))</f>
        <v>0</v>
      </c>
      <c r="H172" s="60" t="n">
        <f aca="false">$K$13*EXP(MAX(-700,MIN(700,$K$86-CH171)))</f>
        <v>0</v>
      </c>
      <c r="I172" s="60" t="n">
        <f aca="false">$L$13*EXP(MAX(-700,MIN(700,$L$86-CI171)))</f>
        <v>0</v>
      </c>
      <c r="J172" s="60" t="n">
        <f aca="false">$M$13*EXP(MAX(-700,MIN(700,$M$86-CJ171)))</f>
        <v>0</v>
      </c>
      <c r="K172" s="60" t="n">
        <f aca="false">$N$13*EXP(MAX(-700,MIN(700,$N$86-CK171)))</f>
        <v>0</v>
      </c>
      <c r="L172" s="60" t="n">
        <f aca="false">$O$13*EXP(MAX(-700,MIN(700,$O$86-CL171)))</f>
        <v>0</v>
      </c>
      <c r="M172" s="60" t="n">
        <f aca="false">$P$13*EXP(MAX(-700,MIN(700,$P$86-CM171)))</f>
        <v>0</v>
      </c>
      <c r="N172" s="60" t="n">
        <f aca="false">SUM(B172:M172)</f>
        <v>1</v>
      </c>
      <c r="O172" s="60" t="n">
        <f aca="false">B172/N172</f>
        <v>1</v>
      </c>
      <c r="P172" s="60" t="n">
        <f aca="false">C172/N172</f>
        <v>0</v>
      </c>
      <c r="Q172" s="60" t="n">
        <f aca="false">D172/N172</f>
        <v>0</v>
      </c>
      <c r="R172" s="60" t="n">
        <f aca="false">E172/N172</f>
        <v>0</v>
      </c>
      <c r="S172" s="60" t="n">
        <f aca="false">F172/N172</f>
        <v>0</v>
      </c>
      <c r="T172" s="60" t="n">
        <f aca="false">G172/N172</f>
        <v>0</v>
      </c>
      <c r="U172" s="60" t="n">
        <f aca="false">H172/N172</f>
        <v>0</v>
      </c>
      <c r="V172" s="60" t="n">
        <f aca="false">I172/N172</f>
        <v>0</v>
      </c>
      <c r="W172" s="60" t="n">
        <f aca="false">J172/N172</f>
        <v>0</v>
      </c>
      <c r="X172" s="60" t="n">
        <f aca="false">K172/N172</f>
        <v>0</v>
      </c>
      <c r="Y172" s="60" t="n">
        <f aca="false">L172/N172</f>
        <v>0</v>
      </c>
      <c r="Z172" s="60" t="n">
        <f aca="false">M172/N172</f>
        <v>0</v>
      </c>
      <c r="AA172" s="60" t="n">
        <f aca="false">$E$28*SUMPRODUCT($E$31:$P$31,O172:Z172,$E$28:$P$28)</f>
        <v>0.184416866619846</v>
      </c>
      <c r="AB172" s="60" t="n">
        <f aca="false">$F$28*SUMPRODUCT($E$32:$P$32,O172:Z172,$E$28:$P$28)</f>
        <v>0</v>
      </c>
      <c r="AC172" s="60" t="n">
        <f aca="false">$G$28*SUMPRODUCT($E$33:$P$33,O172:Z172,$E$28:$P$28)</f>
        <v>0</v>
      </c>
      <c r="AD172" s="60" t="n">
        <f aca="false">$H$28*SUMPRODUCT($E$34:$P$34,O172:Z172,$E$28:$P$28)</f>
        <v>0</v>
      </c>
      <c r="AE172" s="60" t="n">
        <f aca="false">$I$28*SUMPRODUCT($E$35:$P$35,O172:Z172,$E$28:$P$28)</f>
        <v>0</v>
      </c>
      <c r="AF172" s="60" t="n">
        <f aca="false">$J$28*SUMPRODUCT($E$36:$P$36,O172:Z172,$E$28:$P$28)</f>
        <v>0</v>
      </c>
      <c r="AG172" s="60" t="n">
        <f aca="false">$K$28*SUMPRODUCT($E$37:$P$37,O172:Z172,$E$28:$P$28)</f>
        <v>0</v>
      </c>
      <c r="AH172" s="60" t="n">
        <f aca="false">$L$28*SUMPRODUCT($E$38:$P$38,O172:Z172,$E$28:$P$28)</f>
        <v>0</v>
      </c>
      <c r="AI172" s="60" t="n">
        <f aca="false">$M$28*SUMPRODUCT($E$39:$P$39,O172:Z172,$E$28:$P$28)</f>
        <v>0</v>
      </c>
      <c r="AJ172" s="60" t="n">
        <f aca="false">$N$28*SUMPRODUCT($E$40:$P$40,O172:Z172,$E$28:$P$28)</f>
        <v>0</v>
      </c>
      <c r="AK172" s="60" t="n">
        <f aca="false">$O$28*SUMPRODUCT($E$41:$P$41,O172:Z172,$E$28:$P$28)</f>
        <v>0</v>
      </c>
      <c r="AL172" s="60" t="n">
        <f aca="false">$P$28*SUMPRODUCT($E$42:$P$42,O172:Z172,$E$28:$P$28)</f>
        <v>0</v>
      </c>
      <c r="AM172" s="60" t="n">
        <f aca="false">SUMPRODUCT(O172:Z172,AA172:AL172)</f>
        <v>0.184416866619846</v>
      </c>
      <c r="AN172" s="60" t="n">
        <f aca="false">SUMPRODUCT(O172:Z172,$E$27:$P$27)</f>
        <v>2.67389635063809E-005</v>
      </c>
      <c r="AO172" s="60" t="n">
        <f aca="false">AM172*$C$9/($C$10*$C$8)^2</f>
        <v>0.21776909410545</v>
      </c>
      <c r="AP172" s="60" t="n">
        <f aca="false">AN172*$C$9/($C$10*$C$8)</f>
        <v>0.0918845243259994</v>
      </c>
      <c r="AQ172" s="60" t="n">
        <f aca="false">CHOOSE($C$7,-(1+AP172),-1,-(1-AP172))</f>
        <v>-0.908115475674001</v>
      </c>
      <c r="AR172" s="60" t="n">
        <f aca="false">CHOOSE($C$7,AO172,AO172-AP172-AP172^2,AO172-3*AP172^2-2*AP172)</f>
        <v>0.00867174802160559</v>
      </c>
      <c r="AS172" s="60" t="n">
        <f aca="false">CHOOSE($C$7,-AO172*AP172,-AO172*AP172,-(AO172*AP172-AP172^2-AP172^3))</f>
        <v>-0.0107910842936637</v>
      </c>
      <c r="AT172" s="60" t="n">
        <f aca="false">AR172-AQ172^2/3</f>
        <v>-0.266219491031267</v>
      </c>
      <c r="AU172" s="60" t="n">
        <f aca="false">2*AQ172^3/27-AQ172*AR172/3+AS172</f>
        <v>-0.0636400988362784</v>
      </c>
      <c r="AV172" s="60" t="n">
        <f aca="false">AU172^2/4+AT172^3/27</f>
        <v>0.000313710901361829</v>
      </c>
      <c r="AW172" s="60" t="n">
        <f aca="false">-AU172/2-IF(AU172&gt;=0,1,-1)*SQRT(MAX(AV172,0))</f>
        <v>0.0495319352963236</v>
      </c>
      <c r="AX172" s="60" t="n">
        <f aca="false">SIGN(AW172)*ABS(AW172)^(1/3)</f>
        <v>0.367249967174439</v>
      </c>
      <c r="AY172" s="60" t="n">
        <f aca="false">IF(AX172=0,0,AX172-AT172/(3*AX172))</f>
        <v>0.60888329127384</v>
      </c>
      <c r="AZ172" s="60" t="n">
        <f aca="false">2*SQRT(MAX(-AT172,0)/3)</f>
        <v>0.595784626668918</v>
      </c>
      <c r="BA172" s="60" t="n">
        <f aca="false">ACOS(IF(AZ172=0,0,MAX(-1,MIN(1,3*AU172/(AT172*AZ172)))))</f>
        <v>0</v>
      </c>
      <c r="BB172" s="60" t="n">
        <f aca="false">AZ172*COS(BA172/3)</f>
        <v>0.595784626668918</v>
      </c>
      <c r="BC172" s="60" t="n">
        <f aca="false">IF(AV172&lt;0,BB172,AY172)-AQ172/3</f>
        <v>0.91158844983184</v>
      </c>
      <c r="BD172" s="60" t="n">
        <f aca="false">IFERROR((((BC172+AQ172)*BC172+AR172)*BC172+AS172)/((3*BC172+2*AQ172)*BC172+AR172),0)</f>
        <v>0</v>
      </c>
      <c r="BE172" s="60" t="n">
        <f aca="false">IF(ABS(BD172)&lt;0.1*ABS(BC172),BC172-BD172,BC172)</f>
        <v>0.91158844983184</v>
      </c>
      <c r="BF172" s="60" t="n">
        <f aca="false">IFERROR((((BE172+AQ172)*BE172+AR172)*BE172+AS172)/((3*BE172+2*AQ172)*BE172+AR172),0)</f>
        <v>0</v>
      </c>
      <c r="BG172" s="60" t="n">
        <f aca="false">IF(ABS(BF172)&lt;0.1*ABS(BE172),BE172-BF172,BE172)</f>
        <v>0.91158844983184</v>
      </c>
      <c r="BH172" s="60" t="n">
        <f aca="false">-AS172/BG172</f>
        <v>0.0118376711504565</v>
      </c>
      <c r="BI172" s="60" t="n">
        <f aca="false">(AR172-BH172)/BG172</f>
        <v>-0.00347297415783941</v>
      </c>
      <c r="BJ172" s="60" t="n">
        <f aca="false">BI172^2-4*BH172</f>
        <v>-0.0473386230523248</v>
      </c>
      <c r="BK172" s="60" t="n">
        <f aca="false">IF(BJ172&gt;=0,(BI172+IF(BI172&gt;=0,1,-1)*SQRT(BJ172))/2,0)</f>
        <v>0</v>
      </c>
      <c r="BL172" s="60" t="n">
        <f aca="false">IF(AND(BJ172&gt;=0,BK172&lt;&gt;0),MIN(BK172,BH172/BK172),-1)</f>
        <v>-1</v>
      </c>
      <c r="BM172" s="60" t="n">
        <f aca="false">AND(BJ172&gt;=0,BL172&gt;AP172,ABS(BG172-BL172)&gt;=0.00005*MAX(BG172,BL172))</f>
        <v>0</v>
      </c>
      <c r="BN172" s="60" t="n">
        <f aca="false">IF(BM172,IFERROR((((BL172+AQ172)*BL172+AR172)*BL172+AS172)/((3*BL172+2*AQ172)*BL172+AR172),0),0)</f>
        <v>0</v>
      </c>
      <c r="BO172" s="60" t="n">
        <f aca="false">IF(ABS(BN172)&lt;0.1*ABS(BL172),BL172-BN172,BL172)</f>
        <v>-1</v>
      </c>
      <c r="BP172" s="60" t="n">
        <f aca="false">IF(BM172,IFERROR((((BO172+AQ172)*BO172+AR172)*BO172+AS172)/((3*BO172+2*AQ172)*BO172+AR172),0),0)</f>
        <v>0</v>
      </c>
      <c r="BQ172" s="60" t="n">
        <f aca="false">IF(ABS(BP172)&lt;0.1*ABS(BO172),BO172-BP172,BO172)</f>
        <v>-1</v>
      </c>
      <c r="BR172" s="60" t="n">
        <f aca="false">IF(BM172,MAX(BG172,BQ172),BG172)</f>
        <v>0.91158844983184</v>
      </c>
      <c r="BS172" s="60" t="n">
        <f aca="false">IF(BM172,MIN(BG172,BQ172),-1)</f>
        <v>-1</v>
      </c>
      <c r="BT172" s="60" t="n">
        <f aca="false">CHOOSE($C$7,AO172/BR172,AO172/AP172*LN(1+AP172/BR172),AO172/(2*SQRT(2)*AP172)*LN((BR172+(1+SQRT(2))*AP172)/(BR172+(1-SQRT(2))*AP172)))</f>
        <v>0.218240791233887</v>
      </c>
      <c r="BU172" s="60" t="n">
        <f aca="false">BR172-1-LN(BR172-AP172)-BT172</f>
        <v>-0.107840271021729</v>
      </c>
      <c r="BV172" s="60" t="n">
        <f aca="false">IF(BM172,CHOOSE($C$7,AO172/BS172,AO172/AP172*LN(1+AP172/BS172),AO172/(2*SQRT(2)*AP172)*LN((BS172+(1+SQRT(2))*AP172)/(BS172+(1-SQRT(2))*AP172))),0)</f>
        <v>0</v>
      </c>
      <c r="BW172" s="60" t="n">
        <f aca="false">IF(BM172,BS172-1-LN(BS172-AP172)-BV172,0)</f>
        <v>0</v>
      </c>
      <c r="BX172" s="60" t="n">
        <f aca="false">AND(BM172,BW172&lt;BU172)</f>
        <v>0</v>
      </c>
      <c r="BY172" s="60" t="n">
        <f aca="false">IF(BX172,BS172,BR172)</f>
        <v>0.91158844983184</v>
      </c>
      <c r="BZ172" s="60" t="n">
        <f aca="false">IF(BX172,BV172,BT172)</f>
        <v>0.218240791233887</v>
      </c>
      <c r="CA172" s="60" t="n">
        <f aca="false">LN(BY172-AP172)</f>
        <v>-0.198812070380318</v>
      </c>
      <c r="CB172" s="60" t="n">
        <f aca="false">$E$27/AN172*(BY172-1)-CA172-BZ172*(2*AA172/AM172-$E$27/AN172)</f>
        <v>-0.107840271021729</v>
      </c>
      <c r="CC172" s="60" t="n">
        <f aca="false">$F$27/AN172*(BY172-1)-CA172-BZ172*(2*AB172/AM172-$F$27/AN172)</f>
        <v>0.198812070380318</v>
      </c>
      <c r="CD172" s="60" t="n">
        <f aca="false">$G$27/AN172*(BY172-1)-CA172-BZ172*(2*AC172/AM172-$G$27/AN172)</f>
        <v>0.198812070380318</v>
      </c>
      <c r="CE172" s="60" t="n">
        <f aca="false">$H$27/AN172*(BY172-1)-CA172-BZ172*(2*AD172/AM172-$H$27/AN172)</f>
        <v>0.198812070380318</v>
      </c>
      <c r="CF172" s="60" t="n">
        <f aca="false">$I$27/AN172*(BY172-1)-CA172-BZ172*(2*AE172/AM172-$I$27/AN172)</f>
        <v>0.198812070380318</v>
      </c>
      <c r="CG172" s="60" t="n">
        <f aca="false">$J$27/AN172*(BY172-1)-CA172-BZ172*(2*AF172/AM172-$J$27/AN172)</f>
        <v>0.198812070380318</v>
      </c>
      <c r="CH172" s="60" t="n">
        <f aca="false">$K$27/AN172*(BY172-1)-CA172-BZ172*(2*AG172/AM172-$K$27/AN172)</f>
        <v>0.198812070380318</v>
      </c>
      <c r="CI172" s="60" t="n">
        <f aca="false">$L$27/AN172*(BY172-1)-CA172-BZ172*(2*AH172/AM172-$L$27/AN172)</f>
        <v>0.198812070380318</v>
      </c>
      <c r="CJ172" s="60" t="n">
        <f aca="false">$M$27/AN172*(BY172-1)-CA172-BZ172*(2*AI172/AM172-$M$27/AN172)</f>
        <v>0.198812070380318</v>
      </c>
      <c r="CK172" s="60" t="n">
        <f aca="false">$N$27/AN172*(BY172-1)-CA172-BZ172*(2*AJ172/AM172-$N$27/AN172)</f>
        <v>0.198812070380318</v>
      </c>
      <c r="CL172" s="60" t="n">
        <f aca="false">$O$27/AN172*(BY172-1)-CA172-BZ172*(2*AK172/AM172-$O$27/AN172)</f>
        <v>0.198812070380318</v>
      </c>
      <c r="CM172" s="60" t="n">
        <f aca="false">$P$27/AN172*(BY172-1)-CA172-BZ172*(2*AL172/AM172-$P$27/AN172)</f>
        <v>0.198812070380318</v>
      </c>
      <c r="CN172" s="60" t="n">
        <f aca="false">AP172/BY172&gt;$C$22</f>
        <v>0</v>
      </c>
      <c r="CO172" s="60" t="n">
        <f aca="false">1-N172+SUMPRODUCT(B172:M172,CB172:CM172)-SUMPRODUCT(B172:M172,CB171:CM171)</f>
        <v>0</v>
      </c>
      <c r="CP172" s="60" t="n">
        <f aca="false">SUMXMY2(O172:Z172,$E$13:$P$13)</f>
        <v>0</v>
      </c>
    </row>
    <row r="173" customFormat="false" ht="15" hidden="false" customHeight="false" outlineLevel="0" collapsed="false">
      <c r="A173" s="59" t="n">
        <v>8</v>
      </c>
      <c r="B173" s="60" t="n">
        <f aca="false">$E$13*EXP(MAX(-700,MIN(700,$E$86-CB172)))</f>
        <v>1</v>
      </c>
      <c r="C173" s="60" t="n">
        <f aca="false">$F$13*EXP(MAX(-700,MIN(700,$F$86-CC172)))</f>
        <v>0</v>
      </c>
      <c r="D173" s="60" t="n">
        <f aca="false">$G$13*EXP(MAX(-700,MIN(700,$G$86-CD172)))</f>
        <v>0</v>
      </c>
      <c r="E173" s="60" t="n">
        <f aca="false">$H$13*EXP(MAX(-700,MIN(700,$H$86-CE172)))</f>
        <v>0</v>
      </c>
      <c r="F173" s="60" t="n">
        <f aca="false">$I$13*EXP(MAX(-700,MIN(700,$I$86-CF172)))</f>
        <v>0</v>
      </c>
      <c r="G173" s="60" t="n">
        <f aca="false">$J$13*EXP(MAX(-700,MIN(700,$J$86-CG172)))</f>
        <v>0</v>
      </c>
      <c r="H173" s="60" t="n">
        <f aca="false">$K$13*EXP(MAX(-700,MIN(700,$K$86-CH172)))</f>
        <v>0</v>
      </c>
      <c r="I173" s="60" t="n">
        <f aca="false">$L$13*EXP(MAX(-700,MIN(700,$L$86-CI172)))</f>
        <v>0</v>
      </c>
      <c r="J173" s="60" t="n">
        <f aca="false">$M$13*EXP(MAX(-700,MIN(700,$M$86-CJ172)))</f>
        <v>0</v>
      </c>
      <c r="K173" s="60" t="n">
        <f aca="false">$N$13*EXP(MAX(-700,MIN(700,$N$86-CK172)))</f>
        <v>0</v>
      </c>
      <c r="L173" s="60" t="n">
        <f aca="false">$O$13*EXP(MAX(-700,MIN(700,$O$86-CL172)))</f>
        <v>0</v>
      </c>
      <c r="M173" s="60" t="n">
        <f aca="false">$P$13*EXP(MAX(-700,MIN(700,$P$86-CM172)))</f>
        <v>0</v>
      </c>
      <c r="N173" s="60" t="n">
        <f aca="false">SUM(B173:M173)</f>
        <v>1</v>
      </c>
      <c r="O173" s="60" t="n">
        <f aca="false">B173/N173</f>
        <v>1</v>
      </c>
      <c r="P173" s="60" t="n">
        <f aca="false">C173/N173</f>
        <v>0</v>
      </c>
      <c r="Q173" s="60" t="n">
        <f aca="false">D173/N173</f>
        <v>0</v>
      </c>
      <c r="R173" s="60" t="n">
        <f aca="false">E173/N173</f>
        <v>0</v>
      </c>
      <c r="S173" s="60" t="n">
        <f aca="false">F173/N173</f>
        <v>0</v>
      </c>
      <c r="T173" s="60" t="n">
        <f aca="false">G173/N173</f>
        <v>0</v>
      </c>
      <c r="U173" s="60" t="n">
        <f aca="false">H173/N173</f>
        <v>0</v>
      </c>
      <c r="V173" s="60" t="n">
        <f aca="false">I173/N173</f>
        <v>0</v>
      </c>
      <c r="W173" s="60" t="n">
        <f aca="false">J173/N173</f>
        <v>0</v>
      </c>
      <c r="X173" s="60" t="n">
        <f aca="false">K173/N173</f>
        <v>0</v>
      </c>
      <c r="Y173" s="60" t="n">
        <f aca="false">L173/N173</f>
        <v>0</v>
      </c>
      <c r="Z173" s="60" t="n">
        <f aca="false">M173/N173</f>
        <v>0</v>
      </c>
      <c r="AA173" s="60" t="n">
        <f aca="false">$E$28*SUMPRODUCT($E$31:$P$31,O173:Z173,$E$28:$P$28)</f>
        <v>0.184416866619846</v>
      </c>
      <c r="AB173" s="60" t="n">
        <f aca="false">$F$28*SUMPRODUCT($E$32:$P$32,O173:Z173,$E$28:$P$28)</f>
        <v>0</v>
      </c>
      <c r="AC173" s="60" t="n">
        <f aca="false">$G$28*SUMPRODUCT($E$33:$P$33,O173:Z173,$E$28:$P$28)</f>
        <v>0</v>
      </c>
      <c r="AD173" s="60" t="n">
        <f aca="false">$H$28*SUMPRODUCT($E$34:$P$34,O173:Z173,$E$28:$P$28)</f>
        <v>0</v>
      </c>
      <c r="AE173" s="60" t="n">
        <f aca="false">$I$28*SUMPRODUCT($E$35:$P$35,O173:Z173,$E$28:$P$28)</f>
        <v>0</v>
      </c>
      <c r="AF173" s="60" t="n">
        <f aca="false">$J$28*SUMPRODUCT($E$36:$P$36,O173:Z173,$E$28:$P$28)</f>
        <v>0</v>
      </c>
      <c r="AG173" s="60" t="n">
        <f aca="false">$K$28*SUMPRODUCT($E$37:$P$37,O173:Z173,$E$28:$P$28)</f>
        <v>0</v>
      </c>
      <c r="AH173" s="60" t="n">
        <f aca="false">$L$28*SUMPRODUCT($E$38:$P$38,O173:Z173,$E$28:$P$28)</f>
        <v>0</v>
      </c>
      <c r="AI173" s="60" t="n">
        <f aca="false">$M$28*SUMPRODUCT($E$39:$P$39,O173:Z173,$E$28:$P$28)</f>
        <v>0</v>
      </c>
      <c r="AJ173" s="60" t="n">
        <f aca="false">$N$28*SUMPRODUCT($E$40:$P$40,O173:Z173,$E$28:$P$28)</f>
        <v>0</v>
      </c>
      <c r="AK173" s="60" t="n">
        <f aca="false">$O$28*SUMPRODUCT($E$41:$P$41,O173:Z173,$E$28:$P$28)</f>
        <v>0</v>
      </c>
      <c r="AL173" s="60" t="n">
        <f aca="false">$P$28*SUMPRODUCT($E$42:$P$42,O173:Z173,$E$28:$P$28)</f>
        <v>0</v>
      </c>
      <c r="AM173" s="60" t="n">
        <f aca="false">SUMPRODUCT(O173:Z173,AA173:AL173)</f>
        <v>0.184416866619846</v>
      </c>
      <c r="AN173" s="60" t="n">
        <f aca="false">SUMPRODUCT(O173:Z173,$E$27:$P$27)</f>
        <v>2.67389635063809E-005</v>
      </c>
      <c r="AO173" s="60" t="n">
        <f aca="false">AM173*$C$9/($C$10*$C$8)^2</f>
        <v>0.21776909410545</v>
      </c>
      <c r="AP173" s="60" t="n">
        <f aca="false">AN173*$C$9/($C$10*$C$8)</f>
        <v>0.0918845243259994</v>
      </c>
      <c r="AQ173" s="60" t="n">
        <f aca="false">CHOOSE($C$7,-(1+AP173),-1,-(1-AP173))</f>
        <v>-0.908115475674001</v>
      </c>
      <c r="AR173" s="60" t="n">
        <f aca="false">CHOOSE($C$7,AO173,AO173-AP173-AP173^2,AO173-3*AP173^2-2*AP173)</f>
        <v>0.00867174802160559</v>
      </c>
      <c r="AS173" s="60" t="n">
        <f aca="false">CHOOSE($C$7,-AO173*AP173,-AO173*AP173,-(AO173*AP173-AP173^2-AP173^3))</f>
        <v>-0.0107910842936637</v>
      </c>
      <c r="AT173" s="60" t="n">
        <f aca="false">AR173-AQ173^2/3</f>
        <v>-0.266219491031267</v>
      </c>
      <c r="AU173" s="60" t="n">
        <f aca="false">2*AQ173^3/27-AQ173*AR173/3+AS173</f>
        <v>-0.0636400988362784</v>
      </c>
      <c r="AV173" s="60" t="n">
        <f aca="false">AU173^2/4+AT173^3/27</f>
        <v>0.000313710901361829</v>
      </c>
      <c r="AW173" s="60" t="n">
        <f aca="false">-AU173/2-IF(AU173&gt;=0,1,-1)*SQRT(MAX(AV173,0))</f>
        <v>0.0495319352963236</v>
      </c>
      <c r="AX173" s="60" t="n">
        <f aca="false">SIGN(AW173)*ABS(AW173)^(1/3)</f>
        <v>0.367249967174439</v>
      </c>
      <c r="AY173" s="60" t="n">
        <f aca="false">IF(AX173=0,0,AX173-AT173/(3*AX173))</f>
        <v>0.60888329127384</v>
      </c>
      <c r="AZ173" s="60" t="n">
        <f aca="false">2*SQRT(MAX(-AT173,0)/3)</f>
        <v>0.595784626668918</v>
      </c>
      <c r="BA173" s="60" t="n">
        <f aca="false">ACOS(IF(AZ173=0,0,MAX(-1,MIN(1,3*AU173/(AT173*AZ173)))))</f>
        <v>0</v>
      </c>
      <c r="BB173" s="60" t="n">
        <f aca="false">AZ173*COS(BA173/3)</f>
        <v>0.595784626668918</v>
      </c>
      <c r="BC173" s="60" t="n">
        <f aca="false">IF(AV173&lt;0,BB173,AY173)-AQ173/3</f>
        <v>0.91158844983184</v>
      </c>
      <c r="BD173" s="60" t="n">
        <f aca="false">IFERROR((((BC173+AQ173)*BC173+AR173)*BC173+AS173)/((3*BC173+2*AQ173)*BC173+AR173),0)</f>
        <v>0</v>
      </c>
      <c r="BE173" s="60" t="n">
        <f aca="false">IF(ABS(BD173)&lt;0.1*ABS(BC173),BC173-BD173,BC173)</f>
        <v>0.91158844983184</v>
      </c>
      <c r="BF173" s="60" t="n">
        <f aca="false">IFERROR((((BE173+AQ173)*BE173+AR173)*BE173+AS173)/((3*BE173+2*AQ173)*BE173+AR173),0)</f>
        <v>0</v>
      </c>
      <c r="BG173" s="60" t="n">
        <f aca="false">IF(ABS(BF173)&lt;0.1*ABS(BE173),BE173-BF173,BE173)</f>
        <v>0.91158844983184</v>
      </c>
      <c r="BH173" s="60" t="n">
        <f aca="false">-AS173/BG173</f>
        <v>0.0118376711504565</v>
      </c>
      <c r="BI173" s="60" t="n">
        <f aca="false">(AR173-BH173)/BG173</f>
        <v>-0.00347297415783941</v>
      </c>
      <c r="BJ173" s="60" t="n">
        <f aca="false">BI173^2-4*BH173</f>
        <v>-0.0473386230523248</v>
      </c>
      <c r="BK173" s="60" t="n">
        <f aca="false">IF(BJ173&gt;=0,(BI173+IF(BI173&gt;=0,1,-1)*SQRT(BJ173))/2,0)</f>
        <v>0</v>
      </c>
      <c r="BL173" s="60" t="n">
        <f aca="false">IF(AND(BJ173&gt;=0,BK173&lt;&gt;0),MIN(BK173,BH173/BK173),-1)</f>
        <v>-1</v>
      </c>
      <c r="BM173" s="60" t="n">
        <f aca="false">AND(BJ173&gt;=0,BL173&gt;AP173,ABS(BG173-BL173)&gt;=0.00005*MAX(BG173,BL173))</f>
        <v>0</v>
      </c>
      <c r="BN173" s="60" t="n">
        <f aca="false">IF(BM173,IFERROR((((BL173+AQ173)*BL173+AR173)*BL173+AS173)/((3*BL173+2*AQ173)*BL173+AR173),0),0)</f>
        <v>0</v>
      </c>
      <c r="BO173" s="60" t="n">
        <f aca="false">IF(ABS(BN173)&lt;0.1*ABS(BL173),BL173-BN173,BL173)</f>
        <v>-1</v>
      </c>
      <c r="BP173" s="60" t="n">
        <f aca="false">IF(BM173,IFERROR((((BO173+AQ173)*BO173+AR173)*BO173+AS173)/((3*BO173+2*AQ173)*BO173+AR173),0),0)</f>
        <v>0</v>
      </c>
      <c r="BQ173" s="60" t="n">
        <f aca="false">IF(ABS(BP173)&lt;0.1*ABS(BO173),BO173-BP173,BO173)</f>
        <v>-1</v>
      </c>
      <c r="BR173" s="60" t="n">
        <f aca="false">IF(BM173,MAX(BG173,BQ173),BG173)</f>
        <v>0.91158844983184</v>
      </c>
      <c r="BS173" s="60" t="n">
        <f aca="false">IF(BM173,MIN(BG173,BQ173),-1)</f>
        <v>-1</v>
      </c>
      <c r="BT173" s="60" t="n">
        <f aca="false">CHOOSE($C$7,AO173/BR173,AO173/AP173*LN(1+AP173/BR173),AO173/(2*SQRT(2)*AP173)*LN((BR173+(1+SQRT(2))*AP173)/(BR173+(1-SQRT(2))*AP173)))</f>
        <v>0.218240791233887</v>
      </c>
      <c r="BU173" s="60" t="n">
        <f aca="false">BR173-1-LN(BR173-AP173)-BT173</f>
        <v>-0.107840271021729</v>
      </c>
      <c r="BV173" s="60" t="n">
        <f aca="false">IF(BM173,CHOOSE($C$7,AO173/BS173,AO173/AP173*LN(1+AP173/BS173),AO173/(2*SQRT(2)*AP173)*LN((BS173+(1+SQRT(2))*AP173)/(BS173+(1-SQRT(2))*AP173))),0)</f>
        <v>0</v>
      </c>
      <c r="BW173" s="60" t="n">
        <f aca="false">IF(BM173,BS173-1-LN(BS173-AP173)-BV173,0)</f>
        <v>0</v>
      </c>
      <c r="BX173" s="60" t="n">
        <f aca="false">AND(BM173,BW173&lt;BU173)</f>
        <v>0</v>
      </c>
      <c r="BY173" s="60" t="n">
        <f aca="false">IF(BX173,BS173,BR173)</f>
        <v>0.91158844983184</v>
      </c>
      <c r="BZ173" s="60" t="n">
        <f aca="false">IF(BX173,BV173,BT173)</f>
        <v>0.218240791233887</v>
      </c>
      <c r="CA173" s="60" t="n">
        <f aca="false">LN(BY173-AP173)</f>
        <v>-0.198812070380318</v>
      </c>
      <c r="CB173" s="60" t="n">
        <f aca="false">$E$27/AN173*(BY173-1)-CA173-BZ173*(2*AA173/AM173-$E$27/AN173)</f>
        <v>-0.107840271021729</v>
      </c>
      <c r="CC173" s="60" t="n">
        <f aca="false">$F$27/AN173*(BY173-1)-CA173-BZ173*(2*AB173/AM173-$F$27/AN173)</f>
        <v>0.198812070380318</v>
      </c>
      <c r="CD173" s="60" t="n">
        <f aca="false">$G$27/AN173*(BY173-1)-CA173-BZ173*(2*AC173/AM173-$G$27/AN173)</f>
        <v>0.198812070380318</v>
      </c>
      <c r="CE173" s="60" t="n">
        <f aca="false">$H$27/AN173*(BY173-1)-CA173-BZ173*(2*AD173/AM173-$H$27/AN173)</f>
        <v>0.198812070380318</v>
      </c>
      <c r="CF173" s="60" t="n">
        <f aca="false">$I$27/AN173*(BY173-1)-CA173-BZ173*(2*AE173/AM173-$I$27/AN173)</f>
        <v>0.198812070380318</v>
      </c>
      <c r="CG173" s="60" t="n">
        <f aca="false">$J$27/AN173*(BY173-1)-CA173-BZ173*(2*AF173/AM173-$J$27/AN173)</f>
        <v>0.198812070380318</v>
      </c>
      <c r="CH173" s="60" t="n">
        <f aca="false">$K$27/AN173*(BY173-1)-CA173-BZ173*(2*AG173/AM173-$K$27/AN173)</f>
        <v>0.198812070380318</v>
      </c>
      <c r="CI173" s="60" t="n">
        <f aca="false">$L$27/AN173*(BY173-1)-CA173-BZ173*(2*AH173/AM173-$L$27/AN173)</f>
        <v>0.198812070380318</v>
      </c>
      <c r="CJ173" s="60" t="n">
        <f aca="false">$M$27/AN173*(BY173-1)-CA173-BZ173*(2*AI173/AM173-$M$27/AN173)</f>
        <v>0.198812070380318</v>
      </c>
      <c r="CK173" s="60" t="n">
        <f aca="false">$N$27/AN173*(BY173-1)-CA173-BZ173*(2*AJ173/AM173-$N$27/AN173)</f>
        <v>0.198812070380318</v>
      </c>
      <c r="CL173" s="60" t="n">
        <f aca="false">$O$27/AN173*(BY173-1)-CA173-BZ173*(2*AK173/AM173-$O$27/AN173)</f>
        <v>0.198812070380318</v>
      </c>
      <c r="CM173" s="60" t="n">
        <f aca="false">$P$27/AN173*(BY173-1)-CA173-BZ173*(2*AL173/AM173-$P$27/AN173)</f>
        <v>0.198812070380318</v>
      </c>
      <c r="CN173" s="60" t="n">
        <f aca="false">AP173/BY173&gt;$C$22</f>
        <v>0</v>
      </c>
      <c r="CO173" s="60" t="n">
        <f aca="false">1-N173+SUMPRODUCT(B173:M173,CB173:CM173)-SUMPRODUCT(B173:M173,CB172:CM172)</f>
        <v>0</v>
      </c>
      <c r="CP173" s="60" t="n">
        <f aca="false">SUMXMY2(O173:Z173,$E$13:$P$13)</f>
        <v>0</v>
      </c>
    </row>
    <row r="174" customFormat="false" ht="15" hidden="false" customHeight="false" outlineLevel="0" collapsed="false">
      <c r="A174" s="59" t="n">
        <v>9</v>
      </c>
      <c r="B174" s="60" t="n">
        <f aca="false">$E$13*EXP(MAX(-700,MIN(700,$E$86-CB173)))</f>
        <v>1</v>
      </c>
      <c r="C174" s="60" t="n">
        <f aca="false">$F$13*EXP(MAX(-700,MIN(700,$F$86-CC173)))</f>
        <v>0</v>
      </c>
      <c r="D174" s="60" t="n">
        <f aca="false">$G$13*EXP(MAX(-700,MIN(700,$G$86-CD173)))</f>
        <v>0</v>
      </c>
      <c r="E174" s="60" t="n">
        <f aca="false">$H$13*EXP(MAX(-700,MIN(700,$H$86-CE173)))</f>
        <v>0</v>
      </c>
      <c r="F174" s="60" t="n">
        <f aca="false">$I$13*EXP(MAX(-700,MIN(700,$I$86-CF173)))</f>
        <v>0</v>
      </c>
      <c r="G174" s="60" t="n">
        <f aca="false">$J$13*EXP(MAX(-700,MIN(700,$J$86-CG173)))</f>
        <v>0</v>
      </c>
      <c r="H174" s="60" t="n">
        <f aca="false">$K$13*EXP(MAX(-700,MIN(700,$K$86-CH173)))</f>
        <v>0</v>
      </c>
      <c r="I174" s="60" t="n">
        <f aca="false">$L$13*EXP(MAX(-700,MIN(700,$L$86-CI173)))</f>
        <v>0</v>
      </c>
      <c r="J174" s="60" t="n">
        <f aca="false">$M$13*EXP(MAX(-700,MIN(700,$M$86-CJ173)))</f>
        <v>0</v>
      </c>
      <c r="K174" s="60" t="n">
        <f aca="false">$N$13*EXP(MAX(-700,MIN(700,$N$86-CK173)))</f>
        <v>0</v>
      </c>
      <c r="L174" s="60" t="n">
        <f aca="false">$O$13*EXP(MAX(-700,MIN(700,$O$86-CL173)))</f>
        <v>0</v>
      </c>
      <c r="M174" s="60" t="n">
        <f aca="false">$P$13*EXP(MAX(-700,MIN(700,$P$86-CM173)))</f>
        <v>0</v>
      </c>
      <c r="N174" s="60" t="n">
        <f aca="false">SUM(B174:M174)</f>
        <v>1</v>
      </c>
      <c r="O174" s="60" t="n">
        <f aca="false">B174/N174</f>
        <v>1</v>
      </c>
      <c r="P174" s="60" t="n">
        <f aca="false">C174/N174</f>
        <v>0</v>
      </c>
      <c r="Q174" s="60" t="n">
        <f aca="false">D174/N174</f>
        <v>0</v>
      </c>
      <c r="R174" s="60" t="n">
        <f aca="false">E174/N174</f>
        <v>0</v>
      </c>
      <c r="S174" s="60" t="n">
        <f aca="false">F174/N174</f>
        <v>0</v>
      </c>
      <c r="T174" s="60" t="n">
        <f aca="false">G174/N174</f>
        <v>0</v>
      </c>
      <c r="U174" s="60" t="n">
        <f aca="false">H174/N174</f>
        <v>0</v>
      </c>
      <c r="V174" s="60" t="n">
        <f aca="false">I174/N174</f>
        <v>0</v>
      </c>
      <c r="W174" s="60" t="n">
        <f aca="false">J174/N174</f>
        <v>0</v>
      </c>
      <c r="X174" s="60" t="n">
        <f aca="false">K174/N174</f>
        <v>0</v>
      </c>
      <c r="Y174" s="60" t="n">
        <f aca="false">L174/N174</f>
        <v>0</v>
      </c>
      <c r="Z174" s="60" t="n">
        <f aca="false">M174/N174</f>
        <v>0</v>
      </c>
      <c r="AA174" s="60" t="n">
        <f aca="false">$E$28*SUMPRODUCT($E$31:$P$31,O174:Z174,$E$28:$P$28)</f>
        <v>0.184416866619846</v>
      </c>
      <c r="AB174" s="60" t="n">
        <f aca="false">$F$28*SUMPRODUCT($E$32:$P$32,O174:Z174,$E$28:$P$28)</f>
        <v>0</v>
      </c>
      <c r="AC174" s="60" t="n">
        <f aca="false">$G$28*SUMPRODUCT($E$33:$P$33,O174:Z174,$E$28:$P$28)</f>
        <v>0</v>
      </c>
      <c r="AD174" s="60" t="n">
        <f aca="false">$H$28*SUMPRODUCT($E$34:$P$34,O174:Z174,$E$28:$P$28)</f>
        <v>0</v>
      </c>
      <c r="AE174" s="60" t="n">
        <f aca="false">$I$28*SUMPRODUCT($E$35:$P$35,O174:Z174,$E$28:$P$28)</f>
        <v>0</v>
      </c>
      <c r="AF174" s="60" t="n">
        <f aca="false">$J$28*SUMPRODUCT($E$36:$P$36,O174:Z174,$E$28:$P$28)</f>
        <v>0</v>
      </c>
      <c r="AG174" s="60" t="n">
        <f aca="false">$K$28*SUMPRODUCT($E$37:$P$37,O174:Z174,$E$28:$P$28)</f>
        <v>0</v>
      </c>
      <c r="AH174" s="60" t="n">
        <f aca="false">$L$28*SUMPRODUCT($E$38:$P$38,O174:Z174,$E$28:$P$28)</f>
        <v>0</v>
      </c>
      <c r="AI174" s="60" t="n">
        <f aca="false">$M$28*SUMPRODUCT($E$39:$P$39,O174:Z174,$E$28:$P$28)</f>
        <v>0</v>
      </c>
      <c r="AJ174" s="60" t="n">
        <f aca="false">$N$28*SUMPRODUCT($E$40:$P$40,O174:Z174,$E$28:$P$28)</f>
        <v>0</v>
      </c>
      <c r="AK174" s="60" t="n">
        <f aca="false">$O$28*SUMPRODUCT($E$41:$P$41,O174:Z174,$E$28:$P$28)</f>
        <v>0</v>
      </c>
      <c r="AL174" s="60" t="n">
        <f aca="false">$P$28*SUMPRODUCT($E$42:$P$42,O174:Z174,$E$28:$P$28)</f>
        <v>0</v>
      </c>
      <c r="AM174" s="60" t="n">
        <f aca="false">SUMPRODUCT(O174:Z174,AA174:AL174)</f>
        <v>0.184416866619846</v>
      </c>
      <c r="AN174" s="60" t="n">
        <f aca="false">SUMPRODUCT(O174:Z174,$E$27:$P$27)</f>
        <v>2.67389635063809E-005</v>
      </c>
      <c r="AO174" s="60" t="n">
        <f aca="false">AM174*$C$9/($C$10*$C$8)^2</f>
        <v>0.21776909410545</v>
      </c>
      <c r="AP174" s="60" t="n">
        <f aca="false">AN174*$C$9/($C$10*$C$8)</f>
        <v>0.0918845243259994</v>
      </c>
      <c r="AQ174" s="60" t="n">
        <f aca="false">CHOOSE($C$7,-(1+AP174),-1,-(1-AP174))</f>
        <v>-0.908115475674001</v>
      </c>
      <c r="AR174" s="60" t="n">
        <f aca="false">CHOOSE($C$7,AO174,AO174-AP174-AP174^2,AO174-3*AP174^2-2*AP174)</f>
        <v>0.00867174802160559</v>
      </c>
      <c r="AS174" s="60" t="n">
        <f aca="false">CHOOSE($C$7,-AO174*AP174,-AO174*AP174,-(AO174*AP174-AP174^2-AP174^3))</f>
        <v>-0.0107910842936637</v>
      </c>
      <c r="AT174" s="60" t="n">
        <f aca="false">AR174-AQ174^2/3</f>
        <v>-0.266219491031267</v>
      </c>
      <c r="AU174" s="60" t="n">
        <f aca="false">2*AQ174^3/27-AQ174*AR174/3+AS174</f>
        <v>-0.0636400988362784</v>
      </c>
      <c r="AV174" s="60" t="n">
        <f aca="false">AU174^2/4+AT174^3/27</f>
        <v>0.000313710901361829</v>
      </c>
      <c r="AW174" s="60" t="n">
        <f aca="false">-AU174/2-IF(AU174&gt;=0,1,-1)*SQRT(MAX(AV174,0))</f>
        <v>0.0495319352963236</v>
      </c>
      <c r="AX174" s="60" t="n">
        <f aca="false">SIGN(AW174)*ABS(AW174)^(1/3)</f>
        <v>0.367249967174439</v>
      </c>
      <c r="AY174" s="60" t="n">
        <f aca="false">IF(AX174=0,0,AX174-AT174/(3*AX174))</f>
        <v>0.60888329127384</v>
      </c>
      <c r="AZ174" s="60" t="n">
        <f aca="false">2*SQRT(MAX(-AT174,0)/3)</f>
        <v>0.595784626668918</v>
      </c>
      <c r="BA174" s="60" t="n">
        <f aca="false">ACOS(IF(AZ174=0,0,MAX(-1,MIN(1,3*AU174/(AT174*AZ174)))))</f>
        <v>0</v>
      </c>
      <c r="BB174" s="60" t="n">
        <f aca="false">AZ174*COS(BA174/3)</f>
        <v>0.595784626668918</v>
      </c>
      <c r="BC174" s="60" t="n">
        <f aca="false">IF(AV174&lt;0,BB174,AY174)-AQ174/3</f>
        <v>0.91158844983184</v>
      </c>
      <c r="BD174" s="60" t="n">
        <f aca="false">IFERROR((((BC174+AQ174)*BC174+AR174)*BC174+AS174)/((3*BC174+2*AQ174)*BC174+AR174),0)</f>
        <v>0</v>
      </c>
      <c r="BE174" s="60" t="n">
        <f aca="false">IF(ABS(BD174)&lt;0.1*ABS(BC174),BC174-BD174,BC174)</f>
        <v>0.91158844983184</v>
      </c>
      <c r="BF174" s="60" t="n">
        <f aca="false">IFERROR((((BE174+AQ174)*BE174+AR174)*BE174+AS174)/((3*BE174+2*AQ174)*BE174+AR174),0)</f>
        <v>0</v>
      </c>
      <c r="BG174" s="60" t="n">
        <f aca="false">IF(ABS(BF174)&lt;0.1*ABS(BE174),BE174-BF174,BE174)</f>
        <v>0.91158844983184</v>
      </c>
      <c r="BH174" s="60" t="n">
        <f aca="false">-AS174/BG174</f>
        <v>0.0118376711504565</v>
      </c>
      <c r="BI174" s="60" t="n">
        <f aca="false">(AR174-BH174)/BG174</f>
        <v>-0.00347297415783941</v>
      </c>
      <c r="BJ174" s="60" t="n">
        <f aca="false">BI174^2-4*BH174</f>
        <v>-0.0473386230523248</v>
      </c>
      <c r="BK174" s="60" t="n">
        <f aca="false">IF(BJ174&gt;=0,(BI174+IF(BI174&gt;=0,1,-1)*SQRT(BJ174))/2,0)</f>
        <v>0</v>
      </c>
      <c r="BL174" s="60" t="n">
        <f aca="false">IF(AND(BJ174&gt;=0,BK174&lt;&gt;0),MIN(BK174,BH174/BK174),-1)</f>
        <v>-1</v>
      </c>
      <c r="BM174" s="60" t="n">
        <f aca="false">AND(BJ174&gt;=0,BL174&gt;AP174,ABS(BG174-BL174)&gt;=0.00005*MAX(BG174,BL174))</f>
        <v>0</v>
      </c>
      <c r="BN174" s="60" t="n">
        <f aca="false">IF(BM174,IFERROR((((BL174+AQ174)*BL174+AR174)*BL174+AS174)/((3*BL174+2*AQ174)*BL174+AR174),0),0)</f>
        <v>0</v>
      </c>
      <c r="BO174" s="60" t="n">
        <f aca="false">IF(ABS(BN174)&lt;0.1*ABS(BL174),BL174-BN174,BL174)</f>
        <v>-1</v>
      </c>
      <c r="BP174" s="60" t="n">
        <f aca="false">IF(BM174,IFERROR((((BO174+AQ174)*BO174+AR174)*BO174+AS174)/((3*BO174+2*AQ174)*BO174+AR174),0),0)</f>
        <v>0</v>
      </c>
      <c r="BQ174" s="60" t="n">
        <f aca="false">IF(ABS(BP174)&lt;0.1*ABS(BO174),BO174-BP174,BO174)</f>
        <v>-1</v>
      </c>
      <c r="BR174" s="60" t="n">
        <f aca="false">IF(BM174,MAX(BG174,BQ174),BG174)</f>
        <v>0.91158844983184</v>
      </c>
      <c r="BS174" s="60" t="n">
        <f aca="false">IF(BM174,MIN(BG174,BQ174),-1)</f>
        <v>-1</v>
      </c>
      <c r="BT174" s="60" t="n">
        <f aca="false">CHOOSE($C$7,AO174/BR174,AO174/AP174*LN(1+AP174/BR174),AO174/(2*SQRT(2)*AP174)*LN((BR174+(1+SQRT(2))*AP174)/(BR174+(1-SQRT(2))*AP174)))</f>
        <v>0.218240791233887</v>
      </c>
      <c r="BU174" s="60" t="n">
        <f aca="false">BR174-1-LN(BR174-AP174)-BT174</f>
        <v>-0.107840271021729</v>
      </c>
      <c r="BV174" s="60" t="n">
        <f aca="false">IF(BM174,CHOOSE($C$7,AO174/BS174,AO174/AP174*LN(1+AP174/BS174),AO174/(2*SQRT(2)*AP174)*LN((BS174+(1+SQRT(2))*AP174)/(BS174+(1-SQRT(2))*AP174))),0)</f>
        <v>0</v>
      </c>
      <c r="BW174" s="60" t="n">
        <f aca="false">IF(BM174,BS174-1-LN(BS174-AP174)-BV174,0)</f>
        <v>0</v>
      </c>
      <c r="BX174" s="60" t="n">
        <f aca="false">AND(BM174,BW174&lt;BU174)</f>
        <v>0</v>
      </c>
      <c r="BY174" s="60" t="n">
        <f aca="false">IF(BX174,BS174,BR174)</f>
        <v>0.91158844983184</v>
      </c>
      <c r="BZ174" s="60" t="n">
        <f aca="false">IF(BX174,BV174,BT174)</f>
        <v>0.218240791233887</v>
      </c>
      <c r="CA174" s="60" t="n">
        <f aca="false">LN(BY174-AP174)</f>
        <v>-0.198812070380318</v>
      </c>
      <c r="CB174" s="60" t="n">
        <f aca="false">$E$27/AN174*(BY174-1)-CA174-BZ174*(2*AA174/AM174-$E$27/AN174)</f>
        <v>-0.107840271021729</v>
      </c>
      <c r="CC174" s="60" t="n">
        <f aca="false">$F$27/AN174*(BY174-1)-CA174-BZ174*(2*AB174/AM174-$F$27/AN174)</f>
        <v>0.198812070380318</v>
      </c>
      <c r="CD174" s="60" t="n">
        <f aca="false">$G$27/AN174*(BY174-1)-CA174-BZ174*(2*AC174/AM174-$G$27/AN174)</f>
        <v>0.198812070380318</v>
      </c>
      <c r="CE174" s="60" t="n">
        <f aca="false">$H$27/AN174*(BY174-1)-CA174-BZ174*(2*AD174/AM174-$H$27/AN174)</f>
        <v>0.198812070380318</v>
      </c>
      <c r="CF174" s="60" t="n">
        <f aca="false">$I$27/AN174*(BY174-1)-CA174-BZ174*(2*AE174/AM174-$I$27/AN174)</f>
        <v>0.198812070380318</v>
      </c>
      <c r="CG174" s="60" t="n">
        <f aca="false">$J$27/AN174*(BY174-1)-CA174-BZ174*(2*AF174/AM174-$J$27/AN174)</f>
        <v>0.198812070380318</v>
      </c>
      <c r="CH174" s="60" t="n">
        <f aca="false">$K$27/AN174*(BY174-1)-CA174-BZ174*(2*AG174/AM174-$K$27/AN174)</f>
        <v>0.198812070380318</v>
      </c>
      <c r="CI174" s="60" t="n">
        <f aca="false">$L$27/AN174*(BY174-1)-CA174-BZ174*(2*AH174/AM174-$L$27/AN174)</f>
        <v>0.198812070380318</v>
      </c>
      <c r="CJ174" s="60" t="n">
        <f aca="false">$M$27/AN174*(BY174-1)-CA174-BZ174*(2*AI174/AM174-$M$27/AN174)</f>
        <v>0.198812070380318</v>
      </c>
      <c r="CK174" s="60" t="n">
        <f aca="false">$N$27/AN174*(BY174-1)-CA174-BZ174*(2*AJ174/AM174-$N$27/AN174)</f>
        <v>0.198812070380318</v>
      </c>
      <c r="CL174" s="60" t="n">
        <f aca="false">$O$27/AN174*(BY174-1)-CA174-BZ174*(2*AK174/AM174-$O$27/AN174)</f>
        <v>0.198812070380318</v>
      </c>
      <c r="CM174" s="60" t="n">
        <f aca="false">$P$27/AN174*(BY174-1)-CA174-BZ174*(2*AL174/AM174-$P$27/AN174)</f>
        <v>0.198812070380318</v>
      </c>
      <c r="CN174" s="60" t="n">
        <f aca="false">AP174/BY174&gt;$C$22</f>
        <v>0</v>
      </c>
      <c r="CO174" s="60" t="n">
        <f aca="false">1-N174+SUMPRODUCT(B174:M174,CB174:CM174)-SUMPRODUCT(B174:M174,CB173:CM173)</f>
        <v>0</v>
      </c>
      <c r="CP174" s="60" t="n">
        <f aca="false">SUMXMY2(O174:Z174,$E$13:$P$13)</f>
        <v>0</v>
      </c>
    </row>
    <row r="175" customFormat="false" ht="15" hidden="false" customHeight="false" outlineLevel="0" collapsed="false">
      <c r="A175" s="59" t="n">
        <v>10</v>
      </c>
      <c r="B175" s="60" t="n">
        <f aca="false">$E$13*EXP(MAX(-700,MIN(700,$E$86-CB174)))</f>
        <v>1</v>
      </c>
      <c r="C175" s="60" t="n">
        <f aca="false">$F$13*EXP(MAX(-700,MIN(700,$F$86-CC174)))</f>
        <v>0</v>
      </c>
      <c r="D175" s="60" t="n">
        <f aca="false">$G$13*EXP(MAX(-700,MIN(700,$G$86-CD174)))</f>
        <v>0</v>
      </c>
      <c r="E175" s="60" t="n">
        <f aca="false">$H$13*EXP(MAX(-700,MIN(700,$H$86-CE174)))</f>
        <v>0</v>
      </c>
      <c r="F175" s="60" t="n">
        <f aca="false">$I$13*EXP(MAX(-700,MIN(700,$I$86-CF174)))</f>
        <v>0</v>
      </c>
      <c r="G175" s="60" t="n">
        <f aca="false">$J$13*EXP(MAX(-700,MIN(700,$J$86-CG174)))</f>
        <v>0</v>
      </c>
      <c r="H175" s="60" t="n">
        <f aca="false">$K$13*EXP(MAX(-700,MIN(700,$K$86-CH174)))</f>
        <v>0</v>
      </c>
      <c r="I175" s="60" t="n">
        <f aca="false">$L$13*EXP(MAX(-700,MIN(700,$L$86-CI174)))</f>
        <v>0</v>
      </c>
      <c r="J175" s="60" t="n">
        <f aca="false">$M$13*EXP(MAX(-700,MIN(700,$M$86-CJ174)))</f>
        <v>0</v>
      </c>
      <c r="K175" s="60" t="n">
        <f aca="false">$N$13*EXP(MAX(-700,MIN(700,$N$86-CK174)))</f>
        <v>0</v>
      </c>
      <c r="L175" s="60" t="n">
        <f aca="false">$O$13*EXP(MAX(-700,MIN(700,$O$86-CL174)))</f>
        <v>0</v>
      </c>
      <c r="M175" s="60" t="n">
        <f aca="false">$P$13*EXP(MAX(-700,MIN(700,$P$86-CM174)))</f>
        <v>0</v>
      </c>
      <c r="N175" s="60" t="n">
        <f aca="false">SUM(B175:M175)</f>
        <v>1</v>
      </c>
      <c r="O175" s="60" t="n">
        <f aca="false">B175/N175</f>
        <v>1</v>
      </c>
      <c r="P175" s="60" t="n">
        <f aca="false">C175/N175</f>
        <v>0</v>
      </c>
      <c r="Q175" s="60" t="n">
        <f aca="false">D175/N175</f>
        <v>0</v>
      </c>
      <c r="R175" s="60" t="n">
        <f aca="false">E175/N175</f>
        <v>0</v>
      </c>
      <c r="S175" s="60" t="n">
        <f aca="false">F175/N175</f>
        <v>0</v>
      </c>
      <c r="T175" s="60" t="n">
        <f aca="false">G175/N175</f>
        <v>0</v>
      </c>
      <c r="U175" s="60" t="n">
        <f aca="false">H175/N175</f>
        <v>0</v>
      </c>
      <c r="V175" s="60" t="n">
        <f aca="false">I175/N175</f>
        <v>0</v>
      </c>
      <c r="W175" s="60" t="n">
        <f aca="false">J175/N175</f>
        <v>0</v>
      </c>
      <c r="X175" s="60" t="n">
        <f aca="false">K175/N175</f>
        <v>0</v>
      </c>
      <c r="Y175" s="60" t="n">
        <f aca="false">L175/N175</f>
        <v>0</v>
      </c>
      <c r="Z175" s="60" t="n">
        <f aca="false">M175/N175</f>
        <v>0</v>
      </c>
      <c r="AA175" s="60" t="n">
        <f aca="false">$E$28*SUMPRODUCT($E$31:$P$31,O175:Z175,$E$28:$P$28)</f>
        <v>0.184416866619846</v>
      </c>
      <c r="AB175" s="60" t="n">
        <f aca="false">$F$28*SUMPRODUCT($E$32:$P$32,O175:Z175,$E$28:$P$28)</f>
        <v>0</v>
      </c>
      <c r="AC175" s="60" t="n">
        <f aca="false">$G$28*SUMPRODUCT($E$33:$P$33,O175:Z175,$E$28:$P$28)</f>
        <v>0</v>
      </c>
      <c r="AD175" s="60" t="n">
        <f aca="false">$H$28*SUMPRODUCT($E$34:$P$34,O175:Z175,$E$28:$P$28)</f>
        <v>0</v>
      </c>
      <c r="AE175" s="60" t="n">
        <f aca="false">$I$28*SUMPRODUCT($E$35:$P$35,O175:Z175,$E$28:$P$28)</f>
        <v>0</v>
      </c>
      <c r="AF175" s="60" t="n">
        <f aca="false">$J$28*SUMPRODUCT($E$36:$P$36,O175:Z175,$E$28:$P$28)</f>
        <v>0</v>
      </c>
      <c r="AG175" s="60" t="n">
        <f aca="false">$K$28*SUMPRODUCT($E$37:$P$37,O175:Z175,$E$28:$P$28)</f>
        <v>0</v>
      </c>
      <c r="AH175" s="60" t="n">
        <f aca="false">$L$28*SUMPRODUCT($E$38:$P$38,O175:Z175,$E$28:$P$28)</f>
        <v>0</v>
      </c>
      <c r="AI175" s="60" t="n">
        <f aca="false">$M$28*SUMPRODUCT($E$39:$P$39,O175:Z175,$E$28:$P$28)</f>
        <v>0</v>
      </c>
      <c r="AJ175" s="60" t="n">
        <f aca="false">$N$28*SUMPRODUCT($E$40:$P$40,O175:Z175,$E$28:$P$28)</f>
        <v>0</v>
      </c>
      <c r="AK175" s="60" t="n">
        <f aca="false">$O$28*SUMPRODUCT($E$41:$P$41,O175:Z175,$E$28:$P$28)</f>
        <v>0</v>
      </c>
      <c r="AL175" s="60" t="n">
        <f aca="false">$P$28*SUMPRODUCT($E$42:$P$42,O175:Z175,$E$28:$P$28)</f>
        <v>0</v>
      </c>
      <c r="AM175" s="60" t="n">
        <f aca="false">SUMPRODUCT(O175:Z175,AA175:AL175)</f>
        <v>0.184416866619846</v>
      </c>
      <c r="AN175" s="60" t="n">
        <f aca="false">SUMPRODUCT(O175:Z175,$E$27:$P$27)</f>
        <v>2.67389635063809E-005</v>
      </c>
      <c r="AO175" s="60" t="n">
        <f aca="false">AM175*$C$9/($C$10*$C$8)^2</f>
        <v>0.21776909410545</v>
      </c>
      <c r="AP175" s="60" t="n">
        <f aca="false">AN175*$C$9/($C$10*$C$8)</f>
        <v>0.0918845243259994</v>
      </c>
      <c r="AQ175" s="60" t="n">
        <f aca="false">CHOOSE($C$7,-(1+AP175),-1,-(1-AP175))</f>
        <v>-0.908115475674001</v>
      </c>
      <c r="AR175" s="60" t="n">
        <f aca="false">CHOOSE($C$7,AO175,AO175-AP175-AP175^2,AO175-3*AP175^2-2*AP175)</f>
        <v>0.00867174802160559</v>
      </c>
      <c r="AS175" s="60" t="n">
        <f aca="false">CHOOSE($C$7,-AO175*AP175,-AO175*AP175,-(AO175*AP175-AP175^2-AP175^3))</f>
        <v>-0.0107910842936637</v>
      </c>
      <c r="AT175" s="60" t="n">
        <f aca="false">AR175-AQ175^2/3</f>
        <v>-0.266219491031267</v>
      </c>
      <c r="AU175" s="60" t="n">
        <f aca="false">2*AQ175^3/27-AQ175*AR175/3+AS175</f>
        <v>-0.0636400988362784</v>
      </c>
      <c r="AV175" s="60" t="n">
        <f aca="false">AU175^2/4+AT175^3/27</f>
        <v>0.000313710901361829</v>
      </c>
      <c r="AW175" s="60" t="n">
        <f aca="false">-AU175/2-IF(AU175&gt;=0,1,-1)*SQRT(MAX(AV175,0))</f>
        <v>0.0495319352963236</v>
      </c>
      <c r="AX175" s="60" t="n">
        <f aca="false">SIGN(AW175)*ABS(AW175)^(1/3)</f>
        <v>0.367249967174439</v>
      </c>
      <c r="AY175" s="60" t="n">
        <f aca="false">IF(AX175=0,0,AX175-AT175/(3*AX175))</f>
        <v>0.60888329127384</v>
      </c>
      <c r="AZ175" s="60" t="n">
        <f aca="false">2*SQRT(MAX(-AT175,0)/3)</f>
        <v>0.595784626668918</v>
      </c>
      <c r="BA175" s="60" t="n">
        <f aca="false">ACOS(IF(AZ175=0,0,MAX(-1,MIN(1,3*AU175/(AT175*AZ175)))))</f>
        <v>0</v>
      </c>
      <c r="BB175" s="60" t="n">
        <f aca="false">AZ175*COS(BA175/3)</f>
        <v>0.595784626668918</v>
      </c>
      <c r="BC175" s="60" t="n">
        <f aca="false">IF(AV175&lt;0,BB175,AY175)-AQ175/3</f>
        <v>0.91158844983184</v>
      </c>
      <c r="BD175" s="60" t="n">
        <f aca="false">IFERROR((((BC175+AQ175)*BC175+AR175)*BC175+AS175)/((3*BC175+2*AQ175)*BC175+AR175),0)</f>
        <v>0</v>
      </c>
      <c r="BE175" s="60" t="n">
        <f aca="false">IF(ABS(BD175)&lt;0.1*ABS(BC175),BC175-BD175,BC175)</f>
        <v>0.91158844983184</v>
      </c>
      <c r="BF175" s="60" t="n">
        <f aca="false">IFERROR((((BE175+AQ175)*BE175+AR175)*BE175+AS175)/((3*BE175+2*AQ175)*BE175+AR175),0)</f>
        <v>0</v>
      </c>
      <c r="BG175" s="60" t="n">
        <f aca="false">IF(ABS(BF175)&lt;0.1*ABS(BE175),BE175-BF175,BE175)</f>
        <v>0.91158844983184</v>
      </c>
      <c r="BH175" s="60" t="n">
        <f aca="false">-AS175/BG175</f>
        <v>0.0118376711504565</v>
      </c>
      <c r="BI175" s="60" t="n">
        <f aca="false">(AR175-BH175)/BG175</f>
        <v>-0.00347297415783941</v>
      </c>
      <c r="BJ175" s="60" t="n">
        <f aca="false">BI175^2-4*BH175</f>
        <v>-0.0473386230523248</v>
      </c>
      <c r="BK175" s="60" t="n">
        <f aca="false">IF(BJ175&gt;=0,(BI175+IF(BI175&gt;=0,1,-1)*SQRT(BJ175))/2,0)</f>
        <v>0</v>
      </c>
      <c r="BL175" s="60" t="n">
        <f aca="false">IF(AND(BJ175&gt;=0,BK175&lt;&gt;0),MIN(BK175,BH175/BK175),-1)</f>
        <v>-1</v>
      </c>
      <c r="BM175" s="60" t="n">
        <f aca="false">AND(BJ175&gt;=0,BL175&gt;AP175,ABS(BG175-BL175)&gt;=0.00005*MAX(BG175,BL175))</f>
        <v>0</v>
      </c>
      <c r="BN175" s="60" t="n">
        <f aca="false">IF(BM175,IFERROR((((BL175+AQ175)*BL175+AR175)*BL175+AS175)/((3*BL175+2*AQ175)*BL175+AR175),0),0)</f>
        <v>0</v>
      </c>
      <c r="BO175" s="60" t="n">
        <f aca="false">IF(ABS(BN175)&lt;0.1*ABS(BL175),BL175-BN175,BL175)</f>
        <v>-1</v>
      </c>
      <c r="BP175" s="60" t="n">
        <f aca="false">IF(BM175,IFERROR((((BO175+AQ175)*BO175+AR175)*BO175+AS175)/((3*BO175+2*AQ175)*BO175+AR175),0),0)</f>
        <v>0</v>
      </c>
      <c r="BQ175" s="60" t="n">
        <f aca="false">IF(ABS(BP175)&lt;0.1*ABS(BO175),BO175-BP175,BO175)</f>
        <v>-1</v>
      </c>
      <c r="BR175" s="60" t="n">
        <f aca="false">IF(BM175,MAX(BG175,BQ175),BG175)</f>
        <v>0.91158844983184</v>
      </c>
      <c r="BS175" s="60" t="n">
        <f aca="false">IF(BM175,MIN(BG175,BQ175),-1)</f>
        <v>-1</v>
      </c>
      <c r="BT175" s="60" t="n">
        <f aca="false">CHOOSE($C$7,AO175/BR175,AO175/AP175*LN(1+AP175/BR175),AO175/(2*SQRT(2)*AP175)*LN((BR175+(1+SQRT(2))*AP175)/(BR175+(1-SQRT(2))*AP175)))</f>
        <v>0.218240791233887</v>
      </c>
      <c r="BU175" s="60" t="n">
        <f aca="false">BR175-1-LN(BR175-AP175)-BT175</f>
        <v>-0.107840271021729</v>
      </c>
      <c r="BV175" s="60" t="n">
        <f aca="false">IF(BM175,CHOOSE($C$7,AO175/BS175,AO175/AP175*LN(1+AP175/BS175),AO175/(2*SQRT(2)*AP175)*LN((BS175+(1+SQRT(2))*AP175)/(BS175+(1-SQRT(2))*AP175))),0)</f>
        <v>0</v>
      </c>
      <c r="BW175" s="60" t="n">
        <f aca="false">IF(BM175,BS175-1-LN(BS175-AP175)-BV175,0)</f>
        <v>0</v>
      </c>
      <c r="BX175" s="60" t="n">
        <f aca="false">AND(BM175,BW175&lt;BU175)</f>
        <v>0</v>
      </c>
      <c r="BY175" s="60" t="n">
        <f aca="false">IF(BX175,BS175,BR175)</f>
        <v>0.91158844983184</v>
      </c>
      <c r="BZ175" s="60" t="n">
        <f aca="false">IF(BX175,BV175,BT175)</f>
        <v>0.218240791233887</v>
      </c>
      <c r="CA175" s="60" t="n">
        <f aca="false">LN(BY175-AP175)</f>
        <v>-0.198812070380318</v>
      </c>
      <c r="CB175" s="60" t="n">
        <f aca="false">$E$27/AN175*(BY175-1)-CA175-BZ175*(2*AA175/AM175-$E$27/AN175)</f>
        <v>-0.107840271021729</v>
      </c>
      <c r="CC175" s="60" t="n">
        <f aca="false">$F$27/AN175*(BY175-1)-CA175-BZ175*(2*AB175/AM175-$F$27/AN175)</f>
        <v>0.198812070380318</v>
      </c>
      <c r="CD175" s="60" t="n">
        <f aca="false">$G$27/AN175*(BY175-1)-CA175-BZ175*(2*AC175/AM175-$G$27/AN175)</f>
        <v>0.198812070380318</v>
      </c>
      <c r="CE175" s="60" t="n">
        <f aca="false">$H$27/AN175*(BY175-1)-CA175-BZ175*(2*AD175/AM175-$H$27/AN175)</f>
        <v>0.198812070380318</v>
      </c>
      <c r="CF175" s="60" t="n">
        <f aca="false">$I$27/AN175*(BY175-1)-CA175-BZ175*(2*AE175/AM175-$I$27/AN175)</f>
        <v>0.198812070380318</v>
      </c>
      <c r="CG175" s="60" t="n">
        <f aca="false">$J$27/AN175*(BY175-1)-CA175-BZ175*(2*AF175/AM175-$J$27/AN175)</f>
        <v>0.198812070380318</v>
      </c>
      <c r="CH175" s="60" t="n">
        <f aca="false">$K$27/AN175*(BY175-1)-CA175-BZ175*(2*AG175/AM175-$K$27/AN175)</f>
        <v>0.198812070380318</v>
      </c>
      <c r="CI175" s="60" t="n">
        <f aca="false">$L$27/AN175*(BY175-1)-CA175-BZ175*(2*AH175/AM175-$L$27/AN175)</f>
        <v>0.198812070380318</v>
      </c>
      <c r="CJ175" s="60" t="n">
        <f aca="false">$M$27/AN175*(BY175-1)-CA175-BZ175*(2*AI175/AM175-$M$27/AN175)</f>
        <v>0.198812070380318</v>
      </c>
      <c r="CK175" s="60" t="n">
        <f aca="false">$N$27/AN175*(BY175-1)-CA175-BZ175*(2*AJ175/AM175-$N$27/AN175)</f>
        <v>0.198812070380318</v>
      </c>
      <c r="CL175" s="60" t="n">
        <f aca="false">$O$27/AN175*(BY175-1)-CA175-BZ175*(2*AK175/AM175-$O$27/AN175)</f>
        <v>0.198812070380318</v>
      </c>
      <c r="CM175" s="60" t="n">
        <f aca="false">$P$27/AN175*(BY175-1)-CA175-BZ175*(2*AL175/AM175-$P$27/AN175)</f>
        <v>0.198812070380318</v>
      </c>
      <c r="CN175" s="60" t="n">
        <f aca="false">AP175/BY175&gt;$C$22</f>
        <v>0</v>
      </c>
      <c r="CO175" s="60" t="n">
        <f aca="false">1-N175+SUMPRODUCT(B175:M175,CB175:CM175)-SUMPRODUCT(B175:M175,CB174:CM174)</f>
        <v>0</v>
      </c>
      <c r="CP175" s="60" t="n">
        <f aca="false">SUMXMY2(O175:Z175,$E$13:$P$13)</f>
        <v>0</v>
      </c>
    </row>
    <row r="176" customFormat="false" ht="15" hidden="false" customHeight="false" outlineLevel="0" collapsed="false">
      <c r="A176" s="59" t="n">
        <v>11</v>
      </c>
      <c r="B176" s="60" t="n">
        <f aca="false">$E$13*EXP(MAX(-700,MIN(700,$E$86-CB175)))</f>
        <v>1</v>
      </c>
      <c r="C176" s="60" t="n">
        <f aca="false">$F$13*EXP(MAX(-700,MIN(700,$F$86-CC175)))</f>
        <v>0</v>
      </c>
      <c r="D176" s="60" t="n">
        <f aca="false">$G$13*EXP(MAX(-700,MIN(700,$G$86-CD175)))</f>
        <v>0</v>
      </c>
      <c r="E176" s="60" t="n">
        <f aca="false">$H$13*EXP(MAX(-700,MIN(700,$H$86-CE175)))</f>
        <v>0</v>
      </c>
      <c r="F176" s="60" t="n">
        <f aca="false">$I$13*EXP(MAX(-700,MIN(700,$I$86-CF175)))</f>
        <v>0</v>
      </c>
      <c r="G176" s="60" t="n">
        <f aca="false">$J$13*EXP(MAX(-700,MIN(700,$J$86-CG175)))</f>
        <v>0</v>
      </c>
      <c r="H176" s="60" t="n">
        <f aca="false">$K$13*EXP(MAX(-700,MIN(700,$K$86-CH175)))</f>
        <v>0</v>
      </c>
      <c r="I176" s="60" t="n">
        <f aca="false">$L$13*EXP(MAX(-700,MIN(700,$L$86-CI175)))</f>
        <v>0</v>
      </c>
      <c r="J176" s="60" t="n">
        <f aca="false">$M$13*EXP(MAX(-700,MIN(700,$M$86-CJ175)))</f>
        <v>0</v>
      </c>
      <c r="K176" s="60" t="n">
        <f aca="false">$N$13*EXP(MAX(-700,MIN(700,$N$86-CK175)))</f>
        <v>0</v>
      </c>
      <c r="L176" s="60" t="n">
        <f aca="false">$O$13*EXP(MAX(-700,MIN(700,$O$86-CL175)))</f>
        <v>0</v>
      </c>
      <c r="M176" s="60" t="n">
        <f aca="false">$P$13*EXP(MAX(-700,MIN(700,$P$86-CM175)))</f>
        <v>0</v>
      </c>
      <c r="N176" s="60" t="n">
        <f aca="false">SUM(B176:M176)</f>
        <v>1</v>
      </c>
      <c r="O176" s="60" t="n">
        <f aca="false">B176/N176</f>
        <v>1</v>
      </c>
      <c r="P176" s="60" t="n">
        <f aca="false">C176/N176</f>
        <v>0</v>
      </c>
      <c r="Q176" s="60" t="n">
        <f aca="false">D176/N176</f>
        <v>0</v>
      </c>
      <c r="R176" s="60" t="n">
        <f aca="false">E176/N176</f>
        <v>0</v>
      </c>
      <c r="S176" s="60" t="n">
        <f aca="false">F176/N176</f>
        <v>0</v>
      </c>
      <c r="T176" s="60" t="n">
        <f aca="false">G176/N176</f>
        <v>0</v>
      </c>
      <c r="U176" s="60" t="n">
        <f aca="false">H176/N176</f>
        <v>0</v>
      </c>
      <c r="V176" s="60" t="n">
        <f aca="false">I176/N176</f>
        <v>0</v>
      </c>
      <c r="W176" s="60" t="n">
        <f aca="false">J176/N176</f>
        <v>0</v>
      </c>
      <c r="X176" s="60" t="n">
        <f aca="false">K176/N176</f>
        <v>0</v>
      </c>
      <c r="Y176" s="60" t="n">
        <f aca="false">L176/N176</f>
        <v>0</v>
      </c>
      <c r="Z176" s="60" t="n">
        <f aca="false">M176/N176</f>
        <v>0</v>
      </c>
      <c r="AA176" s="60" t="n">
        <f aca="false">$E$28*SUMPRODUCT($E$31:$P$31,O176:Z176,$E$28:$P$28)</f>
        <v>0.184416866619846</v>
      </c>
      <c r="AB176" s="60" t="n">
        <f aca="false">$F$28*SUMPRODUCT($E$32:$P$32,O176:Z176,$E$28:$P$28)</f>
        <v>0</v>
      </c>
      <c r="AC176" s="60" t="n">
        <f aca="false">$G$28*SUMPRODUCT($E$33:$P$33,O176:Z176,$E$28:$P$28)</f>
        <v>0</v>
      </c>
      <c r="AD176" s="60" t="n">
        <f aca="false">$H$28*SUMPRODUCT($E$34:$P$34,O176:Z176,$E$28:$P$28)</f>
        <v>0</v>
      </c>
      <c r="AE176" s="60" t="n">
        <f aca="false">$I$28*SUMPRODUCT($E$35:$P$35,O176:Z176,$E$28:$P$28)</f>
        <v>0</v>
      </c>
      <c r="AF176" s="60" t="n">
        <f aca="false">$J$28*SUMPRODUCT($E$36:$P$36,O176:Z176,$E$28:$P$28)</f>
        <v>0</v>
      </c>
      <c r="AG176" s="60" t="n">
        <f aca="false">$K$28*SUMPRODUCT($E$37:$P$37,O176:Z176,$E$28:$P$28)</f>
        <v>0</v>
      </c>
      <c r="AH176" s="60" t="n">
        <f aca="false">$L$28*SUMPRODUCT($E$38:$P$38,O176:Z176,$E$28:$P$28)</f>
        <v>0</v>
      </c>
      <c r="AI176" s="60" t="n">
        <f aca="false">$M$28*SUMPRODUCT($E$39:$P$39,O176:Z176,$E$28:$P$28)</f>
        <v>0</v>
      </c>
      <c r="AJ176" s="60" t="n">
        <f aca="false">$N$28*SUMPRODUCT($E$40:$P$40,O176:Z176,$E$28:$P$28)</f>
        <v>0</v>
      </c>
      <c r="AK176" s="60" t="n">
        <f aca="false">$O$28*SUMPRODUCT($E$41:$P$41,O176:Z176,$E$28:$P$28)</f>
        <v>0</v>
      </c>
      <c r="AL176" s="60" t="n">
        <f aca="false">$P$28*SUMPRODUCT($E$42:$P$42,O176:Z176,$E$28:$P$28)</f>
        <v>0</v>
      </c>
      <c r="AM176" s="60" t="n">
        <f aca="false">SUMPRODUCT(O176:Z176,AA176:AL176)</f>
        <v>0.184416866619846</v>
      </c>
      <c r="AN176" s="60" t="n">
        <f aca="false">SUMPRODUCT(O176:Z176,$E$27:$P$27)</f>
        <v>2.67389635063809E-005</v>
      </c>
      <c r="AO176" s="60" t="n">
        <f aca="false">AM176*$C$9/($C$10*$C$8)^2</f>
        <v>0.21776909410545</v>
      </c>
      <c r="AP176" s="60" t="n">
        <f aca="false">AN176*$C$9/($C$10*$C$8)</f>
        <v>0.0918845243259994</v>
      </c>
      <c r="AQ176" s="60" t="n">
        <f aca="false">CHOOSE($C$7,-(1+AP176),-1,-(1-AP176))</f>
        <v>-0.908115475674001</v>
      </c>
      <c r="AR176" s="60" t="n">
        <f aca="false">CHOOSE($C$7,AO176,AO176-AP176-AP176^2,AO176-3*AP176^2-2*AP176)</f>
        <v>0.00867174802160559</v>
      </c>
      <c r="AS176" s="60" t="n">
        <f aca="false">CHOOSE($C$7,-AO176*AP176,-AO176*AP176,-(AO176*AP176-AP176^2-AP176^3))</f>
        <v>-0.0107910842936637</v>
      </c>
      <c r="AT176" s="60" t="n">
        <f aca="false">AR176-AQ176^2/3</f>
        <v>-0.266219491031267</v>
      </c>
      <c r="AU176" s="60" t="n">
        <f aca="false">2*AQ176^3/27-AQ176*AR176/3+AS176</f>
        <v>-0.0636400988362784</v>
      </c>
      <c r="AV176" s="60" t="n">
        <f aca="false">AU176^2/4+AT176^3/27</f>
        <v>0.000313710901361829</v>
      </c>
      <c r="AW176" s="60" t="n">
        <f aca="false">-AU176/2-IF(AU176&gt;=0,1,-1)*SQRT(MAX(AV176,0))</f>
        <v>0.0495319352963236</v>
      </c>
      <c r="AX176" s="60" t="n">
        <f aca="false">SIGN(AW176)*ABS(AW176)^(1/3)</f>
        <v>0.367249967174439</v>
      </c>
      <c r="AY176" s="60" t="n">
        <f aca="false">IF(AX176=0,0,AX176-AT176/(3*AX176))</f>
        <v>0.60888329127384</v>
      </c>
      <c r="AZ176" s="60" t="n">
        <f aca="false">2*SQRT(MAX(-AT176,0)/3)</f>
        <v>0.595784626668918</v>
      </c>
      <c r="BA176" s="60" t="n">
        <f aca="false">ACOS(IF(AZ176=0,0,MAX(-1,MIN(1,3*AU176/(AT176*AZ176)))))</f>
        <v>0</v>
      </c>
      <c r="BB176" s="60" t="n">
        <f aca="false">AZ176*COS(BA176/3)</f>
        <v>0.595784626668918</v>
      </c>
      <c r="BC176" s="60" t="n">
        <f aca="false">IF(AV176&lt;0,BB176,AY176)-AQ176/3</f>
        <v>0.91158844983184</v>
      </c>
      <c r="BD176" s="60" t="n">
        <f aca="false">IFERROR((((BC176+AQ176)*BC176+AR176)*BC176+AS176)/((3*BC176+2*AQ176)*BC176+AR176),0)</f>
        <v>0</v>
      </c>
      <c r="BE176" s="60" t="n">
        <f aca="false">IF(ABS(BD176)&lt;0.1*ABS(BC176),BC176-BD176,BC176)</f>
        <v>0.91158844983184</v>
      </c>
      <c r="BF176" s="60" t="n">
        <f aca="false">IFERROR((((BE176+AQ176)*BE176+AR176)*BE176+AS176)/((3*BE176+2*AQ176)*BE176+AR176),0)</f>
        <v>0</v>
      </c>
      <c r="BG176" s="60" t="n">
        <f aca="false">IF(ABS(BF176)&lt;0.1*ABS(BE176),BE176-BF176,BE176)</f>
        <v>0.91158844983184</v>
      </c>
      <c r="BH176" s="60" t="n">
        <f aca="false">-AS176/BG176</f>
        <v>0.0118376711504565</v>
      </c>
      <c r="BI176" s="60" t="n">
        <f aca="false">(AR176-BH176)/BG176</f>
        <v>-0.00347297415783941</v>
      </c>
      <c r="BJ176" s="60" t="n">
        <f aca="false">BI176^2-4*BH176</f>
        <v>-0.0473386230523248</v>
      </c>
      <c r="BK176" s="60" t="n">
        <f aca="false">IF(BJ176&gt;=0,(BI176+IF(BI176&gt;=0,1,-1)*SQRT(BJ176))/2,0)</f>
        <v>0</v>
      </c>
      <c r="BL176" s="60" t="n">
        <f aca="false">IF(AND(BJ176&gt;=0,BK176&lt;&gt;0),MIN(BK176,BH176/BK176),-1)</f>
        <v>-1</v>
      </c>
      <c r="BM176" s="60" t="n">
        <f aca="false">AND(BJ176&gt;=0,BL176&gt;AP176,ABS(BG176-BL176)&gt;=0.00005*MAX(BG176,BL176))</f>
        <v>0</v>
      </c>
      <c r="BN176" s="60" t="n">
        <f aca="false">IF(BM176,IFERROR((((BL176+AQ176)*BL176+AR176)*BL176+AS176)/((3*BL176+2*AQ176)*BL176+AR176),0),0)</f>
        <v>0</v>
      </c>
      <c r="BO176" s="60" t="n">
        <f aca="false">IF(ABS(BN176)&lt;0.1*ABS(BL176),BL176-BN176,BL176)</f>
        <v>-1</v>
      </c>
      <c r="BP176" s="60" t="n">
        <f aca="false">IF(BM176,IFERROR((((BO176+AQ176)*BO176+AR176)*BO176+AS176)/((3*BO176+2*AQ176)*BO176+AR176),0),0)</f>
        <v>0</v>
      </c>
      <c r="BQ176" s="60" t="n">
        <f aca="false">IF(ABS(BP176)&lt;0.1*ABS(BO176),BO176-BP176,BO176)</f>
        <v>-1</v>
      </c>
      <c r="BR176" s="60" t="n">
        <f aca="false">IF(BM176,MAX(BG176,BQ176),BG176)</f>
        <v>0.91158844983184</v>
      </c>
      <c r="BS176" s="60" t="n">
        <f aca="false">IF(BM176,MIN(BG176,BQ176),-1)</f>
        <v>-1</v>
      </c>
      <c r="BT176" s="60" t="n">
        <f aca="false">CHOOSE($C$7,AO176/BR176,AO176/AP176*LN(1+AP176/BR176),AO176/(2*SQRT(2)*AP176)*LN((BR176+(1+SQRT(2))*AP176)/(BR176+(1-SQRT(2))*AP176)))</f>
        <v>0.218240791233887</v>
      </c>
      <c r="BU176" s="60" t="n">
        <f aca="false">BR176-1-LN(BR176-AP176)-BT176</f>
        <v>-0.107840271021729</v>
      </c>
      <c r="BV176" s="60" t="n">
        <f aca="false">IF(BM176,CHOOSE($C$7,AO176/BS176,AO176/AP176*LN(1+AP176/BS176),AO176/(2*SQRT(2)*AP176)*LN((BS176+(1+SQRT(2))*AP176)/(BS176+(1-SQRT(2))*AP176))),0)</f>
        <v>0</v>
      </c>
      <c r="BW176" s="60" t="n">
        <f aca="false">IF(BM176,BS176-1-LN(BS176-AP176)-BV176,0)</f>
        <v>0</v>
      </c>
      <c r="BX176" s="60" t="n">
        <f aca="false">AND(BM176,BW176&lt;BU176)</f>
        <v>0</v>
      </c>
      <c r="BY176" s="60" t="n">
        <f aca="false">IF(BX176,BS176,BR176)</f>
        <v>0.91158844983184</v>
      </c>
      <c r="BZ176" s="60" t="n">
        <f aca="false">IF(BX176,BV176,BT176)</f>
        <v>0.218240791233887</v>
      </c>
      <c r="CA176" s="60" t="n">
        <f aca="false">LN(BY176-AP176)</f>
        <v>-0.198812070380318</v>
      </c>
      <c r="CB176" s="60" t="n">
        <f aca="false">$E$27/AN176*(BY176-1)-CA176-BZ176*(2*AA176/AM176-$E$27/AN176)</f>
        <v>-0.107840271021729</v>
      </c>
      <c r="CC176" s="60" t="n">
        <f aca="false">$F$27/AN176*(BY176-1)-CA176-BZ176*(2*AB176/AM176-$F$27/AN176)</f>
        <v>0.198812070380318</v>
      </c>
      <c r="CD176" s="60" t="n">
        <f aca="false">$G$27/AN176*(BY176-1)-CA176-BZ176*(2*AC176/AM176-$G$27/AN176)</f>
        <v>0.198812070380318</v>
      </c>
      <c r="CE176" s="60" t="n">
        <f aca="false">$H$27/AN176*(BY176-1)-CA176-BZ176*(2*AD176/AM176-$H$27/AN176)</f>
        <v>0.198812070380318</v>
      </c>
      <c r="CF176" s="60" t="n">
        <f aca="false">$I$27/AN176*(BY176-1)-CA176-BZ176*(2*AE176/AM176-$I$27/AN176)</f>
        <v>0.198812070380318</v>
      </c>
      <c r="CG176" s="60" t="n">
        <f aca="false">$J$27/AN176*(BY176-1)-CA176-BZ176*(2*AF176/AM176-$J$27/AN176)</f>
        <v>0.198812070380318</v>
      </c>
      <c r="CH176" s="60" t="n">
        <f aca="false">$K$27/AN176*(BY176-1)-CA176-BZ176*(2*AG176/AM176-$K$27/AN176)</f>
        <v>0.198812070380318</v>
      </c>
      <c r="CI176" s="60" t="n">
        <f aca="false">$L$27/AN176*(BY176-1)-CA176-BZ176*(2*AH176/AM176-$L$27/AN176)</f>
        <v>0.198812070380318</v>
      </c>
      <c r="CJ176" s="60" t="n">
        <f aca="false">$M$27/AN176*(BY176-1)-CA176-BZ176*(2*AI176/AM176-$M$27/AN176)</f>
        <v>0.198812070380318</v>
      </c>
      <c r="CK176" s="60" t="n">
        <f aca="false">$N$27/AN176*(BY176-1)-CA176-BZ176*(2*AJ176/AM176-$N$27/AN176)</f>
        <v>0.198812070380318</v>
      </c>
      <c r="CL176" s="60" t="n">
        <f aca="false">$O$27/AN176*(BY176-1)-CA176-BZ176*(2*AK176/AM176-$O$27/AN176)</f>
        <v>0.198812070380318</v>
      </c>
      <c r="CM176" s="60" t="n">
        <f aca="false">$P$27/AN176*(BY176-1)-CA176-BZ176*(2*AL176/AM176-$P$27/AN176)</f>
        <v>0.198812070380318</v>
      </c>
      <c r="CN176" s="60" t="n">
        <f aca="false">AP176/BY176&gt;$C$22</f>
        <v>0</v>
      </c>
      <c r="CO176" s="60" t="n">
        <f aca="false">1-N176+SUMPRODUCT(B176:M176,CB176:CM176)-SUMPRODUCT(B176:M176,CB175:CM175)</f>
        <v>0</v>
      </c>
      <c r="CP176" s="60" t="n">
        <f aca="false">SUMXMY2(O176:Z176,$E$13:$P$13)</f>
        <v>0</v>
      </c>
    </row>
    <row r="177" customFormat="false" ht="15" hidden="false" customHeight="false" outlineLevel="0" collapsed="false">
      <c r="A177" s="59" t="n">
        <v>12</v>
      </c>
      <c r="B177" s="60" t="n">
        <f aca="false">$E$13*EXP(MAX(-700,MIN(700,$E$86-CB176)))</f>
        <v>1</v>
      </c>
      <c r="C177" s="60" t="n">
        <f aca="false">$F$13*EXP(MAX(-700,MIN(700,$F$86-CC176)))</f>
        <v>0</v>
      </c>
      <c r="D177" s="60" t="n">
        <f aca="false">$G$13*EXP(MAX(-700,MIN(700,$G$86-CD176)))</f>
        <v>0</v>
      </c>
      <c r="E177" s="60" t="n">
        <f aca="false">$H$13*EXP(MAX(-700,MIN(700,$H$86-CE176)))</f>
        <v>0</v>
      </c>
      <c r="F177" s="60" t="n">
        <f aca="false">$I$13*EXP(MAX(-700,MIN(700,$I$86-CF176)))</f>
        <v>0</v>
      </c>
      <c r="G177" s="60" t="n">
        <f aca="false">$J$13*EXP(MAX(-700,MIN(700,$J$86-CG176)))</f>
        <v>0</v>
      </c>
      <c r="H177" s="60" t="n">
        <f aca="false">$K$13*EXP(MAX(-700,MIN(700,$K$86-CH176)))</f>
        <v>0</v>
      </c>
      <c r="I177" s="60" t="n">
        <f aca="false">$L$13*EXP(MAX(-700,MIN(700,$L$86-CI176)))</f>
        <v>0</v>
      </c>
      <c r="J177" s="60" t="n">
        <f aca="false">$M$13*EXP(MAX(-700,MIN(700,$M$86-CJ176)))</f>
        <v>0</v>
      </c>
      <c r="K177" s="60" t="n">
        <f aca="false">$N$13*EXP(MAX(-700,MIN(700,$N$86-CK176)))</f>
        <v>0</v>
      </c>
      <c r="L177" s="60" t="n">
        <f aca="false">$O$13*EXP(MAX(-700,MIN(700,$O$86-CL176)))</f>
        <v>0</v>
      </c>
      <c r="M177" s="60" t="n">
        <f aca="false">$P$13*EXP(MAX(-700,MIN(700,$P$86-CM176)))</f>
        <v>0</v>
      </c>
      <c r="N177" s="60" t="n">
        <f aca="false">SUM(B177:M177)</f>
        <v>1</v>
      </c>
      <c r="O177" s="60" t="n">
        <f aca="false">B177/N177</f>
        <v>1</v>
      </c>
      <c r="P177" s="60" t="n">
        <f aca="false">C177/N177</f>
        <v>0</v>
      </c>
      <c r="Q177" s="60" t="n">
        <f aca="false">D177/N177</f>
        <v>0</v>
      </c>
      <c r="R177" s="60" t="n">
        <f aca="false">E177/N177</f>
        <v>0</v>
      </c>
      <c r="S177" s="60" t="n">
        <f aca="false">F177/N177</f>
        <v>0</v>
      </c>
      <c r="T177" s="60" t="n">
        <f aca="false">G177/N177</f>
        <v>0</v>
      </c>
      <c r="U177" s="60" t="n">
        <f aca="false">H177/N177</f>
        <v>0</v>
      </c>
      <c r="V177" s="60" t="n">
        <f aca="false">I177/N177</f>
        <v>0</v>
      </c>
      <c r="W177" s="60" t="n">
        <f aca="false">J177/N177</f>
        <v>0</v>
      </c>
      <c r="X177" s="60" t="n">
        <f aca="false">K177/N177</f>
        <v>0</v>
      </c>
      <c r="Y177" s="60" t="n">
        <f aca="false">L177/N177</f>
        <v>0</v>
      </c>
      <c r="Z177" s="60" t="n">
        <f aca="false">M177/N177</f>
        <v>0</v>
      </c>
      <c r="AA177" s="60" t="n">
        <f aca="false">$E$28*SUMPRODUCT($E$31:$P$31,O177:Z177,$E$28:$P$28)</f>
        <v>0.184416866619846</v>
      </c>
      <c r="AB177" s="60" t="n">
        <f aca="false">$F$28*SUMPRODUCT($E$32:$P$32,O177:Z177,$E$28:$P$28)</f>
        <v>0</v>
      </c>
      <c r="AC177" s="60" t="n">
        <f aca="false">$G$28*SUMPRODUCT($E$33:$P$33,O177:Z177,$E$28:$P$28)</f>
        <v>0</v>
      </c>
      <c r="AD177" s="60" t="n">
        <f aca="false">$H$28*SUMPRODUCT($E$34:$P$34,O177:Z177,$E$28:$P$28)</f>
        <v>0</v>
      </c>
      <c r="AE177" s="60" t="n">
        <f aca="false">$I$28*SUMPRODUCT($E$35:$P$35,O177:Z177,$E$28:$P$28)</f>
        <v>0</v>
      </c>
      <c r="AF177" s="60" t="n">
        <f aca="false">$J$28*SUMPRODUCT($E$36:$P$36,O177:Z177,$E$28:$P$28)</f>
        <v>0</v>
      </c>
      <c r="AG177" s="60" t="n">
        <f aca="false">$K$28*SUMPRODUCT($E$37:$P$37,O177:Z177,$E$28:$P$28)</f>
        <v>0</v>
      </c>
      <c r="AH177" s="60" t="n">
        <f aca="false">$L$28*SUMPRODUCT($E$38:$P$38,O177:Z177,$E$28:$P$28)</f>
        <v>0</v>
      </c>
      <c r="AI177" s="60" t="n">
        <f aca="false">$M$28*SUMPRODUCT($E$39:$P$39,O177:Z177,$E$28:$P$28)</f>
        <v>0</v>
      </c>
      <c r="AJ177" s="60" t="n">
        <f aca="false">$N$28*SUMPRODUCT($E$40:$P$40,O177:Z177,$E$28:$P$28)</f>
        <v>0</v>
      </c>
      <c r="AK177" s="60" t="n">
        <f aca="false">$O$28*SUMPRODUCT($E$41:$P$41,O177:Z177,$E$28:$P$28)</f>
        <v>0</v>
      </c>
      <c r="AL177" s="60" t="n">
        <f aca="false">$P$28*SUMPRODUCT($E$42:$P$42,O177:Z177,$E$28:$P$28)</f>
        <v>0</v>
      </c>
      <c r="AM177" s="60" t="n">
        <f aca="false">SUMPRODUCT(O177:Z177,AA177:AL177)</f>
        <v>0.184416866619846</v>
      </c>
      <c r="AN177" s="60" t="n">
        <f aca="false">SUMPRODUCT(O177:Z177,$E$27:$P$27)</f>
        <v>2.67389635063809E-005</v>
      </c>
      <c r="AO177" s="60" t="n">
        <f aca="false">AM177*$C$9/($C$10*$C$8)^2</f>
        <v>0.21776909410545</v>
      </c>
      <c r="AP177" s="60" t="n">
        <f aca="false">AN177*$C$9/($C$10*$C$8)</f>
        <v>0.0918845243259994</v>
      </c>
      <c r="AQ177" s="60" t="n">
        <f aca="false">CHOOSE($C$7,-(1+AP177),-1,-(1-AP177))</f>
        <v>-0.908115475674001</v>
      </c>
      <c r="AR177" s="60" t="n">
        <f aca="false">CHOOSE($C$7,AO177,AO177-AP177-AP177^2,AO177-3*AP177^2-2*AP177)</f>
        <v>0.00867174802160559</v>
      </c>
      <c r="AS177" s="60" t="n">
        <f aca="false">CHOOSE($C$7,-AO177*AP177,-AO177*AP177,-(AO177*AP177-AP177^2-AP177^3))</f>
        <v>-0.0107910842936637</v>
      </c>
      <c r="AT177" s="60" t="n">
        <f aca="false">AR177-AQ177^2/3</f>
        <v>-0.266219491031267</v>
      </c>
      <c r="AU177" s="60" t="n">
        <f aca="false">2*AQ177^3/27-AQ177*AR177/3+AS177</f>
        <v>-0.0636400988362784</v>
      </c>
      <c r="AV177" s="60" t="n">
        <f aca="false">AU177^2/4+AT177^3/27</f>
        <v>0.000313710901361829</v>
      </c>
      <c r="AW177" s="60" t="n">
        <f aca="false">-AU177/2-IF(AU177&gt;=0,1,-1)*SQRT(MAX(AV177,0))</f>
        <v>0.0495319352963236</v>
      </c>
      <c r="AX177" s="60" t="n">
        <f aca="false">SIGN(AW177)*ABS(AW177)^(1/3)</f>
        <v>0.367249967174439</v>
      </c>
      <c r="AY177" s="60" t="n">
        <f aca="false">IF(AX177=0,0,AX177-AT177/(3*AX177))</f>
        <v>0.60888329127384</v>
      </c>
      <c r="AZ177" s="60" t="n">
        <f aca="false">2*SQRT(MAX(-AT177,0)/3)</f>
        <v>0.595784626668918</v>
      </c>
      <c r="BA177" s="60" t="n">
        <f aca="false">ACOS(IF(AZ177=0,0,MAX(-1,MIN(1,3*AU177/(AT177*AZ177)))))</f>
        <v>0</v>
      </c>
      <c r="BB177" s="60" t="n">
        <f aca="false">AZ177*COS(BA177/3)</f>
        <v>0.595784626668918</v>
      </c>
      <c r="BC177" s="60" t="n">
        <f aca="false">IF(AV177&lt;0,BB177,AY177)-AQ177/3</f>
        <v>0.91158844983184</v>
      </c>
      <c r="BD177" s="60" t="n">
        <f aca="false">IFERROR((((BC177+AQ177)*BC177+AR177)*BC177+AS177)/((3*BC177+2*AQ177)*BC177+AR177),0)</f>
        <v>0</v>
      </c>
      <c r="BE177" s="60" t="n">
        <f aca="false">IF(ABS(BD177)&lt;0.1*ABS(BC177),BC177-BD177,BC177)</f>
        <v>0.91158844983184</v>
      </c>
      <c r="BF177" s="60" t="n">
        <f aca="false">IFERROR((((BE177+AQ177)*BE177+AR177)*BE177+AS177)/((3*BE177+2*AQ177)*BE177+AR177),0)</f>
        <v>0</v>
      </c>
      <c r="BG177" s="60" t="n">
        <f aca="false">IF(ABS(BF177)&lt;0.1*ABS(BE177),BE177-BF177,BE177)</f>
        <v>0.91158844983184</v>
      </c>
      <c r="BH177" s="60" t="n">
        <f aca="false">-AS177/BG177</f>
        <v>0.0118376711504565</v>
      </c>
      <c r="BI177" s="60" t="n">
        <f aca="false">(AR177-BH177)/BG177</f>
        <v>-0.00347297415783941</v>
      </c>
      <c r="BJ177" s="60" t="n">
        <f aca="false">BI177^2-4*BH177</f>
        <v>-0.0473386230523248</v>
      </c>
      <c r="BK177" s="60" t="n">
        <f aca="false">IF(BJ177&gt;=0,(BI177+IF(BI177&gt;=0,1,-1)*SQRT(BJ177))/2,0)</f>
        <v>0</v>
      </c>
      <c r="BL177" s="60" t="n">
        <f aca="false">IF(AND(BJ177&gt;=0,BK177&lt;&gt;0),MIN(BK177,BH177/BK177),-1)</f>
        <v>-1</v>
      </c>
      <c r="BM177" s="60" t="n">
        <f aca="false">AND(BJ177&gt;=0,BL177&gt;AP177,ABS(BG177-BL177)&gt;=0.00005*MAX(BG177,BL177))</f>
        <v>0</v>
      </c>
      <c r="BN177" s="60" t="n">
        <f aca="false">IF(BM177,IFERROR((((BL177+AQ177)*BL177+AR177)*BL177+AS177)/((3*BL177+2*AQ177)*BL177+AR177),0),0)</f>
        <v>0</v>
      </c>
      <c r="BO177" s="60" t="n">
        <f aca="false">IF(ABS(BN177)&lt;0.1*ABS(BL177),BL177-BN177,BL177)</f>
        <v>-1</v>
      </c>
      <c r="BP177" s="60" t="n">
        <f aca="false">IF(BM177,IFERROR((((BO177+AQ177)*BO177+AR177)*BO177+AS177)/((3*BO177+2*AQ177)*BO177+AR177),0),0)</f>
        <v>0</v>
      </c>
      <c r="BQ177" s="60" t="n">
        <f aca="false">IF(ABS(BP177)&lt;0.1*ABS(BO177),BO177-BP177,BO177)</f>
        <v>-1</v>
      </c>
      <c r="BR177" s="60" t="n">
        <f aca="false">IF(BM177,MAX(BG177,BQ177),BG177)</f>
        <v>0.91158844983184</v>
      </c>
      <c r="BS177" s="60" t="n">
        <f aca="false">IF(BM177,MIN(BG177,BQ177),-1)</f>
        <v>-1</v>
      </c>
      <c r="BT177" s="60" t="n">
        <f aca="false">CHOOSE($C$7,AO177/BR177,AO177/AP177*LN(1+AP177/BR177),AO177/(2*SQRT(2)*AP177)*LN((BR177+(1+SQRT(2))*AP177)/(BR177+(1-SQRT(2))*AP177)))</f>
        <v>0.218240791233887</v>
      </c>
      <c r="BU177" s="60" t="n">
        <f aca="false">BR177-1-LN(BR177-AP177)-BT177</f>
        <v>-0.107840271021729</v>
      </c>
      <c r="BV177" s="60" t="n">
        <f aca="false">IF(BM177,CHOOSE($C$7,AO177/BS177,AO177/AP177*LN(1+AP177/BS177),AO177/(2*SQRT(2)*AP177)*LN((BS177+(1+SQRT(2))*AP177)/(BS177+(1-SQRT(2))*AP177))),0)</f>
        <v>0</v>
      </c>
      <c r="BW177" s="60" t="n">
        <f aca="false">IF(BM177,BS177-1-LN(BS177-AP177)-BV177,0)</f>
        <v>0</v>
      </c>
      <c r="BX177" s="60" t="n">
        <f aca="false">AND(BM177,BW177&lt;BU177)</f>
        <v>0</v>
      </c>
      <c r="BY177" s="60" t="n">
        <f aca="false">IF(BX177,BS177,BR177)</f>
        <v>0.91158844983184</v>
      </c>
      <c r="BZ177" s="60" t="n">
        <f aca="false">IF(BX177,BV177,BT177)</f>
        <v>0.218240791233887</v>
      </c>
      <c r="CA177" s="60" t="n">
        <f aca="false">LN(BY177-AP177)</f>
        <v>-0.198812070380318</v>
      </c>
      <c r="CB177" s="60" t="n">
        <f aca="false">$E$27/AN177*(BY177-1)-CA177-BZ177*(2*AA177/AM177-$E$27/AN177)</f>
        <v>-0.107840271021729</v>
      </c>
      <c r="CC177" s="60" t="n">
        <f aca="false">$F$27/AN177*(BY177-1)-CA177-BZ177*(2*AB177/AM177-$F$27/AN177)</f>
        <v>0.198812070380318</v>
      </c>
      <c r="CD177" s="60" t="n">
        <f aca="false">$G$27/AN177*(BY177-1)-CA177-BZ177*(2*AC177/AM177-$G$27/AN177)</f>
        <v>0.198812070380318</v>
      </c>
      <c r="CE177" s="60" t="n">
        <f aca="false">$H$27/AN177*(BY177-1)-CA177-BZ177*(2*AD177/AM177-$H$27/AN177)</f>
        <v>0.198812070380318</v>
      </c>
      <c r="CF177" s="60" t="n">
        <f aca="false">$I$27/AN177*(BY177-1)-CA177-BZ177*(2*AE177/AM177-$I$27/AN177)</f>
        <v>0.198812070380318</v>
      </c>
      <c r="CG177" s="60" t="n">
        <f aca="false">$J$27/AN177*(BY177-1)-CA177-BZ177*(2*AF177/AM177-$J$27/AN177)</f>
        <v>0.198812070380318</v>
      </c>
      <c r="CH177" s="60" t="n">
        <f aca="false">$K$27/AN177*(BY177-1)-CA177-BZ177*(2*AG177/AM177-$K$27/AN177)</f>
        <v>0.198812070380318</v>
      </c>
      <c r="CI177" s="60" t="n">
        <f aca="false">$L$27/AN177*(BY177-1)-CA177-BZ177*(2*AH177/AM177-$L$27/AN177)</f>
        <v>0.198812070380318</v>
      </c>
      <c r="CJ177" s="60" t="n">
        <f aca="false">$M$27/AN177*(BY177-1)-CA177-BZ177*(2*AI177/AM177-$M$27/AN177)</f>
        <v>0.198812070380318</v>
      </c>
      <c r="CK177" s="60" t="n">
        <f aca="false">$N$27/AN177*(BY177-1)-CA177-BZ177*(2*AJ177/AM177-$N$27/AN177)</f>
        <v>0.198812070380318</v>
      </c>
      <c r="CL177" s="60" t="n">
        <f aca="false">$O$27/AN177*(BY177-1)-CA177-BZ177*(2*AK177/AM177-$O$27/AN177)</f>
        <v>0.198812070380318</v>
      </c>
      <c r="CM177" s="60" t="n">
        <f aca="false">$P$27/AN177*(BY177-1)-CA177-BZ177*(2*AL177/AM177-$P$27/AN177)</f>
        <v>0.198812070380318</v>
      </c>
      <c r="CN177" s="60" t="n">
        <f aca="false">AP177/BY177&gt;$C$22</f>
        <v>0</v>
      </c>
      <c r="CO177" s="60" t="n">
        <f aca="false">1-N177+SUMPRODUCT(B177:M177,CB177:CM177)-SUMPRODUCT(B177:M177,CB176:CM176)</f>
        <v>0</v>
      </c>
      <c r="CP177" s="60" t="n">
        <f aca="false">SUMXMY2(O177:Z177,$E$13:$P$13)</f>
        <v>0</v>
      </c>
    </row>
    <row r="178" customFormat="false" ht="15" hidden="false" customHeight="false" outlineLevel="0" collapsed="false">
      <c r="A178" s="59" t="n">
        <v>13</v>
      </c>
      <c r="B178" s="60" t="n">
        <f aca="false">$E$13*EXP(MAX(-700,MIN(700,$E$86-CB177)))</f>
        <v>1</v>
      </c>
      <c r="C178" s="60" t="n">
        <f aca="false">$F$13*EXP(MAX(-700,MIN(700,$F$86-CC177)))</f>
        <v>0</v>
      </c>
      <c r="D178" s="60" t="n">
        <f aca="false">$G$13*EXP(MAX(-700,MIN(700,$G$86-CD177)))</f>
        <v>0</v>
      </c>
      <c r="E178" s="60" t="n">
        <f aca="false">$H$13*EXP(MAX(-700,MIN(700,$H$86-CE177)))</f>
        <v>0</v>
      </c>
      <c r="F178" s="60" t="n">
        <f aca="false">$I$13*EXP(MAX(-700,MIN(700,$I$86-CF177)))</f>
        <v>0</v>
      </c>
      <c r="G178" s="60" t="n">
        <f aca="false">$J$13*EXP(MAX(-700,MIN(700,$J$86-CG177)))</f>
        <v>0</v>
      </c>
      <c r="H178" s="60" t="n">
        <f aca="false">$K$13*EXP(MAX(-700,MIN(700,$K$86-CH177)))</f>
        <v>0</v>
      </c>
      <c r="I178" s="60" t="n">
        <f aca="false">$L$13*EXP(MAX(-700,MIN(700,$L$86-CI177)))</f>
        <v>0</v>
      </c>
      <c r="J178" s="60" t="n">
        <f aca="false">$M$13*EXP(MAX(-700,MIN(700,$M$86-CJ177)))</f>
        <v>0</v>
      </c>
      <c r="K178" s="60" t="n">
        <f aca="false">$N$13*EXP(MAX(-700,MIN(700,$N$86-CK177)))</f>
        <v>0</v>
      </c>
      <c r="L178" s="60" t="n">
        <f aca="false">$O$13*EXP(MAX(-700,MIN(700,$O$86-CL177)))</f>
        <v>0</v>
      </c>
      <c r="M178" s="60" t="n">
        <f aca="false">$P$13*EXP(MAX(-700,MIN(700,$P$86-CM177)))</f>
        <v>0</v>
      </c>
      <c r="N178" s="60" t="n">
        <f aca="false">SUM(B178:M178)</f>
        <v>1</v>
      </c>
      <c r="O178" s="60" t="n">
        <f aca="false">B178/N178</f>
        <v>1</v>
      </c>
      <c r="P178" s="60" t="n">
        <f aca="false">C178/N178</f>
        <v>0</v>
      </c>
      <c r="Q178" s="60" t="n">
        <f aca="false">D178/N178</f>
        <v>0</v>
      </c>
      <c r="R178" s="60" t="n">
        <f aca="false">E178/N178</f>
        <v>0</v>
      </c>
      <c r="S178" s="60" t="n">
        <f aca="false">F178/N178</f>
        <v>0</v>
      </c>
      <c r="T178" s="60" t="n">
        <f aca="false">G178/N178</f>
        <v>0</v>
      </c>
      <c r="U178" s="60" t="n">
        <f aca="false">H178/N178</f>
        <v>0</v>
      </c>
      <c r="V178" s="60" t="n">
        <f aca="false">I178/N178</f>
        <v>0</v>
      </c>
      <c r="W178" s="60" t="n">
        <f aca="false">J178/N178</f>
        <v>0</v>
      </c>
      <c r="X178" s="60" t="n">
        <f aca="false">K178/N178</f>
        <v>0</v>
      </c>
      <c r="Y178" s="60" t="n">
        <f aca="false">L178/N178</f>
        <v>0</v>
      </c>
      <c r="Z178" s="60" t="n">
        <f aca="false">M178/N178</f>
        <v>0</v>
      </c>
      <c r="AA178" s="60" t="n">
        <f aca="false">$E$28*SUMPRODUCT($E$31:$P$31,O178:Z178,$E$28:$P$28)</f>
        <v>0.184416866619846</v>
      </c>
      <c r="AB178" s="60" t="n">
        <f aca="false">$F$28*SUMPRODUCT($E$32:$P$32,O178:Z178,$E$28:$P$28)</f>
        <v>0</v>
      </c>
      <c r="AC178" s="60" t="n">
        <f aca="false">$G$28*SUMPRODUCT($E$33:$P$33,O178:Z178,$E$28:$P$28)</f>
        <v>0</v>
      </c>
      <c r="AD178" s="60" t="n">
        <f aca="false">$H$28*SUMPRODUCT($E$34:$P$34,O178:Z178,$E$28:$P$28)</f>
        <v>0</v>
      </c>
      <c r="AE178" s="60" t="n">
        <f aca="false">$I$28*SUMPRODUCT($E$35:$P$35,O178:Z178,$E$28:$P$28)</f>
        <v>0</v>
      </c>
      <c r="AF178" s="60" t="n">
        <f aca="false">$J$28*SUMPRODUCT($E$36:$P$36,O178:Z178,$E$28:$P$28)</f>
        <v>0</v>
      </c>
      <c r="AG178" s="60" t="n">
        <f aca="false">$K$28*SUMPRODUCT($E$37:$P$37,O178:Z178,$E$28:$P$28)</f>
        <v>0</v>
      </c>
      <c r="AH178" s="60" t="n">
        <f aca="false">$L$28*SUMPRODUCT($E$38:$P$38,O178:Z178,$E$28:$P$28)</f>
        <v>0</v>
      </c>
      <c r="AI178" s="60" t="n">
        <f aca="false">$M$28*SUMPRODUCT($E$39:$P$39,O178:Z178,$E$28:$P$28)</f>
        <v>0</v>
      </c>
      <c r="AJ178" s="60" t="n">
        <f aca="false">$N$28*SUMPRODUCT($E$40:$P$40,O178:Z178,$E$28:$P$28)</f>
        <v>0</v>
      </c>
      <c r="AK178" s="60" t="n">
        <f aca="false">$O$28*SUMPRODUCT($E$41:$P$41,O178:Z178,$E$28:$P$28)</f>
        <v>0</v>
      </c>
      <c r="AL178" s="60" t="n">
        <f aca="false">$P$28*SUMPRODUCT($E$42:$P$42,O178:Z178,$E$28:$P$28)</f>
        <v>0</v>
      </c>
      <c r="AM178" s="60" t="n">
        <f aca="false">SUMPRODUCT(O178:Z178,AA178:AL178)</f>
        <v>0.184416866619846</v>
      </c>
      <c r="AN178" s="60" t="n">
        <f aca="false">SUMPRODUCT(O178:Z178,$E$27:$P$27)</f>
        <v>2.67389635063809E-005</v>
      </c>
      <c r="AO178" s="60" t="n">
        <f aca="false">AM178*$C$9/($C$10*$C$8)^2</f>
        <v>0.21776909410545</v>
      </c>
      <c r="AP178" s="60" t="n">
        <f aca="false">AN178*$C$9/($C$10*$C$8)</f>
        <v>0.0918845243259994</v>
      </c>
      <c r="AQ178" s="60" t="n">
        <f aca="false">CHOOSE($C$7,-(1+AP178),-1,-(1-AP178))</f>
        <v>-0.908115475674001</v>
      </c>
      <c r="AR178" s="60" t="n">
        <f aca="false">CHOOSE($C$7,AO178,AO178-AP178-AP178^2,AO178-3*AP178^2-2*AP178)</f>
        <v>0.00867174802160559</v>
      </c>
      <c r="AS178" s="60" t="n">
        <f aca="false">CHOOSE($C$7,-AO178*AP178,-AO178*AP178,-(AO178*AP178-AP178^2-AP178^3))</f>
        <v>-0.0107910842936637</v>
      </c>
      <c r="AT178" s="60" t="n">
        <f aca="false">AR178-AQ178^2/3</f>
        <v>-0.266219491031267</v>
      </c>
      <c r="AU178" s="60" t="n">
        <f aca="false">2*AQ178^3/27-AQ178*AR178/3+AS178</f>
        <v>-0.0636400988362784</v>
      </c>
      <c r="AV178" s="60" t="n">
        <f aca="false">AU178^2/4+AT178^3/27</f>
        <v>0.000313710901361829</v>
      </c>
      <c r="AW178" s="60" t="n">
        <f aca="false">-AU178/2-IF(AU178&gt;=0,1,-1)*SQRT(MAX(AV178,0))</f>
        <v>0.0495319352963236</v>
      </c>
      <c r="AX178" s="60" t="n">
        <f aca="false">SIGN(AW178)*ABS(AW178)^(1/3)</f>
        <v>0.367249967174439</v>
      </c>
      <c r="AY178" s="60" t="n">
        <f aca="false">IF(AX178=0,0,AX178-AT178/(3*AX178))</f>
        <v>0.60888329127384</v>
      </c>
      <c r="AZ178" s="60" t="n">
        <f aca="false">2*SQRT(MAX(-AT178,0)/3)</f>
        <v>0.595784626668918</v>
      </c>
      <c r="BA178" s="60" t="n">
        <f aca="false">ACOS(IF(AZ178=0,0,MAX(-1,MIN(1,3*AU178/(AT178*AZ178)))))</f>
        <v>0</v>
      </c>
      <c r="BB178" s="60" t="n">
        <f aca="false">AZ178*COS(BA178/3)</f>
        <v>0.595784626668918</v>
      </c>
      <c r="BC178" s="60" t="n">
        <f aca="false">IF(AV178&lt;0,BB178,AY178)-AQ178/3</f>
        <v>0.91158844983184</v>
      </c>
      <c r="BD178" s="60" t="n">
        <f aca="false">IFERROR((((BC178+AQ178)*BC178+AR178)*BC178+AS178)/((3*BC178+2*AQ178)*BC178+AR178),0)</f>
        <v>0</v>
      </c>
      <c r="BE178" s="60" t="n">
        <f aca="false">IF(ABS(BD178)&lt;0.1*ABS(BC178),BC178-BD178,BC178)</f>
        <v>0.91158844983184</v>
      </c>
      <c r="BF178" s="60" t="n">
        <f aca="false">IFERROR((((BE178+AQ178)*BE178+AR178)*BE178+AS178)/((3*BE178+2*AQ178)*BE178+AR178),0)</f>
        <v>0</v>
      </c>
      <c r="BG178" s="60" t="n">
        <f aca="false">IF(ABS(BF178)&lt;0.1*ABS(BE178),BE178-BF178,BE178)</f>
        <v>0.91158844983184</v>
      </c>
      <c r="BH178" s="60" t="n">
        <f aca="false">-AS178/BG178</f>
        <v>0.0118376711504565</v>
      </c>
      <c r="BI178" s="60" t="n">
        <f aca="false">(AR178-BH178)/BG178</f>
        <v>-0.00347297415783941</v>
      </c>
      <c r="BJ178" s="60" t="n">
        <f aca="false">BI178^2-4*BH178</f>
        <v>-0.0473386230523248</v>
      </c>
      <c r="BK178" s="60" t="n">
        <f aca="false">IF(BJ178&gt;=0,(BI178+IF(BI178&gt;=0,1,-1)*SQRT(BJ178))/2,0)</f>
        <v>0</v>
      </c>
      <c r="BL178" s="60" t="n">
        <f aca="false">IF(AND(BJ178&gt;=0,BK178&lt;&gt;0),MIN(BK178,BH178/BK178),-1)</f>
        <v>-1</v>
      </c>
      <c r="BM178" s="60" t="n">
        <f aca="false">AND(BJ178&gt;=0,BL178&gt;AP178,ABS(BG178-BL178)&gt;=0.00005*MAX(BG178,BL178))</f>
        <v>0</v>
      </c>
      <c r="BN178" s="60" t="n">
        <f aca="false">IF(BM178,IFERROR((((BL178+AQ178)*BL178+AR178)*BL178+AS178)/((3*BL178+2*AQ178)*BL178+AR178),0),0)</f>
        <v>0</v>
      </c>
      <c r="BO178" s="60" t="n">
        <f aca="false">IF(ABS(BN178)&lt;0.1*ABS(BL178),BL178-BN178,BL178)</f>
        <v>-1</v>
      </c>
      <c r="BP178" s="60" t="n">
        <f aca="false">IF(BM178,IFERROR((((BO178+AQ178)*BO178+AR178)*BO178+AS178)/((3*BO178+2*AQ178)*BO178+AR178),0),0)</f>
        <v>0</v>
      </c>
      <c r="BQ178" s="60" t="n">
        <f aca="false">IF(ABS(BP178)&lt;0.1*ABS(BO178),BO178-BP178,BO178)</f>
        <v>-1</v>
      </c>
      <c r="BR178" s="60" t="n">
        <f aca="false">IF(BM178,MAX(BG178,BQ178),BG178)</f>
        <v>0.91158844983184</v>
      </c>
      <c r="BS178" s="60" t="n">
        <f aca="false">IF(BM178,MIN(BG178,BQ178),-1)</f>
        <v>-1</v>
      </c>
      <c r="BT178" s="60" t="n">
        <f aca="false">CHOOSE($C$7,AO178/BR178,AO178/AP178*LN(1+AP178/BR178),AO178/(2*SQRT(2)*AP178)*LN((BR178+(1+SQRT(2))*AP178)/(BR178+(1-SQRT(2))*AP178)))</f>
        <v>0.218240791233887</v>
      </c>
      <c r="BU178" s="60" t="n">
        <f aca="false">BR178-1-LN(BR178-AP178)-BT178</f>
        <v>-0.107840271021729</v>
      </c>
      <c r="BV178" s="60" t="n">
        <f aca="false">IF(BM178,CHOOSE($C$7,AO178/BS178,AO178/AP178*LN(1+AP178/BS178),AO178/(2*SQRT(2)*AP178)*LN((BS178+(1+SQRT(2))*AP178)/(BS178+(1-SQRT(2))*AP178))),0)</f>
        <v>0</v>
      </c>
      <c r="BW178" s="60" t="n">
        <f aca="false">IF(BM178,BS178-1-LN(BS178-AP178)-BV178,0)</f>
        <v>0</v>
      </c>
      <c r="BX178" s="60" t="n">
        <f aca="false">AND(BM178,BW178&lt;BU178)</f>
        <v>0</v>
      </c>
      <c r="BY178" s="60" t="n">
        <f aca="false">IF(BX178,BS178,BR178)</f>
        <v>0.91158844983184</v>
      </c>
      <c r="BZ178" s="60" t="n">
        <f aca="false">IF(BX178,BV178,BT178)</f>
        <v>0.218240791233887</v>
      </c>
      <c r="CA178" s="60" t="n">
        <f aca="false">LN(BY178-AP178)</f>
        <v>-0.198812070380318</v>
      </c>
      <c r="CB178" s="60" t="n">
        <f aca="false">$E$27/AN178*(BY178-1)-CA178-BZ178*(2*AA178/AM178-$E$27/AN178)</f>
        <v>-0.107840271021729</v>
      </c>
      <c r="CC178" s="60" t="n">
        <f aca="false">$F$27/AN178*(BY178-1)-CA178-BZ178*(2*AB178/AM178-$F$27/AN178)</f>
        <v>0.198812070380318</v>
      </c>
      <c r="CD178" s="60" t="n">
        <f aca="false">$G$27/AN178*(BY178-1)-CA178-BZ178*(2*AC178/AM178-$G$27/AN178)</f>
        <v>0.198812070380318</v>
      </c>
      <c r="CE178" s="60" t="n">
        <f aca="false">$H$27/AN178*(BY178-1)-CA178-BZ178*(2*AD178/AM178-$H$27/AN178)</f>
        <v>0.198812070380318</v>
      </c>
      <c r="CF178" s="60" t="n">
        <f aca="false">$I$27/AN178*(BY178-1)-CA178-BZ178*(2*AE178/AM178-$I$27/AN178)</f>
        <v>0.198812070380318</v>
      </c>
      <c r="CG178" s="60" t="n">
        <f aca="false">$J$27/AN178*(BY178-1)-CA178-BZ178*(2*AF178/AM178-$J$27/AN178)</f>
        <v>0.198812070380318</v>
      </c>
      <c r="CH178" s="60" t="n">
        <f aca="false">$K$27/AN178*(BY178-1)-CA178-BZ178*(2*AG178/AM178-$K$27/AN178)</f>
        <v>0.198812070380318</v>
      </c>
      <c r="CI178" s="60" t="n">
        <f aca="false">$L$27/AN178*(BY178-1)-CA178-BZ178*(2*AH178/AM178-$L$27/AN178)</f>
        <v>0.198812070380318</v>
      </c>
      <c r="CJ178" s="60" t="n">
        <f aca="false">$M$27/AN178*(BY178-1)-CA178-BZ178*(2*AI178/AM178-$M$27/AN178)</f>
        <v>0.198812070380318</v>
      </c>
      <c r="CK178" s="60" t="n">
        <f aca="false">$N$27/AN178*(BY178-1)-CA178-BZ178*(2*AJ178/AM178-$N$27/AN178)</f>
        <v>0.198812070380318</v>
      </c>
      <c r="CL178" s="60" t="n">
        <f aca="false">$O$27/AN178*(BY178-1)-CA178-BZ178*(2*AK178/AM178-$O$27/AN178)</f>
        <v>0.198812070380318</v>
      </c>
      <c r="CM178" s="60" t="n">
        <f aca="false">$P$27/AN178*(BY178-1)-CA178-BZ178*(2*AL178/AM178-$P$27/AN178)</f>
        <v>0.198812070380318</v>
      </c>
      <c r="CN178" s="60" t="n">
        <f aca="false">AP178/BY178&gt;$C$22</f>
        <v>0</v>
      </c>
      <c r="CO178" s="60" t="n">
        <f aca="false">1-N178+SUMPRODUCT(B178:M178,CB178:CM178)-SUMPRODUCT(B178:M178,CB177:CM177)</f>
        <v>0</v>
      </c>
      <c r="CP178" s="60" t="n">
        <f aca="false">SUMXMY2(O178:Z178,$E$13:$P$13)</f>
        <v>0</v>
      </c>
    </row>
    <row r="179" customFormat="false" ht="15" hidden="false" customHeight="false" outlineLevel="0" collapsed="false">
      <c r="A179" s="59" t="n">
        <v>14</v>
      </c>
      <c r="B179" s="60" t="n">
        <f aca="false">$E$13*EXP(MAX(-700,MIN(700,$E$86-CB178)))</f>
        <v>1</v>
      </c>
      <c r="C179" s="60" t="n">
        <f aca="false">$F$13*EXP(MAX(-700,MIN(700,$F$86-CC178)))</f>
        <v>0</v>
      </c>
      <c r="D179" s="60" t="n">
        <f aca="false">$G$13*EXP(MAX(-700,MIN(700,$G$86-CD178)))</f>
        <v>0</v>
      </c>
      <c r="E179" s="60" t="n">
        <f aca="false">$H$13*EXP(MAX(-700,MIN(700,$H$86-CE178)))</f>
        <v>0</v>
      </c>
      <c r="F179" s="60" t="n">
        <f aca="false">$I$13*EXP(MAX(-700,MIN(700,$I$86-CF178)))</f>
        <v>0</v>
      </c>
      <c r="G179" s="60" t="n">
        <f aca="false">$J$13*EXP(MAX(-700,MIN(700,$J$86-CG178)))</f>
        <v>0</v>
      </c>
      <c r="H179" s="60" t="n">
        <f aca="false">$K$13*EXP(MAX(-700,MIN(700,$K$86-CH178)))</f>
        <v>0</v>
      </c>
      <c r="I179" s="60" t="n">
        <f aca="false">$L$13*EXP(MAX(-700,MIN(700,$L$86-CI178)))</f>
        <v>0</v>
      </c>
      <c r="J179" s="60" t="n">
        <f aca="false">$M$13*EXP(MAX(-700,MIN(700,$M$86-CJ178)))</f>
        <v>0</v>
      </c>
      <c r="K179" s="60" t="n">
        <f aca="false">$N$13*EXP(MAX(-700,MIN(700,$N$86-CK178)))</f>
        <v>0</v>
      </c>
      <c r="L179" s="60" t="n">
        <f aca="false">$O$13*EXP(MAX(-700,MIN(700,$O$86-CL178)))</f>
        <v>0</v>
      </c>
      <c r="M179" s="60" t="n">
        <f aca="false">$P$13*EXP(MAX(-700,MIN(700,$P$86-CM178)))</f>
        <v>0</v>
      </c>
      <c r="N179" s="60" t="n">
        <f aca="false">SUM(B179:M179)</f>
        <v>1</v>
      </c>
      <c r="O179" s="60" t="n">
        <f aca="false">B179/N179</f>
        <v>1</v>
      </c>
      <c r="P179" s="60" t="n">
        <f aca="false">C179/N179</f>
        <v>0</v>
      </c>
      <c r="Q179" s="60" t="n">
        <f aca="false">D179/N179</f>
        <v>0</v>
      </c>
      <c r="R179" s="60" t="n">
        <f aca="false">E179/N179</f>
        <v>0</v>
      </c>
      <c r="S179" s="60" t="n">
        <f aca="false">F179/N179</f>
        <v>0</v>
      </c>
      <c r="T179" s="60" t="n">
        <f aca="false">G179/N179</f>
        <v>0</v>
      </c>
      <c r="U179" s="60" t="n">
        <f aca="false">H179/N179</f>
        <v>0</v>
      </c>
      <c r="V179" s="60" t="n">
        <f aca="false">I179/N179</f>
        <v>0</v>
      </c>
      <c r="W179" s="60" t="n">
        <f aca="false">J179/N179</f>
        <v>0</v>
      </c>
      <c r="X179" s="60" t="n">
        <f aca="false">K179/N179</f>
        <v>0</v>
      </c>
      <c r="Y179" s="60" t="n">
        <f aca="false">L179/N179</f>
        <v>0</v>
      </c>
      <c r="Z179" s="60" t="n">
        <f aca="false">M179/N179</f>
        <v>0</v>
      </c>
      <c r="AA179" s="60" t="n">
        <f aca="false">$E$28*SUMPRODUCT($E$31:$P$31,O179:Z179,$E$28:$P$28)</f>
        <v>0.184416866619846</v>
      </c>
      <c r="AB179" s="60" t="n">
        <f aca="false">$F$28*SUMPRODUCT($E$32:$P$32,O179:Z179,$E$28:$P$28)</f>
        <v>0</v>
      </c>
      <c r="AC179" s="60" t="n">
        <f aca="false">$G$28*SUMPRODUCT($E$33:$P$33,O179:Z179,$E$28:$P$28)</f>
        <v>0</v>
      </c>
      <c r="AD179" s="60" t="n">
        <f aca="false">$H$28*SUMPRODUCT($E$34:$P$34,O179:Z179,$E$28:$P$28)</f>
        <v>0</v>
      </c>
      <c r="AE179" s="60" t="n">
        <f aca="false">$I$28*SUMPRODUCT($E$35:$P$35,O179:Z179,$E$28:$P$28)</f>
        <v>0</v>
      </c>
      <c r="AF179" s="60" t="n">
        <f aca="false">$J$28*SUMPRODUCT($E$36:$P$36,O179:Z179,$E$28:$P$28)</f>
        <v>0</v>
      </c>
      <c r="AG179" s="60" t="n">
        <f aca="false">$K$28*SUMPRODUCT($E$37:$P$37,O179:Z179,$E$28:$P$28)</f>
        <v>0</v>
      </c>
      <c r="AH179" s="60" t="n">
        <f aca="false">$L$28*SUMPRODUCT($E$38:$P$38,O179:Z179,$E$28:$P$28)</f>
        <v>0</v>
      </c>
      <c r="AI179" s="60" t="n">
        <f aca="false">$M$28*SUMPRODUCT($E$39:$P$39,O179:Z179,$E$28:$P$28)</f>
        <v>0</v>
      </c>
      <c r="AJ179" s="60" t="n">
        <f aca="false">$N$28*SUMPRODUCT($E$40:$P$40,O179:Z179,$E$28:$P$28)</f>
        <v>0</v>
      </c>
      <c r="AK179" s="60" t="n">
        <f aca="false">$O$28*SUMPRODUCT($E$41:$P$41,O179:Z179,$E$28:$P$28)</f>
        <v>0</v>
      </c>
      <c r="AL179" s="60" t="n">
        <f aca="false">$P$28*SUMPRODUCT($E$42:$P$42,O179:Z179,$E$28:$P$28)</f>
        <v>0</v>
      </c>
      <c r="AM179" s="60" t="n">
        <f aca="false">SUMPRODUCT(O179:Z179,AA179:AL179)</f>
        <v>0.184416866619846</v>
      </c>
      <c r="AN179" s="60" t="n">
        <f aca="false">SUMPRODUCT(O179:Z179,$E$27:$P$27)</f>
        <v>2.67389635063809E-005</v>
      </c>
      <c r="AO179" s="60" t="n">
        <f aca="false">AM179*$C$9/($C$10*$C$8)^2</f>
        <v>0.21776909410545</v>
      </c>
      <c r="AP179" s="60" t="n">
        <f aca="false">AN179*$C$9/($C$10*$C$8)</f>
        <v>0.0918845243259994</v>
      </c>
      <c r="AQ179" s="60" t="n">
        <f aca="false">CHOOSE($C$7,-(1+AP179),-1,-(1-AP179))</f>
        <v>-0.908115475674001</v>
      </c>
      <c r="AR179" s="60" t="n">
        <f aca="false">CHOOSE($C$7,AO179,AO179-AP179-AP179^2,AO179-3*AP179^2-2*AP179)</f>
        <v>0.00867174802160559</v>
      </c>
      <c r="AS179" s="60" t="n">
        <f aca="false">CHOOSE($C$7,-AO179*AP179,-AO179*AP179,-(AO179*AP179-AP179^2-AP179^3))</f>
        <v>-0.0107910842936637</v>
      </c>
      <c r="AT179" s="60" t="n">
        <f aca="false">AR179-AQ179^2/3</f>
        <v>-0.266219491031267</v>
      </c>
      <c r="AU179" s="60" t="n">
        <f aca="false">2*AQ179^3/27-AQ179*AR179/3+AS179</f>
        <v>-0.0636400988362784</v>
      </c>
      <c r="AV179" s="60" t="n">
        <f aca="false">AU179^2/4+AT179^3/27</f>
        <v>0.000313710901361829</v>
      </c>
      <c r="AW179" s="60" t="n">
        <f aca="false">-AU179/2-IF(AU179&gt;=0,1,-1)*SQRT(MAX(AV179,0))</f>
        <v>0.0495319352963236</v>
      </c>
      <c r="AX179" s="60" t="n">
        <f aca="false">SIGN(AW179)*ABS(AW179)^(1/3)</f>
        <v>0.367249967174439</v>
      </c>
      <c r="AY179" s="60" t="n">
        <f aca="false">IF(AX179=0,0,AX179-AT179/(3*AX179))</f>
        <v>0.60888329127384</v>
      </c>
      <c r="AZ179" s="60" t="n">
        <f aca="false">2*SQRT(MAX(-AT179,0)/3)</f>
        <v>0.595784626668918</v>
      </c>
      <c r="BA179" s="60" t="n">
        <f aca="false">ACOS(IF(AZ179=0,0,MAX(-1,MIN(1,3*AU179/(AT179*AZ179)))))</f>
        <v>0</v>
      </c>
      <c r="BB179" s="60" t="n">
        <f aca="false">AZ179*COS(BA179/3)</f>
        <v>0.595784626668918</v>
      </c>
      <c r="BC179" s="60" t="n">
        <f aca="false">IF(AV179&lt;0,BB179,AY179)-AQ179/3</f>
        <v>0.91158844983184</v>
      </c>
      <c r="BD179" s="60" t="n">
        <f aca="false">IFERROR((((BC179+AQ179)*BC179+AR179)*BC179+AS179)/((3*BC179+2*AQ179)*BC179+AR179),0)</f>
        <v>0</v>
      </c>
      <c r="BE179" s="60" t="n">
        <f aca="false">IF(ABS(BD179)&lt;0.1*ABS(BC179),BC179-BD179,BC179)</f>
        <v>0.91158844983184</v>
      </c>
      <c r="BF179" s="60" t="n">
        <f aca="false">IFERROR((((BE179+AQ179)*BE179+AR179)*BE179+AS179)/((3*BE179+2*AQ179)*BE179+AR179),0)</f>
        <v>0</v>
      </c>
      <c r="BG179" s="60" t="n">
        <f aca="false">IF(ABS(BF179)&lt;0.1*ABS(BE179),BE179-BF179,BE179)</f>
        <v>0.91158844983184</v>
      </c>
      <c r="BH179" s="60" t="n">
        <f aca="false">-AS179/BG179</f>
        <v>0.0118376711504565</v>
      </c>
      <c r="BI179" s="60" t="n">
        <f aca="false">(AR179-BH179)/BG179</f>
        <v>-0.00347297415783941</v>
      </c>
      <c r="BJ179" s="60" t="n">
        <f aca="false">BI179^2-4*BH179</f>
        <v>-0.0473386230523248</v>
      </c>
      <c r="BK179" s="60" t="n">
        <f aca="false">IF(BJ179&gt;=0,(BI179+IF(BI179&gt;=0,1,-1)*SQRT(BJ179))/2,0)</f>
        <v>0</v>
      </c>
      <c r="BL179" s="60" t="n">
        <f aca="false">IF(AND(BJ179&gt;=0,BK179&lt;&gt;0),MIN(BK179,BH179/BK179),-1)</f>
        <v>-1</v>
      </c>
      <c r="BM179" s="60" t="n">
        <f aca="false">AND(BJ179&gt;=0,BL179&gt;AP179,ABS(BG179-BL179)&gt;=0.00005*MAX(BG179,BL179))</f>
        <v>0</v>
      </c>
      <c r="BN179" s="60" t="n">
        <f aca="false">IF(BM179,IFERROR((((BL179+AQ179)*BL179+AR179)*BL179+AS179)/((3*BL179+2*AQ179)*BL179+AR179),0),0)</f>
        <v>0</v>
      </c>
      <c r="BO179" s="60" t="n">
        <f aca="false">IF(ABS(BN179)&lt;0.1*ABS(BL179),BL179-BN179,BL179)</f>
        <v>-1</v>
      </c>
      <c r="BP179" s="60" t="n">
        <f aca="false">IF(BM179,IFERROR((((BO179+AQ179)*BO179+AR179)*BO179+AS179)/((3*BO179+2*AQ179)*BO179+AR179),0),0)</f>
        <v>0</v>
      </c>
      <c r="BQ179" s="60" t="n">
        <f aca="false">IF(ABS(BP179)&lt;0.1*ABS(BO179),BO179-BP179,BO179)</f>
        <v>-1</v>
      </c>
      <c r="BR179" s="60" t="n">
        <f aca="false">IF(BM179,MAX(BG179,BQ179),BG179)</f>
        <v>0.91158844983184</v>
      </c>
      <c r="BS179" s="60" t="n">
        <f aca="false">IF(BM179,MIN(BG179,BQ179),-1)</f>
        <v>-1</v>
      </c>
      <c r="BT179" s="60" t="n">
        <f aca="false">CHOOSE($C$7,AO179/BR179,AO179/AP179*LN(1+AP179/BR179),AO179/(2*SQRT(2)*AP179)*LN((BR179+(1+SQRT(2))*AP179)/(BR179+(1-SQRT(2))*AP179)))</f>
        <v>0.218240791233887</v>
      </c>
      <c r="BU179" s="60" t="n">
        <f aca="false">BR179-1-LN(BR179-AP179)-BT179</f>
        <v>-0.107840271021729</v>
      </c>
      <c r="BV179" s="60" t="n">
        <f aca="false">IF(BM179,CHOOSE($C$7,AO179/BS179,AO179/AP179*LN(1+AP179/BS179),AO179/(2*SQRT(2)*AP179)*LN((BS179+(1+SQRT(2))*AP179)/(BS179+(1-SQRT(2))*AP179))),0)</f>
        <v>0</v>
      </c>
      <c r="BW179" s="60" t="n">
        <f aca="false">IF(BM179,BS179-1-LN(BS179-AP179)-BV179,0)</f>
        <v>0</v>
      </c>
      <c r="BX179" s="60" t="n">
        <f aca="false">AND(BM179,BW179&lt;BU179)</f>
        <v>0</v>
      </c>
      <c r="BY179" s="60" t="n">
        <f aca="false">IF(BX179,BS179,BR179)</f>
        <v>0.91158844983184</v>
      </c>
      <c r="BZ179" s="60" t="n">
        <f aca="false">IF(BX179,BV179,BT179)</f>
        <v>0.218240791233887</v>
      </c>
      <c r="CA179" s="60" t="n">
        <f aca="false">LN(BY179-AP179)</f>
        <v>-0.198812070380318</v>
      </c>
      <c r="CB179" s="60" t="n">
        <f aca="false">$E$27/AN179*(BY179-1)-CA179-BZ179*(2*AA179/AM179-$E$27/AN179)</f>
        <v>-0.107840271021729</v>
      </c>
      <c r="CC179" s="60" t="n">
        <f aca="false">$F$27/AN179*(BY179-1)-CA179-BZ179*(2*AB179/AM179-$F$27/AN179)</f>
        <v>0.198812070380318</v>
      </c>
      <c r="CD179" s="60" t="n">
        <f aca="false">$G$27/AN179*(BY179-1)-CA179-BZ179*(2*AC179/AM179-$G$27/AN179)</f>
        <v>0.198812070380318</v>
      </c>
      <c r="CE179" s="60" t="n">
        <f aca="false">$H$27/AN179*(BY179-1)-CA179-BZ179*(2*AD179/AM179-$H$27/AN179)</f>
        <v>0.198812070380318</v>
      </c>
      <c r="CF179" s="60" t="n">
        <f aca="false">$I$27/AN179*(BY179-1)-CA179-BZ179*(2*AE179/AM179-$I$27/AN179)</f>
        <v>0.198812070380318</v>
      </c>
      <c r="CG179" s="60" t="n">
        <f aca="false">$J$27/AN179*(BY179-1)-CA179-BZ179*(2*AF179/AM179-$J$27/AN179)</f>
        <v>0.198812070380318</v>
      </c>
      <c r="CH179" s="60" t="n">
        <f aca="false">$K$27/AN179*(BY179-1)-CA179-BZ179*(2*AG179/AM179-$K$27/AN179)</f>
        <v>0.198812070380318</v>
      </c>
      <c r="CI179" s="60" t="n">
        <f aca="false">$L$27/AN179*(BY179-1)-CA179-BZ179*(2*AH179/AM179-$L$27/AN179)</f>
        <v>0.198812070380318</v>
      </c>
      <c r="CJ179" s="60" t="n">
        <f aca="false">$M$27/AN179*(BY179-1)-CA179-BZ179*(2*AI179/AM179-$M$27/AN179)</f>
        <v>0.198812070380318</v>
      </c>
      <c r="CK179" s="60" t="n">
        <f aca="false">$N$27/AN179*(BY179-1)-CA179-BZ179*(2*AJ179/AM179-$N$27/AN179)</f>
        <v>0.198812070380318</v>
      </c>
      <c r="CL179" s="60" t="n">
        <f aca="false">$O$27/AN179*(BY179-1)-CA179-BZ179*(2*AK179/AM179-$O$27/AN179)</f>
        <v>0.198812070380318</v>
      </c>
      <c r="CM179" s="60" t="n">
        <f aca="false">$P$27/AN179*(BY179-1)-CA179-BZ179*(2*AL179/AM179-$P$27/AN179)</f>
        <v>0.198812070380318</v>
      </c>
      <c r="CN179" s="60" t="n">
        <f aca="false">AP179/BY179&gt;$C$22</f>
        <v>0</v>
      </c>
      <c r="CO179" s="60" t="n">
        <f aca="false">1-N179+SUMPRODUCT(B179:M179,CB179:CM179)-SUMPRODUCT(B179:M179,CB178:CM178)</f>
        <v>0</v>
      </c>
      <c r="CP179" s="60" t="n">
        <f aca="false">SUMXMY2(O179:Z179,$E$13:$P$13)</f>
        <v>0</v>
      </c>
    </row>
    <row r="180" customFormat="false" ht="15" hidden="false" customHeight="false" outlineLevel="0" collapsed="false">
      <c r="A180" s="59" t="n">
        <v>15</v>
      </c>
      <c r="B180" s="60" t="n">
        <f aca="false">$E$13*EXP(MAX(-700,MIN(700,$E$86-CB179)))</f>
        <v>1</v>
      </c>
      <c r="C180" s="60" t="n">
        <f aca="false">$F$13*EXP(MAX(-700,MIN(700,$F$86-CC179)))</f>
        <v>0</v>
      </c>
      <c r="D180" s="60" t="n">
        <f aca="false">$G$13*EXP(MAX(-700,MIN(700,$G$86-CD179)))</f>
        <v>0</v>
      </c>
      <c r="E180" s="60" t="n">
        <f aca="false">$H$13*EXP(MAX(-700,MIN(700,$H$86-CE179)))</f>
        <v>0</v>
      </c>
      <c r="F180" s="60" t="n">
        <f aca="false">$I$13*EXP(MAX(-700,MIN(700,$I$86-CF179)))</f>
        <v>0</v>
      </c>
      <c r="G180" s="60" t="n">
        <f aca="false">$J$13*EXP(MAX(-700,MIN(700,$J$86-CG179)))</f>
        <v>0</v>
      </c>
      <c r="H180" s="60" t="n">
        <f aca="false">$K$13*EXP(MAX(-700,MIN(700,$K$86-CH179)))</f>
        <v>0</v>
      </c>
      <c r="I180" s="60" t="n">
        <f aca="false">$L$13*EXP(MAX(-700,MIN(700,$L$86-CI179)))</f>
        <v>0</v>
      </c>
      <c r="J180" s="60" t="n">
        <f aca="false">$M$13*EXP(MAX(-700,MIN(700,$M$86-CJ179)))</f>
        <v>0</v>
      </c>
      <c r="K180" s="60" t="n">
        <f aca="false">$N$13*EXP(MAX(-700,MIN(700,$N$86-CK179)))</f>
        <v>0</v>
      </c>
      <c r="L180" s="60" t="n">
        <f aca="false">$O$13*EXP(MAX(-700,MIN(700,$O$86-CL179)))</f>
        <v>0</v>
      </c>
      <c r="M180" s="60" t="n">
        <f aca="false">$P$13*EXP(MAX(-700,MIN(700,$P$86-CM179)))</f>
        <v>0</v>
      </c>
      <c r="N180" s="60" t="n">
        <f aca="false">SUM(B180:M180)</f>
        <v>1</v>
      </c>
      <c r="O180" s="60" t="n">
        <f aca="false">B180/N180</f>
        <v>1</v>
      </c>
      <c r="P180" s="60" t="n">
        <f aca="false">C180/N180</f>
        <v>0</v>
      </c>
      <c r="Q180" s="60" t="n">
        <f aca="false">D180/N180</f>
        <v>0</v>
      </c>
      <c r="R180" s="60" t="n">
        <f aca="false">E180/N180</f>
        <v>0</v>
      </c>
      <c r="S180" s="60" t="n">
        <f aca="false">F180/N180</f>
        <v>0</v>
      </c>
      <c r="T180" s="60" t="n">
        <f aca="false">G180/N180</f>
        <v>0</v>
      </c>
      <c r="U180" s="60" t="n">
        <f aca="false">H180/N180</f>
        <v>0</v>
      </c>
      <c r="V180" s="60" t="n">
        <f aca="false">I180/N180</f>
        <v>0</v>
      </c>
      <c r="W180" s="60" t="n">
        <f aca="false">J180/N180</f>
        <v>0</v>
      </c>
      <c r="X180" s="60" t="n">
        <f aca="false">K180/N180</f>
        <v>0</v>
      </c>
      <c r="Y180" s="60" t="n">
        <f aca="false">L180/N180</f>
        <v>0</v>
      </c>
      <c r="Z180" s="60" t="n">
        <f aca="false">M180/N180</f>
        <v>0</v>
      </c>
      <c r="AA180" s="60" t="n">
        <f aca="false">$E$28*SUMPRODUCT($E$31:$P$31,O180:Z180,$E$28:$P$28)</f>
        <v>0.184416866619846</v>
      </c>
      <c r="AB180" s="60" t="n">
        <f aca="false">$F$28*SUMPRODUCT($E$32:$P$32,O180:Z180,$E$28:$P$28)</f>
        <v>0</v>
      </c>
      <c r="AC180" s="60" t="n">
        <f aca="false">$G$28*SUMPRODUCT($E$33:$P$33,O180:Z180,$E$28:$P$28)</f>
        <v>0</v>
      </c>
      <c r="AD180" s="60" t="n">
        <f aca="false">$H$28*SUMPRODUCT($E$34:$P$34,O180:Z180,$E$28:$P$28)</f>
        <v>0</v>
      </c>
      <c r="AE180" s="60" t="n">
        <f aca="false">$I$28*SUMPRODUCT($E$35:$P$35,O180:Z180,$E$28:$P$28)</f>
        <v>0</v>
      </c>
      <c r="AF180" s="60" t="n">
        <f aca="false">$J$28*SUMPRODUCT($E$36:$P$36,O180:Z180,$E$28:$P$28)</f>
        <v>0</v>
      </c>
      <c r="AG180" s="60" t="n">
        <f aca="false">$K$28*SUMPRODUCT($E$37:$P$37,O180:Z180,$E$28:$P$28)</f>
        <v>0</v>
      </c>
      <c r="AH180" s="60" t="n">
        <f aca="false">$L$28*SUMPRODUCT($E$38:$P$38,O180:Z180,$E$28:$P$28)</f>
        <v>0</v>
      </c>
      <c r="AI180" s="60" t="n">
        <f aca="false">$M$28*SUMPRODUCT($E$39:$P$39,O180:Z180,$E$28:$P$28)</f>
        <v>0</v>
      </c>
      <c r="AJ180" s="60" t="n">
        <f aca="false">$N$28*SUMPRODUCT($E$40:$P$40,O180:Z180,$E$28:$P$28)</f>
        <v>0</v>
      </c>
      <c r="AK180" s="60" t="n">
        <f aca="false">$O$28*SUMPRODUCT($E$41:$P$41,O180:Z180,$E$28:$P$28)</f>
        <v>0</v>
      </c>
      <c r="AL180" s="60" t="n">
        <f aca="false">$P$28*SUMPRODUCT($E$42:$P$42,O180:Z180,$E$28:$P$28)</f>
        <v>0</v>
      </c>
      <c r="AM180" s="60" t="n">
        <f aca="false">SUMPRODUCT(O180:Z180,AA180:AL180)</f>
        <v>0.184416866619846</v>
      </c>
      <c r="AN180" s="60" t="n">
        <f aca="false">SUMPRODUCT(O180:Z180,$E$27:$P$27)</f>
        <v>2.67389635063809E-005</v>
      </c>
      <c r="AO180" s="60" t="n">
        <f aca="false">AM180*$C$9/($C$10*$C$8)^2</f>
        <v>0.21776909410545</v>
      </c>
      <c r="AP180" s="60" t="n">
        <f aca="false">AN180*$C$9/($C$10*$C$8)</f>
        <v>0.0918845243259994</v>
      </c>
      <c r="AQ180" s="60" t="n">
        <f aca="false">CHOOSE($C$7,-(1+AP180),-1,-(1-AP180))</f>
        <v>-0.908115475674001</v>
      </c>
      <c r="AR180" s="60" t="n">
        <f aca="false">CHOOSE($C$7,AO180,AO180-AP180-AP180^2,AO180-3*AP180^2-2*AP180)</f>
        <v>0.00867174802160559</v>
      </c>
      <c r="AS180" s="60" t="n">
        <f aca="false">CHOOSE($C$7,-AO180*AP180,-AO180*AP180,-(AO180*AP180-AP180^2-AP180^3))</f>
        <v>-0.0107910842936637</v>
      </c>
      <c r="AT180" s="60" t="n">
        <f aca="false">AR180-AQ180^2/3</f>
        <v>-0.266219491031267</v>
      </c>
      <c r="AU180" s="60" t="n">
        <f aca="false">2*AQ180^3/27-AQ180*AR180/3+AS180</f>
        <v>-0.0636400988362784</v>
      </c>
      <c r="AV180" s="60" t="n">
        <f aca="false">AU180^2/4+AT180^3/27</f>
        <v>0.000313710901361829</v>
      </c>
      <c r="AW180" s="60" t="n">
        <f aca="false">-AU180/2-IF(AU180&gt;=0,1,-1)*SQRT(MAX(AV180,0))</f>
        <v>0.0495319352963236</v>
      </c>
      <c r="AX180" s="60" t="n">
        <f aca="false">SIGN(AW180)*ABS(AW180)^(1/3)</f>
        <v>0.367249967174439</v>
      </c>
      <c r="AY180" s="60" t="n">
        <f aca="false">IF(AX180=0,0,AX180-AT180/(3*AX180))</f>
        <v>0.60888329127384</v>
      </c>
      <c r="AZ180" s="60" t="n">
        <f aca="false">2*SQRT(MAX(-AT180,0)/3)</f>
        <v>0.595784626668918</v>
      </c>
      <c r="BA180" s="60" t="n">
        <f aca="false">ACOS(IF(AZ180=0,0,MAX(-1,MIN(1,3*AU180/(AT180*AZ180)))))</f>
        <v>0</v>
      </c>
      <c r="BB180" s="60" t="n">
        <f aca="false">AZ180*COS(BA180/3)</f>
        <v>0.595784626668918</v>
      </c>
      <c r="BC180" s="60" t="n">
        <f aca="false">IF(AV180&lt;0,BB180,AY180)-AQ180/3</f>
        <v>0.91158844983184</v>
      </c>
      <c r="BD180" s="60" t="n">
        <f aca="false">IFERROR((((BC180+AQ180)*BC180+AR180)*BC180+AS180)/((3*BC180+2*AQ180)*BC180+AR180),0)</f>
        <v>0</v>
      </c>
      <c r="BE180" s="60" t="n">
        <f aca="false">IF(ABS(BD180)&lt;0.1*ABS(BC180),BC180-BD180,BC180)</f>
        <v>0.91158844983184</v>
      </c>
      <c r="BF180" s="60" t="n">
        <f aca="false">IFERROR((((BE180+AQ180)*BE180+AR180)*BE180+AS180)/((3*BE180+2*AQ180)*BE180+AR180),0)</f>
        <v>0</v>
      </c>
      <c r="BG180" s="60" t="n">
        <f aca="false">IF(ABS(BF180)&lt;0.1*ABS(BE180),BE180-BF180,BE180)</f>
        <v>0.91158844983184</v>
      </c>
      <c r="BH180" s="60" t="n">
        <f aca="false">-AS180/BG180</f>
        <v>0.0118376711504565</v>
      </c>
      <c r="BI180" s="60" t="n">
        <f aca="false">(AR180-BH180)/BG180</f>
        <v>-0.00347297415783941</v>
      </c>
      <c r="BJ180" s="60" t="n">
        <f aca="false">BI180^2-4*BH180</f>
        <v>-0.0473386230523248</v>
      </c>
      <c r="BK180" s="60" t="n">
        <f aca="false">IF(BJ180&gt;=0,(BI180+IF(BI180&gt;=0,1,-1)*SQRT(BJ180))/2,0)</f>
        <v>0</v>
      </c>
      <c r="BL180" s="60" t="n">
        <f aca="false">IF(AND(BJ180&gt;=0,BK180&lt;&gt;0),MIN(BK180,BH180/BK180),-1)</f>
        <v>-1</v>
      </c>
      <c r="BM180" s="60" t="n">
        <f aca="false">AND(BJ180&gt;=0,BL180&gt;AP180,ABS(BG180-BL180)&gt;=0.00005*MAX(BG180,BL180))</f>
        <v>0</v>
      </c>
      <c r="BN180" s="60" t="n">
        <f aca="false">IF(BM180,IFERROR((((BL180+AQ180)*BL180+AR180)*BL180+AS180)/((3*BL180+2*AQ180)*BL180+AR180),0),0)</f>
        <v>0</v>
      </c>
      <c r="BO180" s="60" t="n">
        <f aca="false">IF(ABS(BN180)&lt;0.1*ABS(BL180),BL180-BN180,BL180)</f>
        <v>-1</v>
      </c>
      <c r="BP180" s="60" t="n">
        <f aca="false">IF(BM180,IFERROR((((BO180+AQ180)*BO180+AR180)*BO180+AS180)/((3*BO180+2*AQ180)*BO180+AR180),0),0)</f>
        <v>0</v>
      </c>
      <c r="BQ180" s="60" t="n">
        <f aca="false">IF(ABS(BP180)&lt;0.1*ABS(BO180),BO180-BP180,BO180)</f>
        <v>-1</v>
      </c>
      <c r="BR180" s="60" t="n">
        <f aca="false">IF(BM180,MAX(BG180,BQ180),BG180)</f>
        <v>0.91158844983184</v>
      </c>
      <c r="BS180" s="60" t="n">
        <f aca="false">IF(BM180,MIN(BG180,BQ180),-1)</f>
        <v>-1</v>
      </c>
      <c r="BT180" s="60" t="n">
        <f aca="false">CHOOSE($C$7,AO180/BR180,AO180/AP180*LN(1+AP180/BR180),AO180/(2*SQRT(2)*AP180)*LN((BR180+(1+SQRT(2))*AP180)/(BR180+(1-SQRT(2))*AP180)))</f>
        <v>0.218240791233887</v>
      </c>
      <c r="BU180" s="60" t="n">
        <f aca="false">BR180-1-LN(BR180-AP180)-BT180</f>
        <v>-0.107840271021729</v>
      </c>
      <c r="BV180" s="60" t="n">
        <f aca="false">IF(BM180,CHOOSE($C$7,AO180/BS180,AO180/AP180*LN(1+AP180/BS180),AO180/(2*SQRT(2)*AP180)*LN((BS180+(1+SQRT(2))*AP180)/(BS180+(1-SQRT(2))*AP180))),0)</f>
        <v>0</v>
      </c>
      <c r="BW180" s="60" t="n">
        <f aca="false">IF(BM180,BS180-1-LN(BS180-AP180)-BV180,0)</f>
        <v>0</v>
      </c>
      <c r="BX180" s="60" t="n">
        <f aca="false">AND(BM180,BW180&lt;BU180)</f>
        <v>0</v>
      </c>
      <c r="BY180" s="60" t="n">
        <f aca="false">IF(BX180,BS180,BR180)</f>
        <v>0.91158844983184</v>
      </c>
      <c r="BZ180" s="60" t="n">
        <f aca="false">IF(BX180,BV180,BT180)</f>
        <v>0.218240791233887</v>
      </c>
      <c r="CA180" s="60" t="n">
        <f aca="false">LN(BY180-AP180)</f>
        <v>-0.198812070380318</v>
      </c>
      <c r="CB180" s="60" t="n">
        <f aca="false">$E$27/AN180*(BY180-1)-CA180-BZ180*(2*AA180/AM180-$E$27/AN180)</f>
        <v>-0.107840271021729</v>
      </c>
      <c r="CC180" s="60" t="n">
        <f aca="false">$F$27/AN180*(BY180-1)-CA180-BZ180*(2*AB180/AM180-$F$27/AN180)</f>
        <v>0.198812070380318</v>
      </c>
      <c r="CD180" s="60" t="n">
        <f aca="false">$G$27/AN180*(BY180-1)-CA180-BZ180*(2*AC180/AM180-$G$27/AN180)</f>
        <v>0.198812070380318</v>
      </c>
      <c r="CE180" s="60" t="n">
        <f aca="false">$H$27/AN180*(BY180-1)-CA180-BZ180*(2*AD180/AM180-$H$27/AN180)</f>
        <v>0.198812070380318</v>
      </c>
      <c r="CF180" s="60" t="n">
        <f aca="false">$I$27/AN180*(BY180-1)-CA180-BZ180*(2*AE180/AM180-$I$27/AN180)</f>
        <v>0.198812070380318</v>
      </c>
      <c r="CG180" s="60" t="n">
        <f aca="false">$J$27/AN180*(BY180-1)-CA180-BZ180*(2*AF180/AM180-$J$27/AN180)</f>
        <v>0.198812070380318</v>
      </c>
      <c r="CH180" s="60" t="n">
        <f aca="false">$K$27/AN180*(BY180-1)-CA180-BZ180*(2*AG180/AM180-$K$27/AN180)</f>
        <v>0.198812070380318</v>
      </c>
      <c r="CI180" s="60" t="n">
        <f aca="false">$L$27/AN180*(BY180-1)-CA180-BZ180*(2*AH180/AM180-$L$27/AN180)</f>
        <v>0.198812070380318</v>
      </c>
      <c r="CJ180" s="60" t="n">
        <f aca="false">$M$27/AN180*(BY180-1)-CA180-BZ180*(2*AI180/AM180-$M$27/AN180)</f>
        <v>0.198812070380318</v>
      </c>
      <c r="CK180" s="60" t="n">
        <f aca="false">$N$27/AN180*(BY180-1)-CA180-BZ180*(2*AJ180/AM180-$N$27/AN180)</f>
        <v>0.198812070380318</v>
      </c>
      <c r="CL180" s="60" t="n">
        <f aca="false">$O$27/AN180*(BY180-1)-CA180-BZ180*(2*AK180/AM180-$O$27/AN180)</f>
        <v>0.198812070380318</v>
      </c>
      <c r="CM180" s="60" t="n">
        <f aca="false">$P$27/AN180*(BY180-1)-CA180-BZ180*(2*AL180/AM180-$P$27/AN180)</f>
        <v>0.198812070380318</v>
      </c>
      <c r="CN180" s="60" t="n">
        <f aca="false">AP180/BY180&gt;$C$22</f>
        <v>0</v>
      </c>
      <c r="CO180" s="60" t="n">
        <f aca="false">1-N180+SUMPRODUCT(B180:M180,CB180:CM180)-SUMPRODUCT(B180:M180,CB179:CM179)</f>
        <v>0</v>
      </c>
      <c r="CP180" s="60" t="n">
        <f aca="false">SUMXMY2(O180:Z180,$E$13:$P$13)</f>
        <v>0</v>
      </c>
    </row>
    <row r="181" customFormat="false" ht="15" hidden="false" customHeight="false" outlineLevel="0" collapsed="false">
      <c r="A181" s="59" t="n">
        <v>16</v>
      </c>
      <c r="B181" s="60" t="n">
        <f aca="false">$E$13*EXP(MAX(-700,MIN(700,$E$86-CB180)))</f>
        <v>1</v>
      </c>
      <c r="C181" s="60" t="n">
        <f aca="false">$F$13*EXP(MAX(-700,MIN(700,$F$86-CC180)))</f>
        <v>0</v>
      </c>
      <c r="D181" s="60" t="n">
        <f aca="false">$G$13*EXP(MAX(-700,MIN(700,$G$86-CD180)))</f>
        <v>0</v>
      </c>
      <c r="E181" s="60" t="n">
        <f aca="false">$H$13*EXP(MAX(-700,MIN(700,$H$86-CE180)))</f>
        <v>0</v>
      </c>
      <c r="F181" s="60" t="n">
        <f aca="false">$I$13*EXP(MAX(-700,MIN(700,$I$86-CF180)))</f>
        <v>0</v>
      </c>
      <c r="G181" s="60" t="n">
        <f aca="false">$J$13*EXP(MAX(-700,MIN(700,$J$86-CG180)))</f>
        <v>0</v>
      </c>
      <c r="H181" s="60" t="n">
        <f aca="false">$K$13*EXP(MAX(-700,MIN(700,$K$86-CH180)))</f>
        <v>0</v>
      </c>
      <c r="I181" s="60" t="n">
        <f aca="false">$L$13*EXP(MAX(-700,MIN(700,$L$86-CI180)))</f>
        <v>0</v>
      </c>
      <c r="J181" s="60" t="n">
        <f aca="false">$M$13*EXP(MAX(-700,MIN(700,$M$86-CJ180)))</f>
        <v>0</v>
      </c>
      <c r="K181" s="60" t="n">
        <f aca="false">$N$13*EXP(MAX(-700,MIN(700,$N$86-CK180)))</f>
        <v>0</v>
      </c>
      <c r="L181" s="60" t="n">
        <f aca="false">$O$13*EXP(MAX(-700,MIN(700,$O$86-CL180)))</f>
        <v>0</v>
      </c>
      <c r="M181" s="60" t="n">
        <f aca="false">$P$13*EXP(MAX(-700,MIN(700,$P$86-CM180)))</f>
        <v>0</v>
      </c>
      <c r="N181" s="60" t="n">
        <f aca="false">SUM(B181:M181)</f>
        <v>1</v>
      </c>
      <c r="O181" s="60" t="n">
        <f aca="false">B181/N181</f>
        <v>1</v>
      </c>
      <c r="P181" s="60" t="n">
        <f aca="false">C181/N181</f>
        <v>0</v>
      </c>
      <c r="Q181" s="60" t="n">
        <f aca="false">D181/N181</f>
        <v>0</v>
      </c>
      <c r="R181" s="60" t="n">
        <f aca="false">E181/N181</f>
        <v>0</v>
      </c>
      <c r="S181" s="60" t="n">
        <f aca="false">F181/N181</f>
        <v>0</v>
      </c>
      <c r="T181" s="60" t="n">
        <f aca="false">G181/N181</f>
        <v>0</v>
      </c>
      <c r="U181" s="60" t="n">
        <f aca="false">H181/N181</f>
        <v>0</v>
      </c>
      <c r="V181" s="60" t="n">
        <f aca="false">I181/N181</f>
        <v>0</v>
      </c>
      <c r="W181" s="60" t="n">
        <f aca="false">J181/N181</f>
        <v>0</v>
      </c>
      <c r="X181" s="60" t="n">
        <f aca="false">K181/N181</f>
        <v>0</v>
      </c>
      <c r="Y181" s="60" t="n">
        <f aca="false">L181/N181</f>
        <v>0</v>
      </c>
      <c r="Z181" s="60" t="n">
        <f aca="false">M181/N181</f>
        <v>0</v>
      </c>
      <c r="AA181" s="60" t="n">
        <f aca="false">$E$28*SUMPRODUCT($E$31:$P$31,O181:Z181,$E$28:$P$28)</f>
        <v>0.184416866619846</v>
      </c>
      <c r="AB181" s="60" t="n">
        <f aca="false">$F$28*SUMPRODUCT($E$32:$P$32,O181:Z181,$E$28:$P$28)</f>
        <v>0</v>
      </c>
      <c r="AC181" s="60" t="n">
        <f aca="false">$G$28*SUMPRODUCT($E$33:$P$33,O181:Z181,$E$28:$P$28)</f>
        <v>0</v>
      </c>
      <c r="AD181" s="60" t="n">
        <f aca="false">$H$28*SUMPRODUCT($E$34:$P$34,O181:Z181,$E$28:$P$28)</f>
        <v>0</v>
      </c>
      <c r="AE181" s="60" t="n">
        <f aca="false">$I$28*SUMPRODUCT($E$35:$P$35,O181:Z181,$E$28:$P$28)</f>
        <v>0</v>
      </c>
      <c r="AF181" s="60" t="n">
        <f aca="false">$J$28*SUMPRODUCT($E$36:$P$36,O181:Z181,$E$28:$P$28)</f>
        <v>0</v>
      </c>
      <c r="AG181" s="60" t="n">
        <f aca="false">$K$28*SUMPRODUCT($E$37:$P$37,O181:Z181,$E$28:$P$28)</f>
        <v>0</v>
      </c>
      <c r="AH181" s="60" t="n">
        <f aca="false">$L$28*SUMPRODUCT($E$38:$P$38,O181:Z181,$E$28:$P$28)</f>
        <v>0</v>
      </c>
      <c r="AI181" s="60" t="n">
        <f aca="false">$M$28*SUMPRODUCT($E$39:$P$39,O181:Z181,$E$28:$P$28)</f>
        <v>0</v>
      </c>
      <c r="AJ181" s="60" t="n">
        <f aca="false">$N$28*SUMPRODUCT($E$40:$P$40,O181:Z181,$E$28:$P$28)</f>
        <v>0</v>
      </c>
      <c r="AK181" s="60" t="n">
        <f aca="false">$O$28*SUMPRODUCT($E$41:$P$41,O181:Z181,$E$28:$P$28)</f>
        <v>0</v>
      </c>
      <c r="AL181" s="60" t="n">
        <f aca="false">$P$28*SUMPRODUCT($E$42:$P$42,O181:Z181,$E$28:$P$28)</f>
        <v>0</v>
      </c>
      <c r="AM181" s="60" t="n">
        <f aca="false">SUMPRODUCT(O181:Z181,AA181:AL181)</f>
        <v>0.184416866619846</v>
      </c>
      <c r="AN181" s="60" t="n">
        <f aca="false">SUMPRODUCT(O181:Z181,$E$27:$P$27)</f>
        <v>2.67389635063809E-005</v>
      </c>
      <c r="AO181" s="60" t="n">
        <f aca="false">AM181*$C$9/($C$10*$C$8)^2</f>
        <v>0.21776909410545</v>
      </c>
      <c r="AP181" s="60" t="n">
        <f aca="false">AN181*$C$9/($C$10*$C$8)</f>
        <v>0.0918845243259994</v>
      </c>
      <c r="AQ181" s="60" t="n">
        <f aca="false">CHOOSE($C$7,-(1+AP181),-1,-(1-AP181))</f>
        <v>-0.908115475674001</v>
      </c>
      <c r="AR181" s="60" t="n">
        <f aca="false">CHOOSE($C$7,AO181,AO181-AP181-AP181^2,AO181-3*AP181^2-2*AP181)</f>
        <v>0.00867174802160559</v>
      </c>
      <c r="AS181" s="60" t="n">
        <f aca="false">CHOOSE($C$7,-AO181*AP181,-AO181*AP181,-(AO181*AP181-AP181^2-AP181^3))</f>
        <v>-0.0107910842936637</v>
      </c>
      <c r="AT181" s="60" t="n">
        <f aca="false">AR181-AQ181^2/3</f>
        <v>-0.266219491031267</v>
      </c>
      <c r="AU181" s="60" t="n">
        <f aca="false">2*AQ181^3/27-AQ181*AR181/3+AS181</f>
        <v>-0.0636400988362784</v>
      </c>
      <c r="AV181" s="60" t="n">
        <f aca="false">AU181^2/4+AT181^3/27</f>
        <v>0.000313710901361829</v>
      </c>
      <c r="AW181" s="60" t="n">
        <f aca="false">-AU181/2-IF(AU181&gt;=0,1,-1)*SQRT(MAX(AV181,0))</f>
        <v>0.0495319352963236</v>
      </c>
      <c r="AX181" s="60" t="n">
        <f aca="false">SIGN(AW181)*ABS(AW181)^(1/3)</f>
        <v>0.367249967174439</v>
      </c>
      <c r="AY181" s="60" t="n">
        <f aca="false">IF(AX181=0,0,AX181-AT181/(3*AX181))</f>
        <v>0.60888329127384</v>
      </c>
      <c r="AZ181" s="60" t="n">
        <f aca="false">2*SQRT(MAX(-AT181,0)/3)</f>
        <v>0.595784626668918</v>
      </c>
      <c r="BA181" s="60" t="n">
        <f aca="false">ACOS(IF(AZ181=0,0,MAX(-1,MIN(1,3*AU181/(AT181*AZ181)))))</f>
        <v>0</v>
      </c>
      <c r="BB181" s="60" t="n">
        <f aca="false">AZ181*COS(BA181/3)</f>
        <v>0.595784626668918</v>
      </c>
      <c r="BC181" s="60" t="n">
        <f aca="false">IF(AV181&lt;0,BB181,AY181)-AQ181/3</f>
        <v>0.91158844983184</v>
      </c>
      <c r="BD181" s="60" t="n">
        <f aca="false">IFERROR((((BC181+AQ181)*BC181+AR181)*BC181+AS181)/((3*BC181+2*AQ181)*BC181+AR181),0)</f>
        <v>0</v>
      </c>
      <c r="BE181" s="60" t="n">
        <f aca="false">IF(ABS(BD181)&lt;0.1*ABS(BC181),BC181-BD181,BC181)</f>
        <v>0.91158844983184</v>
      </c>
      <c r="BF181" s="60" t="n">
        <f aca="false">IFERROR((((BE181+AQ181)*BE181+AR181)*BE181+AS181)/((3*BE181+2*AQ181)*BE181+AR181),0)</f>
        <v>0</v>
      </c>
      <c r="BG181" s="60" t="n">
        <f aca="false">IF(ABS(BF181)&lt;0.1*ABS(BE181),BE181-BF181,BE181)</f>
        <v>0.91158844983184</v>
      </c>
      <c r="BH181" s="60" t="n">
        <f aca="false">-AS181/BG181</f>
        <v>0.0118376711504565</v>
      </c>
      <c r="BI181" s="60" t="n">
        <f aca="false">(AR181-BH181)/BG181</f>
        <v>-0.00347297415783941</v>
      </c>
      <c r="BJ181" s="60" t="n">
        <f aca="false">BI181^2-4*BH181</f>
        <v>-0.0473386230523248</v>
      </c>
      <c r="BK181" s="60" t="n">
        <f aca="false">IF(BJ181&gt;=0,(BI181+IF(BI181&gt;=0,1,-1)*SQRT(BJ181))/2,0)</f>
        <v>0</v>
      </c>
      <c r="BL181" s="60" t="n">
        <f aca="false">IF(AND(BJ181&gt;=0,BK181&lt;&gt;0),MIN(BK181,BH181/BK181),-1)</f>
        <v>-1</v>
      </c>
      <c r="BM181" s="60" t="n">
        <f aca="false">AND(BJ181&gt;=0,BL181&gt;AP181,ABS(BG181-BL181)&gt;=0.00005*MAX(BG181,BL181))</f>
        <v>0</v>
      </c>
      <c r="BN181" s="60" t="n">
        <f aca="false">IF(BM181,IFERROR((((BL181+AQ181)*BL181+AR181)*BL181+AS181)/((3*BL181+2*AQ181)*BL181+AR181),0),0)</f>
        <v>0</v>
      </c>
      <c r="BO181" s="60" t="n">
        <f aca="false">IF(ABS(BN181)&lt;0.1*ABS(BL181),BL181-BN181,BL181)</f>
        <v>-1</v>
      </c>
      <c r="BP181" s="60" t="n">
        <f aca="false">IF(BM181,IFERROR((((BO181+AQ181)*BO181+AR181)*BO181+AS181)/((3*BO181+2*AQ181)*BO181+AR181),0),0)</f>
        <v>0</v>
      </c>
      <c r="BQ181" s="60" t="n">
        <f aca="false">IF(ABS(BP181)&lt;0.1*ABS(BO181),BO181-BP181,BO181)</f>
        <v>-1</v>
      </c>
      <c r="BR181" s="60" t="n">
        <f aca="false">IF(BM181,MAX(BG181,BQ181),BG181)</f>
        <v>0.91158844983184</v>
      </c>
      <c r="BS181" s="60" t="n">
        <f aca="false">IF(BM181,MIN(BG181,BQ181),-1)</f>
        <v>-1</v>
      </c>
      <c r="BT181" s="60" t="n">
        <f aca="false">CHOOSE($C$7,AO181/BR181,AO181/AP181*LN(1+AP181/BR181),AO181/(2*SQRT(2)*AP181)*LN((BR181+(1+SQRT(2))*AP181)/(BR181+(1-SQRT(2))*AP181)))</f>
        <v>0.218240791233887</v>
      </c>
      <c r="BU181" s="60" t="n">
        <f aca="false">BR181-1-LN(BR181-AP181)-BT181</f>
        <v>-0.107840271021729</v>
      </c>
      <c r="BV181" s="60" t="n">
        <f aca="false">IF(BM181,CHOOSE($C$7,AO181/BS181,AO181/AP181*LN(1+AP181/BS181),AO181/(2*SQRT(2)*AP181)*LN((BS181+(1+SQRT(2))*AP181)/(BS181+(1-SQRT(2))*AP181))),0)</f>
        <v>0</v>
      </c>
      <c r="BW181" s="60" t="n">
        <f aca="false">IF(BM181,BS181-1-LN(BS181-AP181)-BV181,0)</f>
        <v>0</v>
      </c>
      <c r="BX181" s="60" t="n">
        <f aca="false">AND(BM181,BW181&lt;BU181)</f>
        <v>0</v>
      </c>
      <c r="BY181" s="60" t="n">
        <f aca="false">IF(BX181,BS181,BR181)</f>
        <v>0.91158844983184</v>
      </c>
      <c r="BZ181" s="60" t="n">
        <f aca="false">IF(BX181,BV181,BT181)</f>
        <v>0.218240791233887</v>
      </c>
      <c r="CA181" s="60" t="n">
        <f aca="false">LN(BY181-AP181)</f>
        <v>-0.198812070380318</v>
      </c>
      <c r="CB181" s="60" t="n">
        <f aca="false">$E$27/AN181*(BY181-1)-CA181-BZ181*(2*AA181/AM181-$E$27/AN181)</f>
        <v>-0.107840271021729</v>
      </c>
      <c r="CC181" s="60" t="n">
        <f aca="false">$F$27/AN181*(BY181-1)-CA181-BZ181*(2*AB181/AM181-$F$27/AN181)</f>
        <v>0.198812070380318</v>
      </c>
      <c r="CD181" s="60" t="n">
        <f aca="false">$G$27/AN181*(BY181-1)-CA181-BZ181*(2*AC181/AM181-$G$27/AN181)</f>
        <v>0.198812070380318</v>
      </c>
      <c r="CE181" s="60" t="n">
        <f aca="false">$H$27/AN181*(BY181-1)-CA181-BZ181*(2*AD181/AM181-$H$27/AN181)</f>
        <v>0.198812070380318</v>
      </c>
      <c r="CF181" s="60" t="n">
        <f aca="false">$I$27/AN181*(BY181-1)-CA181-BZ181*(2*AE181/AM181-$I$27/AN181)</f>
        <v>0.198812070380318</v>
      </c>
      <c r="CG181" s="60" t="n">
        <f aca="false">$J$27/AN181*(BY181-1)-CA181-BZ181*(2*AF181/AM181-$J$27/AN181)</f>
        <v>0.198812070380318</v>
      </c>
      <c r="CH181" s="60" t="n">
        <f aca="false">$K$27/AN181*(BY181-1)-CA181-BZ181*(2*AG181/AM181-$K$27/AN181)</f>
        <v>0.198812070380318</v>
      </c>
      <c r="CI181" s="60" t="n">
        <f aca="false">$L$27/AN181*(BY181-1)-CA181-BZ181*(2*AH181/AM181-$L$27/AN181)</f>
        <v>0.198812070380318</v>
      </c>
      <c r="CJ181" s="60" t="n">
        <f aca="false">$M$27/AN181*(BY181-1)-CA181-BZ181*(2*AI181/AM181-$M$27/AN181)</f>
        <v>0.198812070380318</v>
      </c>
      <c r="CK181" s="60" t="n">
        <f aca="false">$N$27/AN181*(BY181-1)-CA181-BZ181*(2*AJ181/AM181-$N$27/AN181)</f>
        <v>0.198812070380318</v>
      </c>
      <c r="CL181" s="60" t="n">
        <f aca="false">$O$27/AN181*(BY181-1)-CA181-BZ181*(2*AK181/AM181-$O$27/AN181)</f>
        <v>0.198812070380318</v>
      </c>
      <c r="CM181" s="60" t="n">
        <f aca="false">$P$27/AN181*(BY181-1)-CA181-BZ181*(2*AL181/AM181-$P$27/AN181)</f>
        <v>0.198812070380318</v>
      </c>
      <c r="CN181" s="60" t="n">
        <f aca="false">AP181/BY181&gt;$C$22</f>
        <v>0</v>
      </c>
      <c r="CO181" s="60" t="n">
        <f aca="false">1-N181+SUMPRODUCT(B181:M181,CB181:CM181)-SUMPRODUCT(B181:M181,CB180:CM180)</f>
        <v>0</v>
      </c>
      <c r="CP181" s="60" t="n">
        <f aca="false">SUMXMY2(O181:Z181,$E$13:$P$13)</f>
        <v>0</v>
      </c>
    </row>
    <row r="182" customFormat="false" ht="15" hidden="false" customHeight="false" outlineLevel="0" collapsed="false">
      <c r="A182" s="59" t="n">
        <v>17</v>
      </c>
      <c r="B182" s="60" t="n">
        <f aca="false">$E$13*EXP(MAX(-700,MIN(700,$E$86-CB181)))</f>
        <v>1</v>
      </c>
      <c r="C182" s="60" t="n">
        <f aca="false">$F$13*EXP(MAX(-700,MIN(700,$F$86-CC181)))</f>
        <v>0</v>
      </c>
      <c r="D182" s="60" t="n">
        <f aca="false">$G$13*EXP(MAX(-700,MIN(700,$G$86-CD181)))</f>
        <v>0</v>
      </c>
      <c r="E182" s="60" t="n">
        <f aca="false">$H$13*EXP(MAX(-700,MIN(700,$H$86-CE181)))</f>
        <v>0</v>
      </c>
      <c r="F182" s="60" t="n">
        <f aca="false">$I$13*EXP(MAX(-700,MIN(700,$I$86-CF181)))</f>
        <v>0</v>
      </c>
      <c r="G182" s="60" t="n">
        <f aca="false">$J$13*EXP(MAX(-700,MIN(700,$J$86-CG181)))</f>
        <v>0</v>
      </c>
      <c r="H182" s="60" t="n">
        <f aca="false">$K$13*EXP(MAX(-700,MIN(700,$K$86-CH181)))</f>
        <v>0</v>
      </c>
      <c r="I182" s="60" t="n">
        <f aca="false">$L$13*EXP(MAX(-700,MIN(700,$L$86-CI181)))</f>
        <v>0</v>
      </c>
      <c r="J182" s="60" t="n">
        <f aca="false">$M$13*EXP(MAX(-700,MIN(700,$M$86-CJ181)))</f>
        <v>0</v>
      </c>
      <c r="K182" s="60" t="n">
        <f aca="false">$N$13*EXP(MAX(-700,MIN(700,$N$86-CK181)))</f>
        <v>0</v>
      </c>
      <c r="L182" s="60" t="n">
        <f aca="false">$O$13*EXP(MAX(-700,MIN(700,$O$86-CL181)))</f>
        <v>0</v>
      </c>
      <c r="M182" s="60" t="n">
        <f aca="false">$P$13*EXP(MAX(-700,MIN(700,$P$86-CM181)))</f>
        <v>0</v>
      </c>
      <c r="N182" s="60" t="n">
        <f aca="false">SUM(B182:M182)</f>
        <v>1</v>
      </c>
      <c r="O182" s="60" t="n">
        <f aca="false">B182/N182</f>
        <v>1</v>
      </c>
      <c r="P182" s="60" t="n">
        <f aca="false">C182/N182</f>
        <v>0</v>
      </c>
      <c r="Q182" s="60" t="n">
        <f aca="false">D182/N182</f>
        <v>0</v>
      </c>
      <c r="R182" s="60" t="n">
        <f aca="false">E182/N182</f>
        <v>0</v>
      </c>
      <c r="S182" s="60" t="n">
        <f aca="false">F182/N182</f>
        <v>0</v>
      </c>
      <c r="T182" s="60" t="n">
        <f aca="false">G182/N182</f>
        <v>0</v>
      </c>
      <c r="U182" s="60" t="n">
        <f aca="false">H182/N182</f>
        <v>0</v>
      </c>
      <c r="V182" s="60" t="n">
        <f aca="false">I182/N182</f>
        <v>0</v>
      </c>
      <c r="W182" s="60" t="n">
        <f aca="false">J182/N182</f>
        <v>0</v>
      </c>
      <c r="X182" s="60" t="n">
        <f aca="false">K182/N182</f>
        <v>0</v>
      </c>
      <c r="Y182" s="60" t="n">
        <f aca="false">L182/N182</f>
        <v>0</v>
      </c>
      <c r="Z182" s="60" t="n">
        <f aca="false">M182/N182</f>
        <v>0</v>
      </c>
      <c r="AA182" s="60" t="n">
        <f aca="false">$E$28*SUMPRODUCT($E$31:$P$31,O182:Z182,$E$28:$P$28)</f>
        <v>0.184416866619846</v>
      </c>
      <c r="AB182" s="60" t="n">
        <f aca="false">$F$28*SUMPRODUCT($E$32:$P$32,O182:Z182,$E$28:$P$28)</f>
        <v>0</v>
      </c>
      <c r="AC182" s="60" t="n">
        <f aca="false">$G$28*SUMPRODUCT($E$33:$P$33,O182:Z182,$E$28:$P$28)</f>
        <v>0</v>
      </c>
      <c r="AD182" s="60" t="n">
        <f aca="false">$H$28*SUMPRODUCT($E$34:$P$34,O182:Z182,$E$28:$P$28)</f>
        <v>0</v>
      </c>
      <c r="AE182" s="60" t="n">
        <f aca="false">$I$28*SUMPRODUCT($E$35:$P$35,O182:Z182,$E$28:$P$28)</f>
        <v>0</v>
      </c>
      <c r="AF182" s="60" t="n">
        <f aca="false">$J$28*SUMPRODUCT($E$36:$P$36,O182:Z182,$E$28:$P$28)</f>
        <v>0</v>
      </c>
      <c r="AG182" s="60" t="n">
        <f aca="false">$K$28*SUMPRODUCT($E$37:$P$37,O182:Z182,$E$28:$P$28)</f>
        <v>0</v>
      </c>
      <c r="AH182" s="60" t="n">
        <f aca="false">$L$28*SUMPRODUCT($E$38:$P$38,O182:Z182,$E$28:$P$28)</f>
        <v>0</v>
      </c>
      <c r="AI182" s="60" t="n">
        <f aca="false">$M$28*SUMPRODUCT($E$39:$P$39,O182:Z182,$E$28:$P$28)</f>
        <v>0</v>
      </c>
      <c r="AJ182" s="60" t="n">
        <f aca="false">$N$28*SUMPRODUCT($E$40:$P$40,O182:Z182,$E$28:$P$28)</f>
        <v>0</v>
      </c>
      <c r="AK182" s="60" t="n">
        <f aca="false">$O$28*SUMPRODUCT($E$41:$P$41,O182:Z182,$E$28:$P$28)</f>
        <v>0</v>
      </c>
      <c r="AL182" s="60" t="n">
        <f aca="false">$P$28*SUMPRODUCT($E$42:$P$42,O182:Z182,$E$28:$P$28)</f>
        <v>0</v>
      </c>
      <c r="AM182" s="60" t="n">
        <f aca="false">SUMPRODUCT(O182:Z182,AA182:AL182)</f>
        <v>0.184416866619846</v>
      </c>
      <c r="AN182" s="60" t="n">
        <f aca="false">SUMPRODUCT(O182:Z182,$E$27:$P$27)</f>
        <v>2.67389635063809E-005</v>
      </c>
      <c r="AO182" s="60" t="n">
        <f aca="false">AM182*$C$9/($C$10*$C$8)^2</f>
        <v>0.21776909410545</v>
      </c>
      <c r="AP182" s="60" t="n">
        <f aca="false">AN182*$C$9/($C$10*$C$8)</f>
        <v>0.0918845243259994</v>
      </c>
      <c r="AQ182" s="60" t="n">
        <f aca="false">CHOOSE($C$7,-(1+AP182),-1,-(1-AP182))</f>
        <v>-0.908115475674001</v>
      </c>
      <c r="AR182" s="60" t="n">
        <f aca="false">CHOOSE($C$7,AO182,AO182-AP182-AP182^2,AO182-3*AP182^2-2*AP182)</f>
        <v>0.00867174802160559</v>
      </c>
      <c r="AS182" s="60" t="n">
        <f aca="false">CHOOSE($C$7,-AO182*AP182,-AO182*AP182,-(AO182*AP182-AP182^2-AP182^3))</f>
        <v>-0.0107910842936637</v>
      </c>
      <c r="AT182" s="60" t="n">
        <f aca="false">AR182-AQ182^2/3</f>
        <v>-0.266219491031267</v>
      </c>
      <c r="AU182" s="60" t="n">
        <f aca="false">2*AQ182^3/27-AQ182*AR182/3+AS182</f>
        <v>-0.0636400988362784</v>
      </c>
      <c r="AV182" s="60" t="n">
        <f aca="false">AU182^2/4+AT182^3/27</f>
        <v>0.000313710901361829</v>
      </c>
      <c r="AW182" s="60" t="n">
        <f aca="false">-AU182/2-IF(AU182&gt;=0,1,-1)*SQRT(MAX(AV182,0))</f>
        <v>0.0495319352963236</v>
      </c>
      <c r="AX182" s="60" t="n">
        <f aca="false">SIGN(AW182)*ABS(AW182)^(1/3)</f>
        <v>0.367249967174439</v>
      </c>
      <c r="AY182" s="60" t="n">
        <f aca="false">IF(AX182=0,0,AX182-AT182/(3*AX182))</f>
        <v>0.60888329127384</v>
      </c>
      <c r="AZ182" s="60" t="n">
        <f aca="false">2*SQRT(MAX(-AT182,0)/3)</f>
        <v>0.595784626668918</v>
      </c>
      <c r="BA182" s="60" t="n">
        <f aca="false">ACOS(IF(AZ182=0,0,MAX(-1,MIN(1,3*AU182/(AT182*AZ182)))))</f>
        <v>0</v>
      </c>
      <c r="BB182" s="60" t="n">
        <f aca="false">AZ182*COS(BA182/3)</f>
        <v>0.595784626668918</v>
      </c>
      <c r="BC182" s="60" t="n">
        <f aca="false">IF(AV182&lt;0,BB182,AY182)-AQ182/3</f>
        <v>0.91158844983184</v>
      </c>
      <c r="BD182" s="60" t="n">
        <f aca="false">IFERROR((((BC182+AQ182)*BC182+AR182)*BC182+AS182)/((3*BC182+2*AQ182)*BC182+AR182),0)</f>
        <v>0</v>
      </c>
      <c r="BE182" s="60" t="n">
        <f aca="false">IF(ABS(BD182)&lt;0.1*ABS(BC182),BC182-BD182,BC182)</f>
        <v>0.91158844983184</v>
      </c>
      <c r="BF182" s="60" t="n">
        <f aca="false">IFERROR((((BE182+AQ182)*BE182+AR182)*BE182+AS182)/((3*BE182+2*AQ182)*BE182+AR182),0)</f>
        <v>0</v>
      </c>
      <c r="BG182" s="60" t="n">
        <f aca="false">IF(ABS(BF182)&lt;0.1*ABS(BE182),BE182-BF182,BE182)</f>
        <v>0.91158844983184</v>
      </c>
      <c r="BH182" s="60" t="n">
        <f aca="false">-AS182/BG182</f>
        <v>0.0118376711504565</v>
      </c>
      <c r="BI182" s="60" t="n">
        <f aca="false">(AR182-BH182)/BG182</f>
        <v>-0.00347297415783941</v>
      </c>
      <c r="BJ182" s="60" t="n">
        <f aca="false">BI182^2-4*BH182</f>
        <v>-0.0473386230523248</v>
      </c>
      <c r="BK182" s="60" t="n">
        <f aca="false">IF(BJ182&gt;=0,(BI182+IF(BI182&gt;=0,1,-1)*SQRT(BJ182))/2,0)</f>
        <v>0</v>
      </c>
      <c r="BL182" s="60" t="n">
        <f aca="false">IF(AND(BJ182&gt;=0,BK182&lt;&gt;0),MIN(BK182,BH182/BK182),-1)</f>
        <v>-1</v>
      </c>
      <c r="BM182" s="60" t="n">
        <f aca="false">AND(BJ182&gt;=0,BL182&gt;AP182,ABS(BG182-BL182)&gt;=0.00005*MAX(BG182,BL182))</f>
        <v>0</v>
      </c>
      <c r="BN182" s="60" t="n">
        <f aca="false">IF(BM182,IFERROR((((BL182+AQ182)*BL182+AR182)*BL182+AS182)/((3*BL182+2*AQ182)*BL182+AR182),0),0)</f>
        <v>0</v>
      </c>
      <c r="BO182" s="60" t="n">
        <f aca="false">IF(ABS(BN182)&lt;0.1*ABS(BL182),BL182-BN182,BL182)</f>
        <v>-1</v>
      </c>
      <c r="BP182" s="60" t="n">
        <f aca="false">IF(BM182,IFERROR((((BO182+AQ182)*BO182+AR182)*BO182+AS182)/((3*BO182+2*AQ182)*BO182+AR182),0),0)</f>
        <v>0</v>
      </c>
      <c r="BQ182" s="60" t="n">
        <f aca="false">IF(ABS(BP182)&lt;0.1*ABS(BO182),BO182-BP182,BO182)</f>
        <v>-1</v>
      </c>
      <c r="BR182" s="60" t="n">
        <f aca="false">IF(BM182,MAX(BG182,BQ182),BG182)</f>
        <v>0.91158844983184</v>
      </c>
      <c r="BS182" s="60" t="n">
        <f aca="false">IF(BM182,MIN(BG182,BQ182),-1)</f>
        <v>-1</v>
      </c>
      <c r="BT182" s="60" t="n">
        <f aca="false">CHOOSE($C$7,AO182/BR182,AO182/AP182*LN(1+AP182/BR182),AO182/(2*SQRT(2)*AP182)*LN((BR182+(1+SQRT(2))*AP182)/(BR182+(1-SQRT(2))*AP182)))</f>
        <v>0.218240791233887</v>
      </c>
      <c r="BU182" s="60" t="n">
        <f aca="false">BR182-1-LN(BR182-AP182)-BT182</f>
        <v>-0.107840271021729</v>
      </c>
      <c r="BV182" s="60" t="n">
        <f aca="false">IF(BM182,CHOOSE($C$7,AO182/BS182,AO182/AP182*LN(1+AP182/BS182),AO182/(2*SQRT(2)*AP182)*LN((BS182+(1+SQRT(2))*AP182)/(BS182+(1-SQRT(2))*AP182))),0)</f>
        <v>0</v>
      </c>
      <c r="BW182" s="60" t="n">
        <f aca="false">IF(BM182,BS182-1-LN(BS182-AP182)-BV182,0)</f>
        <v>0</v>
      </c>
      <c r="BX182" s="60" t="n">
        <f aca="false">AND(BM182,BW182&lt;BU182)</f>
        <v>0</v>
      </c>
      <c r="BY182" s="60" t="n">
        <f aca="false">IF(BX182,BS182,BR182)</f>
        <v>0.91158844983184</v>
      </c>
      <c r="BZ182" s="60" t="n">
        <f aca="false">IF(BX182,BV182,BT182)</f>
        <v>0.218240791233887</v>
      </c>
      <c r="CA182" s="60" t="n">
        <f aca="false">LN(BY182-AP182)</f>
        <v>-0.198812070380318</v>
      </c>
      <c r="CB182" s="60" t="n">
        <f aca="false">$E$27/AN182*(BY182-1)-CA182-BZ182*(2*AA182/AM182-$E$27/AN182)</f>
        <v>-0.107840271021729</v>
      </c>
      <c r="CC182" s="60" t="n">
        <f aca="false">$F$27/AN182*(BY182-1)-CA182-BZ182*(2*AB182/AM182-$F$27/AN182)</f>
        <v>0.198812070380318</v>
      </c>
      <c r="CD182" s="60" t="n">
        <f aca="false">$G$27/AN182*(BY182-1)-CA182-BZ182*(2*AC182/AM182-$G$27/AN182)</f>
        <v>0.198812070380318</v>
      </c>
      <c r="CE182" s="60" t="n">
        <f aca="false">$H$27/AN182*(BY182-1)-CA182-BZ182*(2*AD182/AM182-$H$27/AN182)</f>
        <v>0.198812070380318</v>
      </c>
      <c r="CF182" s="60" t="n">
        <f aca="false">$I$27/AN182*(BY182-1)-CA182-BZ182*(2*AE182/AM182-$I$27/AN182)</f>
        <v>0.198812070380318</v>
      </c>
      <c r="CG182" s="60" t="n">
        <f aca="false">$J$27/AN182*(BY182-1)-CA182-BZ182*(2*AF182/AM182-$J$27/AN182)</f>
        <v>0.198812070380318</v>
      </c>
      <c r="CH182" s="60" t="n">
        <f aca="false">$K$27/AN182*(BY182-1)-CA182-BZ182*(2*AG182/AM182-$K$27/AN182)</f>
        <v>0.198812070380318</v>
      </c>
      <c r="CI182" s="60" t="n">
        <f aca="false">$L$27/AN182*(BY182-1)-CA182-BZ182*(2*AH182/AM182-$L$27/AN182)</f>
        <v>0.198812070380318</v>
      </c>
      <c r="CJ182" s="60" t="n">
        <f aca="false">$M$27/AN182*(BY182-1)-CA182-BZ182*(2*AI182/AM182-$M$27/AN182)</f>
        <v>0.198812070380318</v>
      </c>
      <c r="CK182" s="60" t="n">
        <f aca="false">$N$27/AN182*(BY182-1)-CA182-BZ182*(2*AJ182/AM182-$N$27/AN182)</f>
        <v>0.198812070380318</v>
      </c>
      <c r="CL182" s="60" t="n">
        <f aca="false">$O$27/AN182*(BY182-1)-CA182-BZ182*(2*AK182/AM182-$O$27/AN182)</f>
        <v>0.198812070380318</v>
      </c>
      <c r="CM182" s="60" t="n">
        <f aca="false">$P$27/AN182*(BY182-1)-CA182-BZ182*(2*AL182/AM182-$P$27/AN182)</f>
        <v>0.198812070380318</v>
      </c>
      <c r="CN182" s="60" t="n">
        <f aca="false">AP182/BY182&gt;$C$22</f>
        <v>0</v>
      </c>
      <c r="CO182" s="60" t="n">
        <f aca="false">1-N182+SUMPRODUCT(B182:M182,CB182:CM182)-SUMPRODUCT(B182:M182,CB181:CM181)</f>
        <v>0</v>
      </c>
      <c r="CP182" s="60" t="n">
        <f aca="false">SUMXMY2(O182:Z182,$E$13:$P$13)</f>
        <v>0</v>
      </c>
    </row>
    <row r="183" customFormat="false" ht="15" hidden="false" customHeight="false" outlineLevel="0" collapsed="false">
      <c r="A183" s="59" t="n">
        <v>18</v>
      </c>
      <c r="B183" s="60" t="n">
        <f aca="false">$E$13*EXP(MAX(-700,MIN(700,$E$86-CB182)))</f>
        <v>1</v>
      </c>
      <c r="C183" s="60" t="n">
        <f aca="false">$F$13*EXP(MAX(-700,MIN(700,$F$86-CC182)))</f>
        <v>0</v>
      </c>
      <c r="D183" s="60" t="n">
        <f aca="false">$G$13*EXP(MAX(-700,MIN(700,$G$86-CD182)))</f>
        <v>0</v>
      </c>
      <c r="E183" s="60" t="n">
        <f aca="false">$H$13*EXP(MAX(-700,MIN(700,$H$86-CE182)))</f>
        <v>0</v>
      </c>
      <c r="F183" s="60" t="n">
        <f aca="false">$I$13*EXP(MAX(-700,MIN(700,$I$86-CF182)))</f>
        <v>0</v>
      </c>
      <c r="G183" s="60" t="n">
        <f aca="false">$J$13*EXP(MAX(-700,MIN(700,$J$86-CG182)))</f>
        <v>0</v>
      </c>
      <c r="H183" s="60" t="n">
        <f aca="false">$K$13*EXP(MAX(-700,MIN(700,$K$86-CH182)))</f>
        <v>0</v>
      </c>
      <c r="I183" s="60" t="n">
        <f aca="false">$L$13*EXP(MAX(-700,MIN(700,$L$86-CI182)))</f>
        <v>0</v>
      </c>
      <c r="J183" s="60" t="n">
        <f aca="false">$M$13*EXP(MAX(-700,MIN(700,$M$86-CJ182)))</f>
        <v>0</v>
      </c>
      <c r="K183" s="60" t="n">
        <f aca="false">$N$13*EXP(MAX(-700,MIN(700,$N$86-CK182)))</f>
        <v>0</v>
      </c>
      <c r="L183" s="60" t="n">
        <f aca="false">$O$13*EXP(MAX(-700,MIN(700,$O$86-CL182)))</f>
        <v>0</v>
      </c>
      <c r="M183" s="60" t="n">
        <f aca="false">$P$13*EXP(MAX(-700,MIN(700,$P$86-CM182)))</f>
        <v>0</v>
      </c>
      <c r="N183" s="60" t="n">
        <f aca="false">SUM(B183:M183)</f>
        <v>1</v>
      </c>
      <c r="O183" s="60" t="n">
        <f aca="false">B183/N183</f>
        <v>1</v>
      </c>
      <c r="P183" s="60" t="n">
        <f aca="false">C183/N183</f>
        <v>0</v>
      </c>
      <c r="Q183" s="60" t="n">
        <f aca="false">D183/N183</f>
        <v>0</v>
      </c>
      <c r="R183" s="60" t="n">
        <f aca="false">E183/N183</f>
        <v>0</v>
      </c>
      <c r="S183" s="60" t="n">
        <f aca="false">F183/N183</f>
        <v>0</v>
      </c>
      <c r="T183" s="60" t="n">
        <f aca="false">G183/N183</f>
        <v>0</v>
      </c>
      <c r="U183" s="60" t="n">
        <f aca="false">H183/N183</f>
        <v>0</v>
      </c>
      <c r="V183" s="60" t="n">
        <f aca="false">I183/N183</f>
        <v>0</v>
      </c>
      <c r="W183" s="60" t="n">
        <f aca="false">J183/N183</f>
        <v>0</v>
      </c>
      <c r="X183" s="60" t="n">
        <f aca="false">K183/N183</f>
        <v>0</v>
      </c>
      <c r="Y183" s="60" t="n">
        <f aca="false">L183/N183</f>
        <v>0</v>
      </c>
      <c r="Z183" s="60" t="n">
        <f aca="false">M183/N183</f>
        <v>0</v>
      </c>
      <c r="AA183" s="60" t="n">
        <f aca="false">$E$28*SUMPRODUCT($E$31:$P$31,O183:Z183,$E$28:$P$28)</f>
        <v>0.184416866619846</v>
      </c>
      <c r="AB183" s="60" t="n">
        <f aca="false">$F$28*SUMPRODUCT($E$32:$P$32,O183:Z183,$E$28:$P$28)</f>
        <v>0</v>
      </c>
      <c r="AC183" s="60" t="n">
        <f aca="false">$G$28*SUMPRODUCT($E$33:$P$33,O183:Z183,$E$28:$P$28)</f>
        <v>0</v>
      </c>
      <c r="AD183" s="60" t="n">
        <f aca="false">$H$28*SUMPRODUCT($E$34:$P$34,O183:Z183,$E$28:$P$28)</f>
        <v>0</v>
      </c>
      <c r="AE183" s="60" t="n">
        <f aca="false">$I$28*SUMPRODUCT($E$35:$P$35,O183:Z183,$E$28:$P$28)</f>
        <v>0</v>
      </c>
      <c r="AF183" s="60" t="n">
        <f aca="false">$J$28*SUMPRODUCT($E$36:$P$36,O183:Z183,$E$28:$P$28)</f>
        <v>0</v>
      </c>
      <c r="AG183" s="60" t="n">
        <f aca="false">$K$28*SUMPRODUCT($E$37:$P$37,O183:Z183,$E$28:$P$28)</f>
        <v>0</v>
      </c>
      <c r="AH183" s="60" t="n">
        <f aca="false">$L$28*SUMPRODUCT($E$38:$P$38,O183:Z183,$E$28:$P$28)</f>
        <v>0</v>
      </c>
      <c r="AI183" s="60" t="n">
        <f aca="false">$M$28*SUMPRODUCT($E$39:$P$39,O183:Z183,$E$28:$P$28)</f>
        <v>0</v>
      </c>
      <c r="AJ183" s="60" t="n">
        <f aca="false">$N$28*SUMPRODUCT($E$40:$P$40,O183:Z183,$E$28:$P$28)</f>
        <v>0</v>
      </c>
      <c r="AK183" s="60" t="n">
        <f aca="false">$O$28*SUMPRODUCT($E$41:$P$41,O183:Z183,$E$28:$P$28)</f>
        <v>0</v>
      </c>
      <c r="AL183" s="60" t="n">
        <f aca="false">$P$28*SUMPRODUCT($E$42:$P$42,O183:Z183,$E$28:$P$28)</f>
        <v>0</v>
      </c>
      <c r="AM183" s="60" t="n">
        <f aca="false">SUMPRODUCT(O183:Z183,AA183:AL183)</f>
        <v>0.184416866619846</v>
      </c>
      <c r="AN183" s="60" t="n">
        <f aca="false">SUMPRODUCT(O183:Z183,$E$27:$P$27)</f>
        <v>2.67389635063809E-005</v>
      </c>
      <c r="AO183" s="60" t="n">
        <f aca="false">AM183*$C$9/($C$10*$C$8)^2</f>
        <v>0.21776909410545</v>
      </c>
      <c r="AP183" s="60" t="n">
        <f aca="false">AN183*$C$9/($C$10*$C$8)</f>
        <v>0.0918845243259994</v>
      </c>
      <c r="AQ183" s="60" t="n">
        <f aca="false">CHOOSE($C$7,-(1+AP183),-1,-(1-AP183))</f>
        <v>-0.908115475674001</v>
      </c>
      <c r="AR183" s="60" t="n">
        <f aca="false">CHOOSE($C$7,AO183,AO183-AP183-AP183^2,AO183-3*AP183^2-2*AP183)</f>
        <v>0.00867174802160559</v>
      </c>
      <c r="AS183" s="60" t="n">
        <f aca="false">CHOOSE($C$7,-AO183*AP183,-AO183*AP183,-(AO183*AP183-AP183^2-AP183^3))</f>
        <v>-0.0107910842936637</v>
      </c>
      <c r="AT183" s="60" t="n">
        <f aca="false">AR183-AQ183^2/3</f>
        <v>-0.266219491031267</v>
      </c>
      <c r="AU183" s="60" t="n">
        <f aca="false">2*AQ183^3/27-AQ183*AR183/3+AS183</f>
        <v>-0.0636400988362784</v>
      </c>
      <c r="AV183" s="60" t="n">
        <f aca="false">AU183^2/4+AT183^3/27</f>
        <v>0.000313710901361829</v>
      </c>
      <c r="AW183" s="60" t="n">
        <f aca="false">-AU183/2-IF(AU183&gt;=0,1,-1)*SQRT(MAX(AV183,0))</f>
        <v>0.0495319352963236</v>
      </c>
      <c r="AX183" s="60" t="n">
        <f aca="false">SIGN(AW183)*ABS(AW183)^(1/3)</f>
        <v>0.367249967174439</v>
      </c>
      <c r="AY183" s="60" t="n">
        <f aca="false">IF(AX183=0,0,AX183-AT183/(3*AX183))</f>
        <v>0.60888329127384</v>
      </c>
      <c r="AZ183" s="60" t="n">
        <f aca="false">2*SQRT(MAX(-AT183,0)/3)</f>
        <v>0.595784626668918</v>
      </c>
      <c r="BA183" s="60" t="n">
        <f aca="false">ACOS(IF(AZ183=0,0,MAX(-1,MIN(1,3*AU183/(AT183*AZ183)))))</f>
        <v>0</v>
      </c>
      <c r="BB183" s="60" t="n">
        <f aca="false">AZ183*COS(BA183/3)</f>
        <v>0.595784626668918</v>
      </c>
      <c r="BC183" s="60" t="n">
        <f aca="false">IF(AV183&lt;0,BB183,AY183)-AQ183/3</f>
        <v>0.91158844983184</v>
      </c>
      <c r="BD183" s="60" t="n">
        <f aca="false">IFERROR((((BC183+AQ183)*BC183+AR183)*BC183+AS183)/((3*BC183+2*AQ183)*BC183+AR183),0)</f>
        <v>0</v>
      </c>
      <c r="BE183" s="60" t="n">
        <f aca="false">IF(ABS(BD183)&lt;0.1*ABS(BC183),BC183-BD183,BC183)</f>
        <v>0.91158844983184</v>
      </c>
      <c r="BF183" s="60" t="n">
        <f aca="false">IFERROR((((BE183+AQ183)*BE183+AR183)*BE183+AS183)/((3*BE183+2*AQ183)*BE183+AR183),0)</f>
        <v>0</v>
      </c>
      <c r="BG183" s="60" t="n">
        <f aca="false">IF(ABS(BF183)&lt;0.1*ABS(BE183),BE183-BF183,BE183)</f>
        <v>0.91158844983184</v>
      </c>
      <c r="BH183" s="60" t="n">
        <f aca="false">-AS183/BG183</f>
        <v>0.0118376711504565</v>
      </c>
      <c r="BI183" s="60" t="n">
        <f aca="false">(AR183-BH183)/BG183</f>
        <v>-0.00347297415783941</v>
      </c>
      <c r="BJ183" s="60" t="n">
        <f aca="false">BI183^2-4*BH183</f>
        <v>-0.0473386230523248</v>
      </c>
      <c r="BK183" s="60" t="n">
        <f aca="false">IF(BJ183&gt;=0,(BI183+IF(BI183&gt;=0,1,-1)*SQRT(BJ183))/2,0)</f>
        <v>0</v>
      </c>
      <c r="BL183" s="60" t="n">
        <f aca="false">IF(AND(BJ183&gt;=0,BK183&lt;&gt;0),MIN(BK183,BH183/BK183),-1)</f>
        <v>-1</v>
      </c>
      <c r="BM183" s="60" t="n">
        <f aca="false">AND(BJ183&gt;=0,BL183&gt;AP183,ABS(BG183-BL183)&gt;=0.00005*MAX(BG183,BL183))</f>
        <v>0</v>
      </c>
      <c r="BN183" s="60" t="n">
        <f aca="false">IF(BM183,IFERROR((((BL183+AQ183)*BL183+AR183)*BL183+AS183)/((3*BL183+2*AQ183)*BL183+AR183),0),0)</f>
        <v>0</v>
      </c>
      <c r="BO183" s="60" t="n">
        <f aca="false">IF(ABS(BN183)&lt;0.1*ABS(BL183),BL183-BN183,BL183)</f>
        <v>-1</v>
      </c>
      <c r="BP183" s="60" t="n">
        <f aca="false">IF(BM183,IFERROR((((BO183+AQ183)*BO183+AR183)*BO183+AS183)/((3*BO183+2*AQ183)*BO183+AR183),0),0)</f>
        <v>0</v>
      </c>
      <c r="BQ183" s="60" t="n">
        <f aca="false">IF(ABS(BP183)&lt;0.1*ABS(BO183),BO183-BP183,BO183)</f>
        <v>-1</v>
      </c>
      <c r="BR183" s="60" t="n">
        <f aca="false">IF(BM183,MAX(BG183,BQ183),BG183)</f>
        <v>0.91158844983184</v>
      </c>
      <c r="BS183" s="60" t="n">
        <f aca="false">IF(BM183,MIN(BG183,BQ183),-1)</f>
        <v>-1</v>
      </c>
      <c r="BT183" s="60" t="n">
        <f aca="false">CHOOSE($C$7,AO183/BR183,AO183/AP183*LN(1+AP183/BR183),AO183/(2*SQRT(2)*AP183)*LN((BR183+(1+SQRT(2))*AP183)/(BR183+(1-SQRT(2))*AP183)))</f>
        <v>0.218240791233887</v>
      </c>
      <c r="BU183" s="60" t="n">
        <f aca="false">BR183-1-LN(BR183-AP183)-BT183</f>
        <v>-0.107840271021729</v>
      </c>
      <c r="BV183" s="60" t="n">
        <f aca="false">IF(BM183,CHOOSE($C$7,AO183/BS183,AO183/AP183*LN(1+AP183/BS183),AO183/(2*SQRT(2)*AP183)*LN((BS183+(1+SQRT(2))*AP183)/(BS183+(1-SQRT(2))*AP183))),0)</f>
        <v>0</v>
      </c>
      <c r="BW183" s="60" t="n">
        <f aca="false">IF(BM183,BS183-1-LN(BS183-AP183)-BV183,0)</f>
        <v>0</v>
      </c>
      <c r="BX183" s="60" t="n">
        <f aca="false">AND(BM183,BW183&lt;BU183)</f>
        <v>0</v>
      </c>
      <c r="BY183" s="60" t="n">
        <f aca="false">IF(BX183,BS183,BR183)</f>
        <v>0.91158844983184</v>
      </c>
      <c r="BZ183" s="60" t="n">
        <f aca="false">IF(BX183,BV183,BT183)</f>
        <v>0.218240791233887</v>
      </c>
      <c r="CA183" s="60" t="n">
        <f aca="false">LN(BY183-AP183)</f>
        <v>-0.198812070380318</v>
      </c>
      <c r="CB183" s="60" t="n">
        <f aca="false">$E$27/AN183*(BY183-1)-CA183-BZ183*(2*AA183/AM183-$E$27/AN183)</f>
        <v>-0.107840271021729</v>
      </c>
      <c r="CC183" s="60" t="n">
        <f aca="false">$F$27/AN183*(BY183-1)-CA183-BZ183*(2*AB183/AM183-$F$27/AN183)</f>
        <v>0.198812070380318</v>
      </c>
      <c r="CD183" s="60" t="n">
        <f aca="false">$G$27/AN183*(BY183-1)-CA183-BZ183*(2*AC183/AM183-$G$27/AN183)</f>
        <v>0.198812070380318</v>
      </c>
      <c r="CE183" s="60" t="n">
        <f aca="false">$H$27/AN183*(BY183-1)-CA183-BZ183*(2*AD183/AM183-$H$27/AN183)</f>
        <v>0.198812070380318</v>
      </c>
      <c r="CF183" s="60" t="n">
        <f aca="false">$I$27/AN183*(BY183-1)-CA183-BZ183*(2*AE183/AM183-$I$27/AN183)</f>
        <v>0.198812070380318</v>
      </c>
      <c r="CG183" s="60" t="n">
        <f aca="false">$J$27/AN183*(BY183-1)-CA183-BZ183*(2*AF183/AM183-$J$27/AN183)</f>
        <v>0.198812070380318</v>
      </c>
      <c r="CH183" s="60" t="n">
        <f aca="false">$K$27/AN183*(BY183-1)-CA183-BZ183*(2*AG183/AM183-$K$27/AN183)</f>
        <v>0.198812070380318</v>
      </c>
      <c r="CI183" s="60" t="n">
        <f aca="false">$L$27/AN183*(BY183-1)-CA183-BZ183*(2*AH183/AM183-$L$27/AN183)</f>
        <v>0.198812070380318</v>
      </c>
      <c r="CJ183" s="60" t="n">
        <f aca="false">$M$27/AN183*(BY183-1)-CA183-BZ183*(2*AI183/AM183-$M$27/AN183)</f>
        <v>0.198812070380318</v>
      </c>
      <c r="CK183" s="60" t="n">
        <f aca="false">$N$27/AN183*(BY183-1)-CA183-BZ183*(2*AJ183/AM183-$N$27/AN183)</f>
        <v>0.198812070380318</v>
      </c>
      <c r="CL183" s="60" t="n">
        <f aca="false">$O$27/AN183*(BY183-1)-CA183-BZ183*(2*AK183/AM183-$O$27/AN183)</f>
        <v>0.198812070380318</v>
      </c>
      <c r="CM183" s="60" t="n">
        <f aca="false">$P$27/AN183*(BY183-1)-CA183-BZ183*(2*AL183/AM183-$P$27/AN183)</f>
        <v>0.198812070380318</v>
      </c>
      <c r="CN183" s="60" t="n">
        <f aca="false">AP183/BY183&gt;$C$22</f>
        <v>0</v>
      </c>
      <c r="CO183" s="60" t="n">
        <f aca="false">1-N183+SUMPRODUCT(B183:M183,CB183:CM183)-SUMPRODUCT(B183:M183,CB182:CM182)</f>
        <v>0</v>
      </c>
      <c r="CP183" s="60" t="n">
        <f aca="false">SUMXMY2(O183:Z183,$E$13:$P$13)</f>
        <v>0</v>
      </c>
    </row>
    <row r="184" customFormat="false" ht="15" hidden="false" customHeight="false" outlineLevel="0" collapsed="false">
      <c r="A184" s="59" t="n">
        <v>19</v>
      </c>
      <c r="B184" s="60" t="n">
        <f aca="false">$E$13*EXP(MAX(-700,MIN(700,$E$86-CB183)))</f>
        <v>1</v>
      </c>
      <c r="C184" s="60" t="n">
        <f aca="false">$F$13*EXP(MAX(-700,MIN(700,$F$86-CC183)))</f>
        <v>0</v>
      </c>
      <c r="D184" s="60" t="n">
        <f aca="false">$G$13*EXP(MAX(-700,MIN(700,$G$86-CD183)))</f>
        <v>0</v>
      </c>
      <c r="E184" s="60" t="n">
        <f aca="false">$H$13*EXP(MAX(-700,MIN(700,$H$86-CE183)))</f>
        <v>0</v>
      </c>
      <c r="F184" s="60" t="n">
        <f aca="false">$I$13*EXP(MAX(-700,MIN(700,$I$86-CF183)))</f>
        <v>0</v>
      </c>
      <c r="G184" s="60" t="n">
        <f aca="false">$J$13*EXP(MAX(-700,MIN(700,$J$86-CG183)))</f>
        <v>0</v>
      </c>
      <c r="H184" s="60" t="n">
        <f aca="false">$K$13*EXP(MAX(-700,MIN(700,$K$86-CH183)))</f>
        <v>0</v>
      </c>
      <c r="I184" s="60" t="n">
        <f aca="false">$L$13*EXP(MAX(-700,MIN(700,$L$86-CI183)))</f>
        <v>0</v>
      </c>
      <c r="J184" s="60" t="n">
        <f aca="false">$M$13*EXP(MAX(-700,MIN(700,$M$86-CJ183)))</f>
        <v>0</v>
      </c>
      <c r="K184" s="60" t="n">
        <f aca="false">$N$13*EXP(MAX(-700,MIN(700,$N$86-CK183)))</f>
        <v>0</v>
      </c>
      <c r="L184" s="60" t="n">
        <f aca="false">$O$13*EXP(MAX(-700,MIN(700,$O$86-CL183)))</f>
        <v>0</v>
      </c>
      <c r="M184" s="60" t="n">
        <f aca="false">$P$13*EXP(MAX(-700,MIN(700,$P$86-CM183)))</f>
        <v>0</v>
      </c>
      <c r="N184" s="60" t="n">
        <f aca="false">SUM(B184:M184)</f>
        <v>1</v>
      </c>
      <c r="O184" s="60" t="n">
        <f aca="false">B184/N184</f>
        <v>1</v>
      </c>
      <c r="P184" s="60" t="n">
        <f aca="false">C184/N184</f>
        <v>0</v>
      </c>
      <c r="Q184" s="60" t="n">
        <f aca="false">D184/N184</f>
        <v>0</v>
      </c>
      <c r="R184" s="60" t="n">
        <f aca="false">E184/N184</f>
        <v>0</v>
      </c>
      <c r="S184" s="60" t="n">
        <f aca="false">F184/N184</f>
        <v>0</v>
      </c>
      <c r="T184" s="60" t="n">
        <f aca="false">G184/N184</f>
        <v>0</v>
      </c>
      <c r="U184" s="60" t="n">
        <f aca="false">H184/N184</f>
        <v>0</v>
      </c>
      <c r="V184" s="60" t="n">
        <f aca="false">I184/N184</f>
        <v>0</v>
      </c>
      <c r="W184" s="60" t="n">
        <f aca="false">J184/N184</f>
        <v>0</v>
      </c>
      <c r="X184" s="60" t="n">
        <f aca="false">K184/N184</f>
        <v>0</v>
      </c>
      <c r="Y184" s="60" t="n">
        <f aca="false">L184/N184</f>
        <v>0</v>
      </c>
      <c r="Z184" s="60" t="n">
        <f aca="false">M184/N184</f>
        <v>0</v>
      </c>
      <c r="AA184" s="60" t="n">
        <f aca="false">$E$28*SUMPRODUCT($E$31:$P$31,O184:Z184,$E$28:$P$28)</f>
        <v>0.184416866619846</v>
      </c>
      <c r="AB184" s="60" t="n">
        <f aca="false">$F$28*SUMPRODUCT($E$32:$P$32,O184:Z184,$E$28:$P$28)</f>
        <v>0</v>
      </c>
      <c r="AC184" s="60" t="n">
        <f aca="false">$G$28*SUMPRODUCT($E$33:$P$33,O184:Z184,$E$28:$P$28)</f>
        <v>0</v>
      </c>
      <c r="AD184" s="60" t="n">
        <f aca="false">$H$28*SUMPRODUCT($E$34:$P$34,O184:Z184,$E$28:$P$28)</f>
        <v>0</v>
      </c>
      <c r="AE184" s="60" t="n">
        <f aca="false">$I$28*SUMPRODUCT($E$35:$P$35,O184:Z184,$E$28:$P$28)</f>
        <v>0</v>
      </c>
      <c r="AF184" s="60" t="n">
        <f aca="false">$J$28*SUMPRODUCT($E$36:$P$36,O184:Z184,$E$28:$P$28)</f>
        <v>0</v>
      </c>
      <c r="AG184" s="60" t="n">
        <f aca="false">$K$28*SUMPRODUCT($E$37:$P$37,O184:Z184,$E$28:$P$28)</f>
        <v>0</v>
      </c>
      <c r="AH184" s="60" t="n">
        <f aca="false">$L$28*SUMPRODUCT($E$38:$P$38,O184:Z184,$E$28:$P$28)</f>
        <v>0</v>
      </c>
      <c r="AI184" s="60" t="n">
        <f aca="false">$M$28*SUMPRODUCT($E$39:$P$39,O184:Z184,$E$28:$P$28)</f>
        <v>0</v>
      </c>
      <c r="AJ184" s="60" t="n">
        <f aca="false">$N$28*SUMPRODUCT($E$40:$P$40,O184:Z184,$E$28:$P$28)</f>
        <v>0</v>
      </c>
      <c r="AK184" s="60" t="n">
        <f aca="false">$O$28*SUMPRODUCT($E$41:$P$41,O184:Z184,$E$28:$P$28)</f>
        <v>0</v>
      </c>
      <c r="AL184" s="60" t="n">
        <f aca="false">$P$28*SUMPRODUCT($E$42:$P$42,O184:Z184,$E$28:$P$28)</f>
        <v>0</v>
      </c>
      <c r="AM184" s="60" t="n">
        <f aca="false">SUMPRODUCT(O184:Z184,AA184:AL184)</f>
        <v>0.184416866619846</v>
      </c>
      <c r="AN184" s="60" t="n">
        <f aca="false">SUMPRODUCT(O184:Z184,$E$27:$P$27)</f>
        <v>2.67389635063809E-005</v>
      </c>
      <c r="AO184" s="60" t="n">
        <f aca="false">AM184*$C$9/($C$10*$C$8)^2</f>
        <v>0.21776909410545</v>
      </c>
      <c r="AP184" s="60" t="n">
        <f aca="false">AN184*$C$9/($C$10*$C$8)</f>
        <v>0.0918845243259994</v>
      </c>
      <c r="AQ184" s="60" t="n">
        <f aca="false">CHOOSE($C$7,-(1+AP184),-1,-(1-AP184))</f>
        <v>-0.908115475674001</v>
      </c>
      <c r="AR184" s="60" t="n">
        <f aca="false">CHOOSE($C$7,AO184,AO184-AP184-AP184^2,AO184-3*AP184^2-2*AP184)</f>
        <v>0.00867174802160559</v>
      </c>
      <c r="AS184" s="60" t="n">
        <f aca="false">CHOOSE($C$7,-AO184*AP184,-AO184*AP184,-(AO184*AP184-AP184^2-AP184^3))</f>
        <v>-0.0107910842936637</v>
      </c>
      <c r="AT184" s="60" t="n">
        <f aca="false">AR184-AQ184^2/3</f>
        <v>-0.266219491031267</v>
      </c>
      <c r="AU184" s="60" t="n">
        <f aca="false">2*AQ184^3/27-AQ184*AR184/3+AS184</f>
        <v>-0.0636400988362784</v>
      </c>
      <c r="AV184" s="60" t="n">
        <f aca="false">AU184^2/4+AT184^3/27</f>
        <v>0.000313710901361829</v>
      </c>
      <c r="AW184" s="60" t="n">
        <f aca="false">-AU184/2-IF(AU184&gt;=0,1,-1)*SQRT(MAX(AV184,0))</f>
        <v>0.0495319352963236</v>
      </c>
      <c r="AX184" s="60" t="n">
        <f aca="false">SIGN(AW184)*ABS(AW184)^(1/3)</f>
        <v>0.367249967174439</v>
      </c>
      <c r="AY184" s="60" t="n">
        <f aca="false">IF(AX184=0,0,AX184-AT184/(3*AX184))</f>
        <v>0.60888329127384</v>
      </c>
      <c r="AZ184" s="60" t="n">
        <f aca="false">2*SQRT(MAX(-AT184,0)/3)</f>
        <v>0.595784626668918</v>
      </c>
      <c r="BA184" s="60" t="n">
        <f aca="false">ACOS(IF(AZ184=0,0,MAX(-1,MIN(1,3*AU184/(AT184*AZ184)))))</f>
        <v>0</v>
      </c>
      <c r="BB184" s="60" t="n">
        <f aca="false">AZ184*COS(BA184/3)</f>
        <v>0.595784626668918</v>
      </c>
      <c r="BC184" s="60" t="n">
        <f aca="false">IF(AV184&lt;0,BB184,AY184)-AQ184/3</f>
        <v>0.91158844983184</v>
      </c>
      <c r="BD184" s="60" t="n">
        <f aca="false">IFERROR((((BC184+AQ184)*BC184+AR184)*BC184+AS184)/((3*BC184+2*AQ184)*BC184+AR184),0)</f>
        <v>0</v>
      </c>
      <c r="BE184" s="60" t="n">
        <f aca="false">IF(ABS(BD184)&lt;0.1*ABS(BC184),BC184-BD184,BC184)</f>
        <v>0.91158844983184</v>
      </c>
      <c r="BF184" s="60" t="n">
        <f aca="false">IFERROR((((BE184+AQ184)*BE184+AR184)*BE184+AS184)/((3*BE184+2*AQ184)*BE184+AR184),0)</f>
        <v>0</v>
      </c>
      <c r="BG184" s="60" t="n">
        <f aca="false">IF(ABS(BF184)&lt;0.1*ABS(BE184),BE184-BF184,BE184)</f>
        <v>0.91158844983184</v>
      </c>
      <c r="BH184" s="60" t="n">
        <f aca="false">-AS184/BG184</f>
        <v>0.0118376711504565</v>
      </c>
      <c r="BI184" s="60" t="n">
        <f aca="false">(AR184-BH184)/BG184</f>
        <v>-0.00347297415783941</v>
      </c>
      <c r="BJ184" s="60" t="n">
        <f aca="false">BI184^2-4*BH184</f>
        <v>-0.0473386230523248</v>
      </c>
      <c r="BK184" s="60" t="n">
        <f aca="false">IF(BJ184&gt;=0,(BI184+IF(BI184&gt;=0,1,-1)*SQRT(BJ184))/2,0)</f>
        <v>0</v>
      </c>
      <c r="BL184" s="60" t="n">
        <f aca="false">IF(AND(BJ184&gt;=0,BK184&lt;&gt;0),MIN(BK184,BH184/BK184),-1)</f>
        <v>-1</v>
      </c>
      <c r="BM184" s="60" t="n">
        <f aca="false">AND(BJ184&gt;=0,BL184&gt;AP184,ABS(BG184-BL184)&gt;=0.00005*MAX(BG184,BL184))</f>
        <v>0</v>
      </c>
      <c r="BN184" s="60" t="n">
        <f aca="false">IF(BM184,IFERROR((((BL184+AQ184)*BL184+AR184)*BL184+AS184)/((3*BL184+2*AQ184)*BL184+AR184),0),0)</f>
        <v>0</v>
      </c>
      <c r="BO184" s="60" t="n">
        <f aca="false">IF(ABS(BN184)&lt;0.1*ABS(BL184),BL184-BN184,BL184)</f>
        <v>-1</v>
      </c>
      <c r="BP184" s="60" t="n">
        <f aca="false">IF(BM184,IFERROR((((BO184+AQ184)*BO184+AR184)*BO184+AS184)/((3*BO184+2*AQ184)*BO184+AR184),0),0)</f>
        <v>0</v>
      </c>
      <c r="BQ184" s="60" t="n">
        <f aca="false">IF(ABS(BP184)&lt;0.1*ABS(BO184),BO184-BP184,BO184)</f>
        <v>-1</v>
      </c>
      <c r="BR184" s="60" t="n">
        <f aca="false">IF(BM184,MAX(BG184,BQ184),BG184)</f>
        <v>0.91158844983184</v>
      </c>
      <c r="BS184" s="60" t="n">
        <f aca="false">IF(BM184,MIN(BG184,BQ184),-1)</f>
        <v>-1</v>
      </c>
      <c r="BT184" s="60" t="n">
        <f aca="false">CHOOSE($C$7,AO184/BR184,AO184/AP184*LN(1+AP184/BR184),AO184/(2*SQRT(2)*AP184)*LN((BR184+(1+SQRT(2))*AP184)/(BR184+(1-SQRT(2))*AP184)))</f>
        <v>0.218240791233887</v>
      </c>
      <c r="BU184" s="60" t="n">
        <f aca="false">BR184-1-LN(BR184-AP184)-BT184</f>
        <v>-0.107840271021729</v>
      </c>
      <c r="BV184" s="60" t="n">
        <f aca="false">IF(BM184,CHOOSE($C$7,AO184/BS184,AO184/AP184*LN(1+AP184/BS184),AO184/(2*SQRT(2)*AP184)*LN((BS184+(1+SQRT(2))*AP184)/(BS184+(1-SQRT(2))*AP184))),0)</f>
        <v>0</v>
      </c>
      <c r="BW184" s="60" t="n">
        <f aca="false">IF(BM184,BS184-1-LN(BS184-AP184)-BV184,0)</f>
        <v>0</v>
      </c>
      <c r="BX184" s="60" t="n">
        <f aca="false">AND(BM184,BW184&lt;BU184)</f>
        <v>0</v>
      </c>
      <c r="BY184" s="60" t="n">
        <f aca="false">IF(BX184,BS184,BR184)</f>
        <v>0.91158844983184</v>
      </c>
      <c r="BZ184" s="60" t="n">
        <f aca="false">IF(BX184,BV184,BT184)</f>
        <v>0.218240791233887</v>
      </c>
      <c r="CA184" s="60" t="n">
        <f aca="false">LN(BY184-AP184)</f>
        <v>-0.198812070380318</v>
      </c>
      <c r="CB184" s="60" t="n">
        <f aca="false">$E$27/AN184*(BY184-1)-CA184-BZ184*(2*AA184/AM184-$E$27/AN184)</f>
        <v>-0.107840271021729</v>
      </c>
      <c r="CC184" s="60" t="n">
        <f aca="false">$F$27/AN184*(BY184-1)-CA184-BZ184*(2*AB184/AM184-$F$27/AN184)</f>
        <v>0.198812070380318</v>
      </c>
      <c r="CD184" s="60" t="n">
        <f aca="false">$G$27/AN184*(BY184-1)-CA184-BZ184*(2*AC184/AM184-$G$27/AN184)</f>
        <v>0.198812070380318</v>
      </c>
      <c r="CE184" s="60" t="n">
        <f aca="false">$H$27/AN184*(BY184-1)-CA184-BZ184*(2*AD184/AM184-$H$27/AN184)</f>
        <v>0.198812070380318</v>
      </c>
      <c r="CF184" s="60" t="n">
        <f aca="false">$I$27/AN184*(BY184-1)-CA184-BZ184*(2*AE184/AM184-$I$27/AN184)</f>
        <v>0.198812070380318</v>
      </c>
      <c r="CG184" s="60" t="n">
        <f aca="false">$J$27/AN184*(BY184-1)-CA184-BZ184*(2*AF184/AM184-$J$27/AN184)</f>
        <v>0.198812070380318</v>
      </c>
      <c r="CH184" s="60" t="n">
        <f aca="false">$K$27/AN184*(BY184-1)-CA184-BZ184*(2*AG184/AM184-$K$27/AN184)</f>
        <v>0.198812070380318</v>
      </c>
      <c r="CI184" s="60" t="n">
        <f aca="false">$L$27/AN184*(BY184-1)-CA184-BZ184*(2*AH184/AM184-$L$27/AN184)</f>
        <v>0.198812070380318</v>
      </c>
      <c r="CJ184" s="60" t="n">
        <f aca="false">$M$27/AN184*(BY184-1)-CA184-BZ184*(2*AI184/AM184-$M$27/AN184)</f>
        <v>0.198812070380318</v>
      </c>
      <c r="CK184" s="60" t="n">
        <f aca="false">$N$27/AN184*(BY184-1)-CA184-BZ184*(2*AJ184/AM184-$N$27/AN184)</f>
        <v>0.198812070380318</v>
      </c>
      <c r="CL184" s="60" t="n">
        <f aca="false">$O$27/AN184*(BY184-1)-CA184-BZ184*(2*AK184/AM184-$O$27/AN184)</f>
        <v>0.198812070380318</v>
      </c>
      <c r="CM184" s="60" t="n">
        <f aca="false">$P$27/AN184*(BY184-1)-CA184-BZ184*(2*AL184/AM184-$P$27/AN184)</f>
        <v>0.198812070380318</v>
      </c>
      <c r="CN184" s="60" t="n">
        <f aca="false">AP184/BY184&gt;$C$22</f>
        <v>0</v>
      </c>
      <c r="CO184" s="60" t="n">
        <f aca="false">1-N184+SUMPRODUCT(B184:M184,CB184:CM184)-SUMPRODUCT(B184:M184,CB183:CM183)</f>
        <v>0</v>
      </c>
      <c r="CP184" s="60" t="n">
        <f aca="false">SUMXMY2(O184:Z184,$E$13:$P$13)</f>
        <v>0</v>
      </c>
    </row>
    <row r="185" customFormat="false" ht="15" hidden="false" customHeight="false" outlineLevel="0" collapsed="false">
      <c r="A185" s="59" t="n">
        <v>20</v>
      </c>
      <c r="B185" s="60" t="n">
        <f aca="false">$E$13*EXP(MAX(-700,MIN(700,$E$86-CB184)))</f>
        <v>1</v>
      </c>
      <c r="C185" s="60" t="n">
        <f aca="false">$F$13*EXP(MAX(-700,MIN(700,$F$86-CC184)))</f>
        <v>0</v>
      </c>
      <c r="D185" s="60" t="n">
        <f aca="false">$G$13*EXP(MAX(-700,MIN(700,$G$86-CD184)))</f>
        <v>0</v>
      </c>
      <c r="E185" s="60" t="n">
        <f aca="false">$H$13*EXP(MAX(-700,MIN(700,$H$86-CE184)))</f>
        <v>0</v>
      </c>
      <c r="F185" s="60" t="n">
        <f aca="false">$I$13*EXP(MAX(-700,MIN(700,$I$86-CF184)))</f>
        <v>0</v>
      </c>
      <c r="G185" s="60" t="n">
        <f aca="false">$J$13*EXP(MAX(-700,MIN(700,$J$86-CG184)))</f>
        <v>0</v>
      </c>
      <c r="H185" s="60" t="n">
        <f aca="false">$K$13*EXP(MAX(-700,MIN(700,$K$86-CH184)))</f>
        <v>0</v>
      </c>
      <c r="I185" s="60" t="n">
        <f aca="false">$L$13*EXP(MAX(-700,MIN(700,$L$86-CI184)))</f>
        <v>0</v>
      </c>
      <c r="J185" s="60" t="n">
        <f aca="false">$M$13*EXP(MAX(-700,MIN(700,$M$86-CJ184)))</f>
        <v>0</v>
      </c>
      <c r="K185" s="60" t="n">
        <f aca="false">$N$13*EXP(MAX(-700,MIN(700,$N$86-CK184)))</f>
        <v>0</v>
      </c>
      <c r="L185" s="60" t="n">
        <f aca="false">$O$13*EXP(MAX(-700,MIN(700,$O$86-CL184)))</f>
        <v>0</v>
      </c>
      <c r="M185" s="60" t="n">
        <f aca="false">$P$13*EXP(MAX(-700,MIN(700,$P$86-CM184)))</f>
        <v>0</v>
      </c>
      <c r="N185" s="60" t="n">
        <f aca="false">SUM(B185:M185)</f>
        <v>1</v>
      </c>
      <c r="O185" s="60" t="n">
        <f aca="false">B185/N185</f>
        <v>1</v>
      </c>
      <c r="P185" s="60" t="n">
        <f aca="false">C185/N185</f>
        <v>0</v>
      </c>
      <c r="Q185" s="60" t="n">
        <f aca="false">D185/N185</f>
        <v>0</v>
      </c>
      <c r="R185" s="60" t="n">
        <f aca="false">E185/N185</f>
        <v>0</v>
      </c>
      <c r="S185" s="60" t="n">
        <f aca="false">F185/N185</f>
        <v>0</v>
      </c>
      <c r="T185" s="60" t="n">
        <f aca="false">G185/N185</f>
        <v>0</v>
      </c>
      <c r="U185" s="60" t="n">
        <f aca="false">H185/N185</f>
        <v>0</v>
      </c>
      <c r="V185" s="60" t="n">
        <f aca="false">I185/N185</f>
        <v>0</v>
      </c>
      <c r="W185" s="60" t="n">
        <f aca="false">J185/N185</f>
        <v>0</v>
      </c>
      <c r="X185" s="60" t="n">
        <f aca="false">K185/N185</f>
        <v>0</v>
      </c>
      <c r="Y185" s="60" t="n">
        <f aca="false">L185/N185</f>
        <v>0</v>
      </c>
      <c r="Z185" s="60" t="n">
        <f aca="false">M185/N185</f>
        <v>0</v>
      </c>
      <c r="AA185" s="60" t="n">
        <f aca="false">$E$28*SUMPRODUCT($E$31:$P$31,O185:Z185,$E$28:$P$28)</f>
        <v>0.184416866619846</v>
      </c>
      <c r="AB185" s="60" t="n">
        <f aca="false">$F$28*SUMPRODUCT($E$32:$P$32,O185:Z185,$E$28:$P$28)</f>
        <v>0</v>
      </c>
      <c r="AC185" s="60" t="n">
        <f aca="false">$G$28*SUMPRODUCT($E$33:$P$33,O185:Z185,$E$28:$P$28)</f>
        <v>0</v>
      </c>
      <c r="AD185" s="60" t="n">
        <f aca="false">$H$28*SUMPRODUCT($E$34:$P$34,O185:Z185,$E$28:$P$28)</f>
        <v>0</v>
      </c>
      <c r="AE185" s="60" t="n">
        <f aca="false">$I$28*SUMPRODUCT($E$35:$P$35,O185:Z185,$E$28:$P$28)</f>
        <v>0</v>
      </c>
      <c r="AF185" s="60" t="n">
        <f aca="false">$J$28*SUMPRODUCT($E$36:$P$36,O185:Z185,$E$28:$P$28)</f>
        <v>0</v>
      </c>
      <c r="AG185" s="60" t="n">
        <f aca="false">$K$28*SUMPRODUCT($E$37:$P$37,O185:Z185,$E$28:$P$28)</f>
        <v>0</v>
      </c>
      <c r="AH185" s="60" t="n">
        <f aca="false">$L$28*SUMPRODUCT($E$38:$P$38,O185:Z185,$E$28:$P$28)</f>
        <v>0</v>
      </c>
      <c r="AI185" s="60" t="n">
        <f aca="false">$M$28*SUMPRODUCT($E$39:$P$39,O185:Z185,$E$28:$P$28)</f>
        <v>0</v>
      </c>
      <c r="AJ185" s="60" t="n">
        <f aca="false">$N$28*SUMPRODUCT($E$40:$P$40,O185:Z185,$E$28:$P$28)</f>
        <v>0</v>
      </c>
      <c r="AK185" s="60" t="n">
        <f aca="false">$O$28*SUMPRODUCT($E$41:$P$41,O185:Z185,$E$28:$P$28)</f>
        <v>0</v>
      </c>
      <c r="AL185" s="60" t="n">
        <f aca="false">$P$28*SUMPRODUCT($E$42:$P$42,O185:Z185,$E$28:$P$28)</f>
        <v>0</v>
      </c>
      <c r="AM185" s="60" t="n">
        <f aca="false">SUMPRODUCT(O185:Z185,AA185:AL185)</f>
        <v>0.184416866619846</v>
      </c>
      <c r="AN185" s="60" t="n">
        <f aca="false">SUMPRODUCT(O185:Z185,$E$27:$P$27)</f>
        <v>2.67389635063809E-005</v>
      </c>
      <c r="AO185" s="60" t="n">
        <f aca="false">AM185*$C$9/($C$10*$C$8)^2</f>
        <v>0.21776909410545</v>
      </c>
      <c r="AP185" s="60" t="n">
        <f aca="false">AN185*$C$9/($C$10*$C$8)</f>
        <v>0.0918845243259994</v>
      </c>
      <c r="AQ185" s="60" t="n">
        <f aca="false">CHOOSE($C$7,-(1+AP185),-1,-(1-AP185))</f>
        <v>-0.908115475674001</v>
      </c>
      <c r="AR185" s="60" t="n">
        <f aca="false">CHOOSE($C$7,AO185,AO185-AP185-AP185^2,AO185-3*AP185^2-2*AP185)</f>
        <v>0.00867174802160559</v>
      </c>
      <c r="AS185" s="60" t="n">
        <f aca="false">CHOOSE($C$7,-AO185*AP185,-AO185*AP185,-(AO185*AP185-AP185^2-AP185^3))</f>
        <v>-0.0107910842936637</v>
      </c>
      <c r="AT185" s="60" t="n">
        <f aca="false">AR185-AQ185^2/3</f>
        <v>-0.266219491031267</v>
      </c>
      <c r="AU185" s="60" t="n">
        <f aca="false">2*AQ185^3/27-AQ185*AR185/3+AS185</f>
        <v>-0.0636400988362784</v>
      </c>
      <c r="AV185" s="60" t="n">
        <f aca="false">AU185^2/4+AT185^3/27</f>
        <v>0.000313710901361829</v>
      </c>
      <c r="AW185" s="60" t="n">
        <f aca="false">-AU185/2-IF(AU185&gt;=0,1,-1)*SQRT(MAX(AV185,0))</f>
        <v>0.0495319352963236</v>
      </c>
      <c r="AX185" s="60" t="n">
        <f aca="false">SIGN(AW185)*ABS(AW185)^(1/3)</f>
        <v>0.367249967174439</v>
      </c>
      <c r="AY185" s="60" t="n">
        <f aca="false">IF(AX185=0,0,AX185-AT185/(3*AX185))</f>
        <v>0.60888329127384</v>
      </c>
      <c r="AZ185" s="60" t="n">
        <f aca="false">2*SQRT(MAX(-AT185,0)/3)</f>
        <v>0.595784626668918</v>
      </c>
      <c r="BA185" s="60" t="n">
        <f aca="false">ACOS(IF(AZ185=0,0,MAX(-1,MIN(1,3*AU185/(AT185*AZ185)))))</f>
        <v>0</v>
      </c>
      <c r="BB185" s="60" t="n">
        <f aca="false">AZ185*COS(BA185/3)</f>
        <v>0.595784626668918</v>
      </c>
      <c r="BC185" s="60" t="n">
        <f aca="false">IF(AV185&lt;0,BB185,AY185)-AQ185/3</f>
        <v>0.91158844983184</v>
      </c>
      <c r="BD185" s="60" t="n">
        <f aca="false">IFERROR((((BC185+AQ185)*BC185+AR185)*BC185+AS185)/((3*BC185+2*AQ185)*BC185+AR185),0)</f>
        <v>0</v>
      </c>
      <c r="BE185" s="60" t="n">
        <f aca="false">IF(ABS(BD185)&lt;0.1*ABS(BC185),BC185-BD185,BC185)</f>
        <v>0.91158844983184</v>
      </c>
      <c r="BF185" s="60" t="n">
        <f aca="false">IFERROR((((BE185+AQ185)*BE185+AR185)*BE185+AS185)/((3*BE185+2*AQ185)*BE185+AR185),0)</f>
        <v>0</v>
      </c>
      <c r="BG185" s="60" t="n">
        <f aca="false">IF(ABS(BF185)&lt;0.1*ABS(BE185),BE185-BF185,BE185)</f>
        <v>0.91158844983184</v>
      </c>
      <c r="BH185" s="60" t="n">
        <f aca="false">-AS185/BG185</f>
        <v>0.0118376711504565</v>
      </c>
      <c r="BI185" s="60" t="n">
        <f aca="false">(AR185-BH185)/BG185</f>
        <v>-0.00347297415783941</v>
      </c>
      <c r="BJ185" s="60" t="n">
        <f aca="false">BI185^2-4*BH185</f>
        <v>-0.0473386230523248</v>
      </c>
      <c r="BK185" s="60" t="n">
        <f aca="false">IF(BJ185&gt;=0,(BI185+IF(BI185&gt;=0,1,-1)*SQRT(BJ185))/2,0)</f>
        <v>0</v>
      </c>
      <c r="BL185" s="60" t="n">
        <f aca="false">IF(AND(BJ185&gt;=0,BK185&lt;&gt;0),MIN(BK185,BH185/BK185),-1)</f>
        <v>-1</v>
      </c>
      <c r="BM185" s="60" t="n">
        <f aca="false">AND(BJ185&gt;=0,BL185&gt;AP185,ABS(BG185-BL185)&gt;=0.00005*MAX(BG185,BL185))</f>
        <v>0</v>
      </c>
      <c r="BN185" s="60" t="n">
        <f aca="false">IF(BM185,IFERROR((((BL185+AQ185)*BL185+AR185)*BL185+AS185)/((3*BL185+2*AQ185)*BL185+AR185),0),0)</f>
        <v>0</v>
      </c>
      <c r="BO185" s="60" t="n">
        <f aca="false">IF(ABS(BN185)&lt;0.1*ABS(BL185),BL185-BN185,BL185)</f>
        <v>-1</v>
      </c>
      <c r="BP185" s="60" t="n">
        <f aca="false">IF(BM185,IFERROR((((BO185+AQ185)*BO185+AR185)*BO185+AS185)/((3*BO185+2*AQ185)*BO185+AR185),0),0)</f>
        <v>0</v>
      </c>
      <c r="BQ185" s="60" t="n">
        <f aca="false">IF(ABS(BP185)&lt;0.1*ABS(BO185),BO185-BP185,BO185)</f>
        <v>-1</v>
      </c>
      <c r="BR185" s="60" t="n">
        <f aca="false">IF(BM185,MAX(BG185,BQ185),BG185)</f>
        <v>0.91158844983184</v>
      </c>
      <c r="BS185" s="60" t="n">
        <f aca="false">IF(BM185,MIN(BG185,BQ185),-1)</f>
        <v>-1</v>
      </c>
      <c r="BT185" s="60" t="n">
        <f aca="false">CHOOSE($C$7,AO185/BR185,AO185/AP185*LN(1+AP185/BR185),AO185/(2*SQRT(2)*AP185)*LN((BR185+(1+SQRT(2))*AP185)/(BR185+(1-SQRT(2))*AP185)))</f>
        <v>0.218240791233887</v>
      </c>
      <c r="BU185" s="60" t="n">
        <f aca="false">BR185-1-LN(BR185-AP185)-BT185</f>
        <v>-0.107840271021729</v>
      </c>
      <c r="BV185" s="60" t="n">
        <f aca="false">IF(BM185,CHOOSE($C$7,AO185/BS185,AO185/AP185*LN(1+AP185/BS185),AO185/(2*SQRT(2)*AP185)*LN((BS185+(1+SQRT(2))*AP185)/(BS185+(1-SQRT(2))*AP185))),0)</f>
        <v>0</v>
      </c>
      <c r="BW185" s="60" t="n">
        <f aca="false">IF(BM185,BS185-1-LN(BS185-AP185)-BV185,0)</f>
        <v>0</v>
      </c>
      <c r="BX185" s="60" t="n">
        <f aca="false">AND(BM185,BW185&lt;BU185)</f>
        <v>0</v>
      </c>
      <c r="BY185" s="60" t="n">
        <f aca="false">IF(BX185,BS185,BR185)</f>
        <v>0.91158844983184</v>
      </c>
      <c r="BZ185" s="60" t="n">
        <f aca="false">IF(BX185,BV185,BT185)</f>
        <v>0.218240791233887</v>
      </c>
      <c r="CA185" s="60" t="n">
        <f aca="false">LN(BY185-AP185)</f>
        <v>-0.198812070380318</v>
      </c>
      <c r="CB185" s="60" t="n">
        <f aca="false">$E$27/AN185*(BY185-1)-CA185-BZ185*(2*AA185/AM185-$E$27/AN185)</f>
        <v>-0.107840271021729</v>
      </c>
      <c r="CC185" s="60" t="n">
        <f aca="false">$F$27/AN185*(BY185-1)-CA185-BZ185*(2*AB185/AM185-$F$27/AN185)</f>
        <v>0.198812070380318</v>
      </c>
      <c r="CD185" s="60" t="n">
        <f aca="false">$G$27/AN185*(BY185-1)-CA185-BZ185*(2*AC185/AM185-$G$27/AN185)</f>
        <v>0.198812070380318</v>
      </c>
      <c r="CE185" s="60" t="n">
        <f aca="false">$H$27/AN185*(BY185-1)-CA185-BZ185*(2*AD185/AM185-$H$27/AN185)</f>
        <v>0.198812070380318</v>
      </c>
      <c r="CF185" s="60" t="n">
        <f aca="false">$I$27/AN185*(BY185-1)-CA185-BZ185*(2*AE185/AM185-$I$27/AN185)</f>
        <v>0.198812070380318</v>
      </c>
      <c r="CG185" s="60" t="n">
        <f aca="false">$J$27/AN185*(BY185-1)-CA185-BZ185*(2*AF185/AM185-$J$27/AN185)</f>
        <v>0.198812070380318</v>
      </c>
      <c r="CH185" s="60" t="n">
        <f aca="false">$K$27/AN185*(BY185-1)-CA185-BZ185*(2*AG185/AM185-$K$27/AN185)</f>
        <v>0.198812070380318</v>
      </c>
      <c r="CI185" s="60" t="n">
        <f aca="false">$L$27/AN185*(BY185-1)-CA185-BZ185*(2*AH185/AM185-$L$27/AN185)</f>
        <v>0.198812070380318</v>
      </c>
      <c r="CJ185" s="60" t="n">
        <f aca="false">$M$27/AN185*(BY185-1)-CA185-BZ185*(2*AI185/AM185-$M$27/AN185)</f>
        <v>0.198812070380318</v>
      </c>
      <c r="CK185" s="60" t="n">
        <f aca="false">$N$27/AN185*(BY185-1)-CA185-BZ185*(2*AJ185/AM185-$N$27/AN185)</f>
        <v>0.198812070380318</v>
      </c>
      <c r="CL185" s="60" t="n">
        <f aca="false">$O$27/AN185*(BY185-1)-CA185-BZ185*(2*AK185/AM185-$O$27/AN185)</f>
        <v>0.198812070380318</v>
      </c>
      <c r="CM185" s="60" t="n">
        <f aca="false">$P$27/AN185*(BY185-1)-CA185-BZ185*(2*AL185/AM185-$P$27/AN185)</f>
        <v>0.198812070380318</v>
      </c>
      <c r="CN185" s="60" t="n">
        <f aca="false">AP185/BY185&gt;$C$22</f>
        <v>0</v>
      </c>
      <c r="CO185" s="60" t="n">
        <f aca="false">1-N185+SUMPRODUCT(B185:M185,CB185:CM185)-SUMPRODUCT(B185:M185,CB184:CM184)</f>
        <v>0</v>
      </c>
      <c r="CP185" s="60" t="n">
        <f aca="false">SUMXMY2(O185:Z185,$E$13:$P$13)</f>
        <v>0</v>
      </c>
    </row>
    <row r="186" customFormat="false" ht="15" hidden="false" customHeight="false" outlineLevel="0" collapsed="false">
      <c r="A186" s="59" t="n">
        <v>21</v>
      </c>
      <c r="B186" s="60" t="n">
        <f aca="false">$E$13*EXP(MAX(-700,MIN(700,$E$86-CB185)))</f>
        <v>1</v>
      </c>
      <c r="C186" s="60" t="n">
        <f aca="false">$F$13*EXP(MAX(-700,MIN(700,$F$86-CC185)))</f>
        <v>0</v>
      </c>
      <c r="D186" s="60" t="n">
        <f aca="false">$G$13*EXP(MAX(-700,MIN(700,$G$86-CD185)))</f>
        <v>0</v>
      </c>
      <c r="E186" s="60" t="n">
        <f aca="false">$H$13*EXP(MAX(-700,MIN(700,$H$86-CE185)))</f>
        <v>0</v>
      </c>
      <c r="F186" s="60" t="n">
        <f aca="false">$I$13*EXP(MAX(-700,MIN(700,$I$86-CF185)))</f>
        <v>0</v>
      </c>
      <c r="G186" s="60" t="n">
        <f aca="false">$J$13*EXP(MAX(-700,MIN(700,$J$86-CG185)))</f>
        <v>0</v>
      </c>
      <c r="H186" s="60" t="n">
        <f aca="false">$K$13*EXP(MAX(-700,MIN(700,$K$86-CH185)))</f>
        <v>0</v>
      </c>
      <c r="I186" s="60" t="n">
        <f aca="false">$L$13*EXP(MAX(-700,MIN(700,$L$86-CI185)))</f>
        <v>0</v>
      </c>
      <c r="J186" s="60" t="n">
        <f aca="false">$M$13*EXP(MAX(-700,MIN(700,$M$86-CJ185)))</f>
        <v>0</v>
      </c>
      <c r="K186" s="60" t="n">
        <f aca="false">$N$13*EXP(MAX(-700,MIN(700,$N$86-CK185)))</f>
        <v>0</v>
      </c>
      <c r="L186" s="60" t="n">
        <f aca="false">$O$13*EXP(MAX(-700,MIN(700,$O$86-CL185)))</f>
        <v>0</v>
      </c>
      <c r="M186" s="60" t="n">
        <f aca="false">$P$13*EXP(MAX(-700,MIN(700,$P$86-CM185)))</f>
        <v>0</v>
      </c>
      <c r="N186" s="60" t="n">
        <f aca="false">SUM(B186:M186)</f>
        <v>1</v>
      </c>
      <c r="O186" s="60" t="n">
        <f aca="false">B186/N186</f>
        <v>1</v>
      </c>
      <c r="P186" s="60" t="n">
        <f aca="false">C186/N186</f>
        <v>0</v>
      </c>
      <c r="Q186" s="60" t="n">
        <f aca="false">D186/N186</f>
        <v>0</v>
      </c>
      <c r="R186" s="60" t="n">
        <f aca="false">E186/N186</f>
        <v>0</v>
      </c>
      <c r="S186" s="60" t="n">
        <f aca="false">F186/N186</f>
        <v>0</v>
      </c>
      <c r="T186" s="60" t="n">
        <f aca="false">G186/N186</f>
        <v>0</v>
      </c>
      <c r="U186" s="60" t="n">
        <f aca="false">H186/N186</f>
        <v>0</v>
      </c>
      <c r="V186" s="60" t="n">
        <f aca="false">I186/N186</f>
        <v>0</v>
      </c>
      <c r="W186" s="60" t="n">
        <f aca="false">J186/N186</f>
        <v>0</v>
      </c>
      <c r="X186" s="60" t="n">
        <f aca="false">K186/N186</f>
        <v>0</v>
      </c>
      <c r="Y186" s="60" t="n">
        <f aca="false">L186/N186</f>
        <v>0</v>
      </c>
      <c r="Z186" s="60" t="n">
        <f aca="false">M186/N186</f>
        <v>0</v>
      </c>
      <c r="AA186" s="60" t="n">
        <f aca="false">$E$28*SUMPRODUCT($E$31:$P$31,O186:Z186,$E$28:$P$28)</f>
        <v>0.184416866619846</v>
      </c>
      <c r="AB186" s="60" t="n">
        <f aca="false">$F$28*SUMPRODUCT($E$32:$P$32,O186:Z186,$E$28:$P$28)</f>
        <v>0</v>
      </c>
      <c r="AC186" s="60" t="n">
        <f aca="false">$G$28*SUMPRODUCT($E$33:$P$33,O186:Z186,$E$28:$P$28)</f>
        <v>0</v>
      </c>
      <c r="AD186" s="60" t="n">
        <f aca="false">$H$28*SUMPRODUCT($E$34:$P$34,O186:Z186,$E$28:$P$28)</f>
        <v>0</v>
      </c>
      <c r="AE186" s="60" t="n">
        <f aca="false">$I$28*SUMPRODUCT($E$35:$P$35,O186:Z186,$E$28:$P$28)</f>
        <v>0</v>
      </c>
      <c r="AF186" s="60" t="n">
        <f aca="false">$J$28*SUMPRODUCT($E$36:$P$36,O186:Z186,$E$28:$P$28)</f>
        <v>0</v>
      </c>
      <c r="AG186" s="60" t="n">
        <f aca="false">$K$28*SUMPRODUCT($E$37:$P$37,O186:Z186,$E$28:$P$28)</f>
        <v>0</v>
      </c>
      <c r="AH186" s="60" t="n">
        <f aca="false">$L$28*SUMPRODUCT($E$38:$P$38,O186:Z186,$E$28:$P$28)</f>
        <v>0</v>
      </c>
      <c r="AI186" s="60" t="n">
        <f aca="false">$M$28*SUMPRODUCT($E$39:$P$39,O186:Z186,$E$28:$P$28)</f>
        <v>0</v>
      </c>
      <c r="AJ186" s="60" t="n">
        <f aca="false">$N$28*SUMPRODUCT($E$40:$P$40,O186:Z186,$E$28:$P$28)</f>
        <v>0</v>
      </c>
      <c r="AK186" s="60" t="n">
        <f aca="false">$O$28*SUMPRODUCT($E$41:$P$41,O186:Z186,$E$28:$P$28)</f>
        <v>0</v>
      </c>
      <c r="AL186" s="60" t="n">
        <f aca="false">$P$28*SUMPRODUCT($E$42:$P$42,O186:Z186,$E$28:$P$28)</f>
        <v>0</v>
      </c>
      <c r="AM186" s="60" t="n">
        <f aca="false">SUMPRODUCT(O186:Z186,AA186:AL186)</f>
        <v>0.184416866619846</v>
      </c>
      <c r="AN186" s="60" t="n">
        <f aca="false">SUMPRODUCT(O186:Z186,$E$27:$P$27)</f>
        <v>2.67389635063809E-005</v>
      </c>
      <c r="AO186" s="60" t="n">
        <f aca="false">AM186*$C$9/($C$10*$C$8)^2</f>
        <v>0.21776909410545</v>
      </c>
      <c r="AP186" s="60" t="n">
        <f aca="false">AN186*$C$9/($C$10*$C$8)</f>
        <v>0.0918845243259994</v>
      </c>
      <c r="AQ186" s="60" t="n">
        <f aca="false">CHOOSE($C$7,-(1+AP186),-1,-(1-AP186))</f>
        <v>-0.908115475674001</v>
      </c>
      <c r="AR186" s="60" t="n">
        <f aca="false">CHOOSE($C$7,AO186,AO186-AP186-AP186^2,AO186-3*AP186^2-2*AP186)</f>
        <v>0.00867174802160559</v>
      </c>
      <c r="AS186" s="60" t="n">
        <f aca="false">CHOOSE($C$7,-AO186*AP186,-AO186*AP186,-(AO186*AP186-AP186^2-AP186^3))</f>
        <v>-0.0107910842936637</v>
      </c>
      <c r="AT186" s="60" t="n">
        <f aca="false">AR186-AQ186^2/3</f>
        <v>-0.266219491031267</v>
      </c>
      <c r="AU186" s="60" t="n">
        <f aca="false">2*AQ186^3/27-AQ186*AR186/3+AS186</f>
        <v>-0.0636400988362784</v>
      </c>
      <c r="AV186" s="60" t="n">
        <f aca="false">AU186^2/4+AT186^3/27</f>
        <v>0.000313710901361829</v>
      </c>
      <c r="AW186" s="60" t="n">
        <f aca="false">-AU186/2-IF(AU186&gt;=0,1,-1)*SQRT(MAX(AV186,0))</f>
        <v>0.0495319352963236</v>
      </c>
      <c r="AX186" s="60" t="n">
        <f aca="false">SIGN(AW186)*ABS(AW186)^(1/3)</f>
        <v>0.367249967174439</v>
      </c>
      <c r="AY186" s="60" t="n">
        <f aca="false">IF(AX186=0,0,AX186-AT186/(3*AX186))</f>
        <v>0.60888329127384</v>
      </c>
      <c r="AZ186" s="60" t="n">
        <f aca="false">2*SQRT(MAX(-AT186,0)/3)</f>
        <v>0.595784626668918</v>
      </c>
      <c r="BA186" s="60" t="n">
        <f aca="false">ACOS(IF(AZ186=0,0,MAX(-1,MIN(1,3*AU186/(AT186*AZ186)))))</f>
        <v>0</v>
      </c>
      <c r="BB186" s="60" t="n">
        <f aca="false">AZ186*COS(BA186/3)</f>
        <v>0.595784626668918</v>
      </c>
      <c r="BC186" s="60" t="n">
        <f aca="false">IF(AV186&lt;0,BB186,AY186)-AQ186/3</f>
        <v>0.91158844983184</v>
      </c>
      <c r="BD186" s="60" t="n">
        <f aca="false">IFERROR((((BC186+AQ186)*BC186+AR186)*BC186+AS186)/((3*BC186+2*AQ186)*BC186+AR186),0)</f>
        <v>0</v>
      </c>
      <c r="BE186" s="60" t="n">
        <f aca="false">IF(ABS(BD186)&lt;0.1*ABS(BC186),BC186-BD186,BC186)</f>
        <v>0.91158844983184</v>
      </c>
      <c r="BF186" s="60" t="n">
        <f aca="false">IFERROR((((BE186+AQ186)*BE186+AR186)*BE186+AS186)/((3*BE186+2*AQ186)*BE186+AR186),0)</f>
        <v>0</v>
      </c>
      <c r="BG186" s="60" t="n">
        <f aca="false">IF(ABS(BF186)&lt;0.1*ABS(BE186),BE186-BF186,BE186)</f>
        <v>0.91158844983184</v>
      </c>
      <c r="BH186" s="60" t="n">
        <f aca="false">-AS186/BG186</f>
        <v>0.0118376711504565</v>
      </c>
      <c r="BI186" s="60" t="n">
        <f aca="false">(AR186-BH186)/BG186</f>
        <v>-0.00347297415783941</v>
      </c>
      <c r="BJ186" s="60" t="n">
        <f aca="false">BI186^2-4*BH186</f>
        <v>-0.0473386230523248</v>
      </c>
      <c r="BK186" s="60" t="n">
        <f aca="false">IF(BJ186&gt;=0,(BI186+IF(BI186&gt;=0,1,-1)*SQRT(BJ186))/2,0)</f>
        <v>0</v>
      </c>
      <c r="BL186" s="60" t="n">
        <f aca="false">IF(AND(BJ186&gt;=0,BK186&lt;&gt;0),MIN(BK186,BH186/BK186),-1)</f>
        <v>-1</v>
      </c>
      <c r="BM186" s="60" t="n">
        <f aca="false">AND(BJ186&gt;=0,BL186&gt;AP186,ABS(BG186-BL186)&gt;=0.00005*MAX(BG186,BL186))</f>
        <v>0</v>
      </c>
      <c r="BN186" s="60" t="n">
        <f aca="false">IF(BM186,IFERROR((((BL186+AQ186)*BL186+AR186)*BL186+AS186)/((3*BL186+2*AQ186)*BL186+AR186),0),0)</f>
        <v>0</v>
      </c>
      <c r="BO186" s="60" t="n">
        <f aca="false">IF(ABS(BN186)&lt;0.1*ABS(BL186),BL186-BN186,BL186)</f>
        <v>-1</v>
      </c>
      <c r="BP186" s="60" t="n">
        <f aca="false">IF(BM186,IFERROR((((BO186+AQ186)*BO186+AR186)*BO186+AS186)/((3*BO186+2*AQ186)*BO186+AR186),0),0)</f>
        <v>0</v>
      </c>
      <c r="BQ186" s="60" t="n">
        <f aca="false">IF(ABS(BP186)&lt;0.1*ABS(BO186),BO186-BP186,BO186)</f>
        <v>-1</v>
      </c>
      <c r="BR186" s="60" t="n">
        <f aca="false">IF(BM186,MAX(BG186,BQ186),BG186)</f>
        <v>0.91158844983184</v>
      </c>
      <c r="BS186" s="60" t="n">
        <f aca="false">IF(BM186,MIN(BG186,BQ186),-1)</f>
        <v>-1</v>
      </c>
      <c r="BT186" s="60" t="n">
        <f aca="false">CHOOSE($C$7,AO186/BR186,AO186/AP186*LN(1+AP186/BR186),AO186/(2*SQRT(2)*AP186)*LN((BR186+(1+SQRT(2))*AP186)/(BR186+(1-SQRT(2))*AP186)))</f>
        <v>0.218240791233887</v>
      </c>
      <c r="BU186" s="60" t="n">
        <f aca="false">BR186-1-LN(BR186-AP186)-BT186</f>
        <v>-0.107840271021729</v>
      </c>
      <c r="BV186" s="60" t="n">
        <f aca="false">IF(BM186,CHOOSE($C$7,AO186/BS186,AO186/AP186*LN(1+AP186/BS186),AO186/(2*SQRT(2)*AP186)*LN((BS186+(1+SQRT(2))*AP186)/(BS186+(1-SQRT(2))*AP186))),0)</f>
        <v>0</v>
      </c>
      <c r="BW186" s="60" t="n">
        <f aca="false">IF(BM186,BS186-1-LN(BS186-AP186)-BV186,0)</f>
        <v>0</v>
      </c>
      <c r="BX186" s="60" t="n">
        <f aca="false">AND(BM186,BW186&lt;BU186)</f>
        <v>0</v>
      </c>
      <c r="BY186" s="60" t="n">
        <f aca="false">IF(BX186,BS186,BR186)</f>
        <v>0.91158844983184</v>
      </c>
      <c r="BZ186" s="60" t="n">
        <f aca="false">IF(BX186,BV186,BT186)</f>
        <v>0.218240791233887</v>
      </c>
      <c r="CA186" s="60" t="n">
        <f aca="false">LN(BY186-AP186)</f>
        <v>-0.198812070380318</v>
      </c>
      <c r="CB186" s="60" t="n">
        <f aca="false">$E$27/AN186*(BY186-1)-CA186-BZ186*(2*AA186/AM186-$E$27/AN186)</f>
        <v>-0.107840271021729</v>
      </c>
      <c r="CC186" s="60" t="n">
        <f aca="false">$F$27/AN186*(BY186-1)-CA186-BZ186*(2*AB186/AM186-$F$27/AN186)</f>
        <v>0.198812070380318</v>
      </c>
      <c r="CD186" s="60" t="n">
        <f aca="false">$G$27/AN186*(BY186-1)-CA186-BZ186*(2*AC186/AM186-$G$27/AN186)</f>
        <v>0.198812070380318</v>
      </c>
      <c r="CE186" s="60" t="n">
        <f aca="false">$H$27/AN186*(BY186-1)-CA186-BZ186*(2*AD186/AM186-$H$27/AN186)</f>
        <v>0.198812070380318</v>
      </c>
      <c r="CF186" s="60" t="n">
        <f aca="false">$I$27/AN186*(BY186-1)-CA186-BZ186*(2*AE186/AM186-$I$27/AN186)</f>
        <v>0.198812070380318</v>
      </c>
      <c r="CG186" s="60" t="n">
        <f aca="false">$J$27/AN186*(BY186-1)-CA186-BZ186*(2*AF186/AM186-$J$27/AN186)</f>
        <v>0.198812070380318</v>
      </c>
      <c r="CH186" s="60" t="n">
        <f aca="false">$K$27/AN186*(BY186-1)-CA186-BZ186*(2*AG186/AM186-$K$27/AN186)</f>
        <v>0.198812070380318</v>
      </c>
      <c r="CI186" s="60" t="n">
        <f aca="false">$L$27/AN186*(BY186-1)-CA186-BZ186*(2*AH186/AM186-$L$27/AN186)</f>
        <v>0.198812070380318</v>
      </c>
      <c r="CJ186" s="60" t="n">
        <f aca="false">$M$27/AN186*(BY186-1)-CA186-BZ186*(2*AI186/AM186-$M$27/AN186)</f>
        <v>0.198812070380318</v>
      </c>
      <c r="CK186" s="60" t="n">
        <f aca="false">$N$27/AN186*(BY186-1)-CA186-BZ186*(2*AJ186/AM186-$N$27/AN186)</f>
        <v>0.198812070380318</v>
      </c>
      <c r="CL186" s="60" t="n">
        <f aca="false">$O$27/AN186*(BY186-1)-CA186-BZ186*(2*AK186/AM186-$O$27/AN186)</f>
        <v>0.198812070380318</v>
      </c>
      <c r="CM186" s="60" t="n">
        <f aca="false">$P$27/AN186*(BY186-1)-CA186-BZ186*(2*AL186/AM186-$P$27/AN186)</f>
        <v>0.198812070380318</v>
      </c>
      <c r="CN186" s="60" t="n">
        <f aca="false">AP186/BY186&gt;$C$22</f>
        <v>0</v>
      </c>
      <c r="CO186" s="60" t="n">
        <f aca="false">1-N186+SUMPRODUCT(B186:M186,CB186:CM186)-SUMPRODUCT(B186:M186,CB185:CM185)</f>
        <v>0</v>
      </c>
      <c r="CP186" s="60" t="n">
        <f aca="false">SUMXMY2(O186:Z186,$E$13:$P$13)</f>
        <v>0</v>
      </c>
    </row>
    <row r="187" customFormat="false" ht="15" hidden="false" customHeight="false" outlineLevel="0" collapsed="false">
      <c r="A187" s="59" t="n">
        <v>22</v>
      </c>
      <c r="B187" s="60" t="n">
        <f aca="false">$E$13*EXP(MAX(-700,MIN(700,$E$86-CB186)))</f>
        <v>1</v>
      </c>
      <c r="C187" s="60" t="n">
        <f aca="false">$F$13*EXP(MAX(-700,MIN(700,$F$86-CC186)))</f>
        <v>0</v>
      </c>
      <c r="D187" s="60" t="n">
        <f aca="false">$G$13*EXP(MAX(-700,MIN(700,$G$86-CD186)))</f>
        <v>0</v>
      </c>
      <c r="E187" s="60" t="n">
        <f aca="false">$H$13*EXP(MAX(-700,MIN(700,$H$86-CE186)))</f>
        <v>0</v>
      </c>
      <c r="F187" s="60" t="n">
        <f aca="false">$I$13*EXP(MAX(-700,MIN(700,$I$86-CF186)))</f>
        <v>0</v>
      </c>
      <c r="G187" s="60" t="n">
        <f aca="false">$J$13*EXP(MAX(-700,MIN(700,$J$86-CG186)))</f>
        <v>0</v>
      </c>
      <c r="H187" s="60" t="n">
        <f aca="false">$K$13*EXP(MAX(-700,MIN(700,$K$86-CH186)))</f>
        <v>0</v>
      </c>
      <c r="I187" s="60" t="n">
        <f aca="false">$L$13*EXP(MAX(-700,MIN(700,$L$86-CI186)))</f>
        <v>0</v>
      </c>
      <c r="J187" s="60" t="n">
        <f aca="false">$M$13*EXP(MAX(-700,MIN(700,$M$86-CJ186)))</f>
        <v>0</v>
      </c>
      <c r="K187" s="60" t="n">
        <f aca="false">$N$13*EXP(MAX(-700,MIN(700,$N$86-CK186)))</f>
        <v>0</v>
      </c>
      <c r="L187" s="60" t="n">
        <f aca="false">$O$13*EXP(MAX(-700,MIN(700,$O$86-CL186)))</f>
        <v>0</v>
      </c>
      <c r="M187" s="60" t="n">
        <f aca="false">$P$13*EXP(MAX(-700,MIN(700,$P$86-CM186)))</f>
        <v>0</v>
      </c>
      <c r="N187" s="60" t="n">
        <f aca="false">SUM(B187:M187)</f>
        <v>1</v>
      </c>
      <c r="O187" s="60" t="n">
        <f aca="false">B187/N187</f>
        <v>1</v>
      </c>
      <c r="P187" s="60" t="n">
        <f aca="false">C187/N187</f>
        <v>0</v>
      </c>
      <c r="Q187" s="60" t="n">
        <f aca="false">D187/N187</f>
        <v>0</v>
      </c>
      <c r="R187" s="60" t="n">
        <f aca="false">E187/N187</f>
        <v>0</v>
      </c>
      <c r="S187" s="60" t="n">
        <f aca="false">F187/N187</f>
        <v>0</v>
      </c>
      <c r="T187" s="60" t="n">
        <f aca="false">G187/N187</f>
        <v>0</v>
      </c>
      <c r="U187" s="60" t="n">
        <f aca="false">H187/N187</f>
        <v>0</v>
      </c>
      <c r="V187" s="60" t="n">
        <f aca="false">I187/N187</f>
        <v>0</v>
      </c>
      <c r="W187" s="60" t="n">
        <f aca="false">J187/N187</f>
        <v>0</v>
      </c>
      <c r="X187" s="60" t="n">
        <f aca="false">K187/N187</f>
        <v>0</v>
      </c>
      <c r="Y187" s="60" t="n">
        <f aca="false">L187/N187</f>
        <v>0</v>
      </c>
      <c r="Z187" s="60" t="n">
        <f aca="false">M187/N187</f>
        <v>0</v>
      </c>
      <c r="AA187" s="60" t="n">
        <f aca="false">$E$28*SUMPRODUCT($E$31:$P$31,O187:Z187,$E$28:$P$28)</f>
        <v>0.184416866619846</v>
      </c>
      <c r="AB187" s="60" t="n">
        <f aca="false">$F$28*SUMPRODUCT($E$32:$P$32,O187:Z187,$E$28:$P$28)</f>
        <v>0</v>
      </c>
      <c r="AC187" s="60" t="n">
        <f aca="false">$G$28*SUMPRODUCT($E$33:$P$33,O187:Z187,$E$28:$P$28)</f>
        <v>0</v>
      </c>
      <c r="AD187" s="60" t="n">
        <f aca="false">$H$28*SUMPRODUCT($E$34:$P$34,O187:Z187,$E$28:$P$28)</f>
        <v>0</v>
      </c>
      <c r="AE187" s="60" t="n">
        <f aca="false">$I$28*SUMPRODUCT($E$35:$P$35,O187:Z187,$E$28:$P$28)</f>
        <v>0</v>
      </c>
      <c r="AF187" s="60" t="n">
        <f aca="false">$J$28*SUMPRODUCT($E$36:$P$36,O187:Z187,$E$28:$P$28)</f>
        <v>0</v>
      </c>
      <c r="AG187" s="60" t="n">
        <f aca="false">$K$28*SUMPRODUCT($E$37:$P$37,O187:Z187,$E$28:$P$28)</f>
        <v>0</v>
      </c>
      <c r="AH187" s="60" t="n">
        <f aca="false">$L$28*SUMPRODUCT($E$38:$P$38,O187:Z187,$E$28:$P$28)</f>
        <v>0</v>
      </c>
      <c r="AI187" s="60" t="n">
        <f aca="false">$M$28*SUMPRODUCT($E$39:$P$39,O187:Z187,$E$28:$P$28)</f>
        <v>0</v>
      </c>
      <c r="AJ187" s="60" t="n">
        <f aca="false">$N$28*SUMPRODUCT($E$40:$P$40,O187:Z187,$E$28:$P$28)</f>
        <v>0</v>
      </c>
      <c r="AK187" s="60" t="n">
        <f aca="false">$O$28*SUMPRODUCT($E$41:$P$41,O187:Z187,$E$28:$P$28)</f>
        <v>0</v>
      </c>
      <c r="AL187" s="60" t="n">
        <f aca="false">$P$28*SUMPRODUCT($E$42:$P$42,O187:Z187,$E$28:$P$28)</f>
        <v>0</v>
      </c>
      <c r="AM187" s="60" t="n">
        <f aca="false">SUMPRODUCT(O187:Z187,AA187:AL187)</f>
        <v>0.184416866619846</v>
      </c>
      <c r="AN187" s="60" t="n">
        <f aca="false">SUMPRODUCT(O187:Z187,$E$27:$P$27)</f>
        <v>2.67389635063809E-005</v>
      </c>
      <c r="AO187" s="60" t="n">
        <f aca="false">AM187*$C$9/($C$10*$C$8)^2</f>
        <v>0.21776909410545</v>
      </c>
      <c r="AP187" s="60" t="n">
        <f aca="false">AN187*$C$9/($C$10*$C$8)</f>
        <v>0.0918845243259994</v>
      </c>
      <c r="AQ187" s="60" t="n">
        <f aca="false">CHOOSE($C$7,-(1+AP187),-1,-(1-AP187))</f>
        <v>-0.908115475674001</v>
      </c>
      <c r="AR187" s="60" t="n">
        <f aca="false">CHOOSE($C$7,AO187,AO187-AP187-AP187^2,AO187-3*AP187^2-2*AP187)</f>
        <v>0.00867174802160559</v>
      </c>
      <c r="AS187" s="60" t="n">
        <f aca="false">CHOOSE($C$7,-AO187*AP187,-AO187*AP187,-(AO187*AP187-AP187^2-AP187^3))</f>
        <v>-0.0107910842936637</v>
      </c>
      <c r="AT187" s="60" t="n">
        <f aca="false">AR187-AQ187^2/3</f>
        <v>-0.266219491031267</v>
      </c>
      <c r="AU187" s="60" t="n">
        <f aca="false">2*AQ187^3/27-AQ187*AR187/3+AS187</f>
        <v>-0.0636400988362784</v>
      </c>
      <c r="AV187" s="60" t="n">
        <f aca="false">AU187^2/4+AT187^3/27</f>
        <v>0.000313710901361829</v>
      </c>
      <c r="AW187" s="60" t="n">
        <f aca="false">-AU187/2-IF(AU187&gt;=0,1,-1)*SQRT(MAX(AV187,0))</f>
        <v>0.0495319352963236</v>
      </c>
      <c r="AX187" s="60" t="n">
        <f aca="false">SIGN(AW187)*ABS(AW187)^(1/3)</f>
        <v>0.367249967174439</v>
      </c>
      <c r="AY187" s="60" t="n">
        <f aca="false">IF(AX187=0,0,AX187-AT187/(3*AX187))</f>
        <v>0.60888329127384</v>
      </c>
      <c r="AZ187" s="60" t="n">
        <f aca="false">2*SQRT(MAX(-AT187,0)/3)</f>
        <v>0.595784626668918</v>
      </c>
      <c r="BA187" s="60" t="n">
        <f aca="false">ACOS(IF(AZ187=0,0,MAX(-1,MIN(1,3*AU187/(AT187*AZ187)))))</f>
        <v>0</v>
      </c>
      <c r="BB187" s="60" t="n">
        <f aca="false">AZ187*COS(BA187/3)</f>
        <v>0.595784626668918</v>
      </c>
      <c r="BC187" s="60" t="n">
        <f aca="false">IF(AV187&lt;0,BB187,AY187)-AQ187/3</f>
        <v>0.91158844983184</v>
      </c>
      <c r="BD187" s="60" t="n">
        <f aca="false">IFERROR((((BC187+AQ187)*BC187+AR187)*BC187+AS187)/((3*BC187+2*AQ187)*BC187+AR187),0)</f>
        <v>0</v>
      </c>
      <c r="BE187" s="60" t="n">
        <f aca="false">IF(ABS(BD187)&lt;0.1*ABS(BC187),BC187-BD187,BC187)</f>
        <v>0.91158844983184</v>
      </c>
      <c r="BF187" s="60" t="n">
        <f aca="false">IFERROR((((BE187+AQ187)*BE187+AR187)*BE187+AS187)/((3*BE187+2*AQ187)*BE187+AR187),0)</f>
        <v>0</v>
      </c>
      <c r="BG187" s="60" t="n">
        <f aca="false">IF(ABS(BF187)&lt;0.1*ABS(BE187),BE187-BF187,BE187)</f>
        <v>0.91158844983184</v>
      </c>
      <c r="BH187" s="60" t="n">
        <f aca="false">-AS187/BG187</f>
        <v>0.0118376711504565</v>
      </c>
      <c r="BI187" s="60" t="n">
        <f aca="false">(AR187-BH187)/BG187</f>
        <v>-0.00347297415783941</v>
      </c>
      <c r="BJ187" s="60" t="n">
        <f aca="false">BI187^2-4*BH187</f>
        <v>-0.0473386230523248</v>
      </c>
      <c r="BK187" s="60" t="n">
        <f aca="false">IF(BJ187&gt;=0,(BI187+IF(BI187&gt;=0,1,-1)*SQRT(BJ187))/2,0)</f>
        <v>0</v>
      </c>
      <c r="BL187" s="60" t="n">
        <f aca="false">IF(AND(BJ187&gt;=0,BK187&lt;&gt;0),MIN(BK187,BH187/BK187),-1)</f>
        <v>-1</v>
      </c>
      <c r="BM187" s="60" t="n">
        <f aca="false">AND(BJ187&gt;=0,BL187&gt;AP187,ABS(BG187-BL187)&gt;=0.00005*MAX(BG187,BL187))</f>
        <v>0</v>
      </c>
      <c r="BN187" s="60" t="n">
        <f aca="false">IF(BM187,IFERROR((((BL187+AQ187)*BL187+AR187)*BL187+AS187)/((3*BL187+2*AQ187)*BL187+AR187),0),0)</f>
        <v>0</v>
      </c>
      <c r="BO187" s="60" t="n">
        <f aca="false">IF(ABS(BN187)&lt;0.1*ABS(BL187),BL187-BN187,BL187)</f>
        <v>-1</v>
      </c>
      <c r="BP187" s="60" t="n">
        <f aca="false">IF(BM187,IFERROR((((BO187+AQ187)*BO187+AR187)*BO187+AS187)/((3*BO187+2*AQ187)*BO187+AR187),0),0)</f>
        <v>0</v>
      </c>
      <c r="BQ187" s="60" t="n">
        <f aca="false">IF(ABS(BP187)&lt;0.1*ABS(BO187),BO187-BP187,BO187)</f>
        <v>-1</v>
      </c>
      <c r="BR187" s="60" t="n">
        <f aca="false">IF(BM187,MAX(BG187,BQ187),BG187)</f>
        <v>0.91158844983184</v>
      </c>
      <c r="BS187" s="60" t="n">
        <f aca="false">IF(BM187,MIN(BG187,BQ187),-1)</f>
        <v>-1</v>
      </c>
      <c r="BT187" s="60" t="n">
        <f aca="false">CHOOSE($C$7,AO187/BR187,AO187/AP187*LN(1+AP187/BR187),AO187/(2*SQRT(2)*AP187)*LN((BR187+(1+SQRT(2))*AP187)/(BR187+(1-SQRT(2))*AP187)))</f>
        <v>0.218240791233887</v>
      </c>
      <c r="BU187" s="60" t="n">
        <f aca="false">BR187-1-LN(BR187-AP187)-BT187</f>
        <v>-0.107840271021729</v>
      </c>
      <c r="BV187" s="60" t="n">
        <f aca="false">IF(BM187,CHOOSE($C$7,AO187/BS187,AO187/AP187*LN(1+AP187/BS187),AO187/(2*SQRT(2)*AP187)*LN((BS187+(1+SQRT(2))*AP187)/(BS187+(1-SQRT(2))*AP187))),0)</f>
        <v>0</v>
      </c>
      <c r="BW187" s="60" t="n">
        <f aca="false">IF(BM187,BS187-1-LN(BS187-AP187)-BV187,0)</f>
        <v>0</v>
      </c>
      <c r="BX187" s="60" t="n">
        <f aca="false">AND(BM187,BW187&lt;BU187)</f>
        <v>0</v>
      </c>
      <c r="BY187" s="60" t="n">
        <f aca="false">IF(BX187,BS187,BR187)</f>
        <v>0.91158844983184</v>
      </c>
      <c r="BZ187" s="60" t="n">
        <f aca="false">IF(BX187,BV187,BT187)</f>
        <v>0.218240791233887</v>
      </c>
      <c r="CA187" s="60" t="n">
        <f aca="false">LN(BY187-AP187)</f>
        <v>-0.198812070380318</v>
      </c>
      <c r="CB187" s="60" t="n">
        <f aca="false">$E$27/AN187*(BY187-1)-CA187-BZ187*(2*AA187/AM187-$E$27/AN187)</f>
        <v>-0.107840271021729</v>
      </c>
      <c r="CC187" s="60" t="n">
        <f aca="false">$F$27/AN187*(BY187-1)-CA187-BZ187*(2*AB187/AM187-$F$27/AN187)</f>
        <v>0.198812070380318</v>
      </c>
      <c r="CD187" s="60" t="n">
        <f aca="false">$G$27/AN187*(BY187-1)-CA187-BZ187*(2*AC187/AM187-$G$27/AN187)</f>
        <v>0.198812070380318</v>
      </c>
      <c r="CE187" s="60" t="n">
        <f aca="false">$H$27/AN187*(BY187-1)-CA187-BZ187*(2*AD187/AM187-$H$27/AN187)</f>
        <v>0.198812070380318</v>
      </c>
      <c r="CF187" s="60" t="n">
        <f aca="false">$I$27/AN187*(BY187-1)-CA187-BZ187*(2*AE187/AM187-$I$27/AN187)</f>
        <v>0.198812070380318</v>
      </c>
      <c r="CG187" s="60" t="n">
        <f aca="false">$J$27/AN187*(BY187-1)-CA187-BZ187*(2*AF187/AM187-$J$27/AN187)</f>
        <v>0.198812070380318</v>
      </c>
      <c r="CH187" s="60" t="n">
        <f aca="false">$K$27/AN187*(BY187-1)-CA187-BZ187*(2*AG187/AM187-$K$27/AN187)</f>
        <v>0.198812070380318</v>
      </c>
      <c r="CI187" s="60" t="n">
        <f aca="false">$L$27/AN187*(BY187-1)-CA187-BZ187*(2*AH187/AM187-$L$27/AN187)</f>
        <v>0.198812070380318</v>
      </c>
      <c r="CJ187" s="60" t="n">
        <f aca="false">$M$27/AN187*(BY187-1)-CA187-BZ187*(2*AI187/AM187-$M$27/AN187)</f>
        <v>0.198812070380318</v>
      </c>
      <c r="CK187" s="60" t="n">
        <f aca="false">$N$27/AN187*(BY187-1)-CA187-BZ187*(2*AJ187/AM187-$N$27/AN187)</f>
        <v>0.198812070380318</v>
      </c>
      <c r="CL187" s="60" t="n">
        <f aca="false">$O$27/AN187*(BY187-1)-CA187-BZ187*(2*AK187/AM187-$O$27/AN187)</f>
        <v>0.198812070380318</v>
      </c>
      <c r="CM187" s="60" t="n">
        <f aca="false">$P$27/AN187*(BY187-1)-CA187-BZ187*(2*AL187/AM187-$P$27/AN187)</f>
        <v>0.198812070380318</v>
      </c>
      <c r="CN187" s="60" t="n">
        <f aca="false">AP187/BY187&gt;$C$22</f>
        <v>0</v>
      </c>
      <c r="CO187" s="60" t="n">
        <f aca="false">1-N187+SUMPRODUCT(B187:M187,CB187:CM187)-SUMPRODUCT(B187:M187,CB186:CM186)</f>
        <v>0</v>
      </c>
      <c r="CP187" s="60" t="n">
        <f aca="false">SUMXMY2(O187:Z187,$E$13:$P$13)</f>
        <v>0</v>
      </c>
    </row>
    <row r="188" customFormat="false" ht="15" hidden="false" customHeight="false" outlineLevel="0" collapsed="false">
      <c r="A188" s="59" t="n">
        <v>23</v>
      </c>
      <c r="B188" s="60" t="n">
        <f aca="false">$E$13*EXP(MAX(-700,MIN(700,$E$86-CB187)))</f>
        <v>1</v>
      </c>
      <c r="C188" s="60" t="n">
        <f aca="false">$F$13*EXP(MAX(-700,MIN(700,$F$86-CC187)))</f>
        <v>0</v>
      </c>
      <c r="D188" s="60" t="n">
        <f aca="false">$G$13*EXP(MAX(-700,MIN(700,$G$86-CD187)))</f>
        <v>0</v>
      </c>
      <c r="E188" s="60" t="n">
        <f aca="false">$H$13*EXP(MAX(-700,MIN(700,$H$86-CE187)))</f>
        <v>0</v>
      </c>
      <c r="F188" s="60" t="n">
        <f aca="false">$I$13*EXP(MAX(-700,MIN(700,$I$86-CF187)))</f>
        <v>0</v>
      </c>
      <c r="G188" s="60" t="n">
        <f aca="false">$J$13*EXP(MAX(-700,MIN(700,$J$86-CG187)))</f>
        <v>0</v>
      </c>
      <c r="H188" s="60" t="n">
        <f aca="false">$K$13*EXP(MAX(-700,MIN(700,$K$86-CH187)))</f>
        <v>0</v>
      </c>
      <c r="I188" s="60" t="n">
        <f aca="false">$L$13*EXP(MAX(-700,MIN(700,$L$86-CI187)))</f>
        <v>0</v>
      </c>
      <c r="J188" s="60" t="n">
        <f aca="false">$M$13*EXP(MAX(-700,MIN(700,$M$86-CJ187)))</f>
        <v>0</v>
      </c>
      <c r="K188" s="60" t="n">
        <f aca="false">$N$13*EXP(MAX(-700,MIN(700,$N$86-CK187)))</f>
        <v>0</v>
      </c>
      <c r="L188" s="60" t="n">
        <f aca="false">$O$13*EXP(MAX(-700,MIN(700,$O$86-CL187)))</f>
        <v>0</v>
      </c>
      <c r="M188" s="60" t="n">
        <f aca="false">$P$13*EXP(MAX(-700,MIN(700,$P$86-CM187)))</f>
        <v>0</v>
      </c>
      <c r="N188" s="60" t="n">
        <f aca="false">SUM(B188:M188)</f>
        <v>1</v>
      </c>
      <c r="O188" s="60" t="n">
        <f aca="false">B188/N188</f>
        <v>1</v>
      </c>
      <c r="P188" s="60" t="n">
        <f aca="false">C188/N188</f>
        <v>0</v>
      </c>
      <c r="Q188" s="60" t="n">
        <f aca="false">D188/N188</f>
        <v>0</v>
      </c>
      <c r="R188" s="60" t="n">
        <f aca="false">E188/N188</f>
        <v>0</v>
      </c>
      <c r="S188" s="60" t="n">
        <f aca="false">F188/N188</f>
        <v>0</v>
      </c>
      <c r="T188" s="60" t="n">
        <f aca="false">G188/N188</f>
        <v>0</v>
      </c>
      <c r="U188" s="60" t="n">
        <f aca="false">H188/N188</f>
        <v>0</v>
      </c>
      <c r="V188" s="60" t="n">
        <f aca="false">I188/N188</f>
        <v>0</v>
      </c>
      <c r="W188" s="60" t="n">
        <f aca="false">J188/N188</f>
        <v>0</v>
      </c>
      <c r="X188" s="60" t="n">
        <f aca="false">K188/N188</f>
        <v>0</v>
      </c>
      <c r="Y188" s="60" t="n">
        <f aca="false">L188/N188</f>
        <v>0</v>
      </c>
      <c r="Z188" s="60" t="n">
        <f aca="false">M188/N188</f>
        <v>0</v>
      </c>
      <c r="AA188" s="60" t="n">
        <f aca="false">$E$28*SUMPRODUCT($E$31:$P$31,O188:Z188,$E$28:$P$28)</f>
        <v>0.184416866619846</v>
      </c>
      <c r="AB188" s="60" t="n">
        <f aca="false">$F$28*SUMPRODUCT($E$32:$P$32,O188:Z188,$E$28:$P$28)</f>
        <v>0</v>
      </c>
      <c r="AC188" s="60" t="n">
        <f aca="false">$G$28*SUMPRODUCT($E$33:$P$33,O188:Z188,$E$28:$P$28)</f>
        <v>0</v>
      </c>
      <c r="AD188" s="60" t="n">
        <f aca="false">$H$28*SUMPRODUCT($E$34:$P$34,O188:Z188,$E$28:$P$28)</f>
        <v>0</v>
      </c>
      <c r="AE188" s="60" t="n">
        <f aca="false">$I$28*SUMPRODUCT($E$35:$P$35,O188:Z188,$E$28:$P$28)</f>
        <v>0</v>
      </c>
      <c r="AF188" s="60" t="n">
        <f aca="false">$J$28*SUMPRODUCT($E$36:$P$36,O188:Z188,$E$28:$P$28)</f>
        <v>0</v>
      </c>
      <c r="AG188" s="60" t="n">
        <f aca="false">$K$28*SUMPRODUCT($E$37:$P$37,O188:Z188,$E$28:$P$28)</f>
        <v>0</v>
      </c>
      <c r="AH188" s="60" t="n">
        <f aca="false">$L$28*SUMPRODUCT($E$38:$P$38,O188:Z188,$E$28:$P$28)</f>
        <v>0</v>
      </c>
      <c r="AI188" s="60" t="n">
        <f aca="false">$M$28*SUMPRODUCT($E$39:$P$39,O188:Z188,$E$28:$P$28)</f>
        <v>0</v>
      </c>
      <c r="AJ188" s="60" t="n">
        <f aca="false">$N$28*SUMPRODUCT($E$40:$P$40,O188:Z188,$E$28:$P$28)</f>
        <v>0</v>
      </c>
      <c r="AK188" s="60" t="n">
        <f aca="false">$O$28*SUMPRODUCT($E$41:$P$41,O188:Z188,$E$28:$P$28)</f>
        <v>0</v>
      </c>
      <c r="AL188" s="60" t="n">
        <f aca="false">$P$28*SUMPRODUCT($E$42:$P$42,O188:Z188,$E$28:$P$28)</f>
        <v>0</v>
      </c>
      <c r="AM188" s="60" t="n">
        <f aca="false">SUMPRODUCT(O188:Z188,AA188:AL188)</f>
        <v>0.184416866619846</v>
      </c>
      <c r="AN188" s="60" t="n">
        <f aca="false">SUMPRODUCT(O188:Z188,$E$27:$P$27)</f>
        <v>2.67389635063809E-005</v>
      </c>
      <c r="AO188" s="60" t="n">
        <f aca="false">AM188*$C$9/($C$10*$C$8)^2</f>
        <v>0.21776909410545</v>
      </c>
      <c r="AP188" s="60" t="n">
        <f aca="false">AN188*$C$9/($C$10*$C$8)</f>
        <v>0.0918845243259994</v>
      </c>
      <c r="AQ188" s="60" t="n">
        <f aca="false">CHOOSE($C$7,-(1+AP188),-1,-(1-AP188))</f>
        <v>-0.908115475674001</v>
      </c>
      <c r="AR188" s="60" t="n">
        <f aca="false">CHOOSE($C$7,AO188,AO188-AP188-AP188^2,AO188-3*AP188^2-2*AP188)</f>
        <v>0.00867174802160559</v>
      </c>
      <c r="AS188" s="60" t="n">
        <f aca="false">CHOOSE($C$7,-AO188*AP188,-AO188*AP188,-(AO188*AP188-AP188^2-AP188^3))</f>
        <v>-0.0107910842936637</v>
      </c>
      <c r="AT188" s="60" t="n">
        <f aca="false">AR188-AQ188^2/3</f>
        <v>-0.266219491031267</v>
      </c>
      <c r="AU188" s="60" t="n">
        <f aca="false">2*AQ188^3/27-AQ188*AR188/3+AS188</f>
        <v>-0.0636400988362784</v>
      </c>
      <c r="AV188" s="60" t="n">
        <f aca="false">AU188^2/4+AT188^3/27</f>
        <v>0.000313710901361829</v>
      </c>
      <c r="AW188" s="60" t="n">
        <f aca="false">-AU188/2-IF(AU188&gt;=0,1,-1)*SQRT(MAX(AV188,0))</f>
        <v>0.0495319352963236</v>
      </c>
      <c r="AX188" s="60" t="n">
        <f aca="false">SIGN(AW188)*ABS(AW188)^(1/3)</f>
        <v>0.367249967174439</v>
      </c>
      <c r="AY188" s="60" t="n">
        <f aca="false">IF(AX188=0,0,AX188-AT188/(3*AX188))</f>
        <v>0.60888329127384</v>
      </c>
      <c r="AZ188" s="60" t="n">
        <f aca="false">2*SQRT(MAX(-AT188,0)/3)</f>
        <v>0.595784626668918</v>
      </c>
      <c r="BA188" s="60" t="n">
        <f aca="false">ACOS(IF(AZ188=0,0,MAX(-1,MIN(1,3*AU188/(AT188*AZ188)))))</f>
        <v>0</v>
      </c>
      <c r="BB188" s="60" t="n">
        <f aca="false">AZ188*COS(BA188/3)</f>
        <v>0.595784626668918</v>
      </c>
      <c r="BC188" s="60" t="n">
        <f aca="false">IF(AV188&lt;0,BB188,AY188)-AQ188/3</f>
        <v>0.91158844983184</v>
      </c>
      <c r="BD188" s="60" t="n">
        <f aca="false">IFERROR((((BC188+AQ188)*BC188+AR188)*BC188+AS188)/((3*BC188+2*AQ188)*BC188+AR188),0)</f>
        <v>0</v>
      </c>
      <c r="BE188" s="60" t="n">
        <f aca="false">IF(ABS(BD188)&lt;0.1*ABS(BC188),BC188-BD188,BC188)</f>
        <v>0.91158844983184</v>
      </c>
      <c r="BF188" s="60" t="n">
        <f aca="false">IFERROR((((BE188+AQ188)*BE188+AR188)*BE188+AS188)/((3*BE188+2*AQ188)*BE188+AR188),0)</f>
        <v>0</v>
      </c>
      <c r="BG188" s="60" t="n">
        <f aca="false">IF(ABS(BF188)&lt;0.1*ABS(BE188),BE188-BF188,BE188)</f>
        <v>0.91158844983184</v>
      </c>
      <c r="BH188" s="60" t="n">
        <f aca="false">-AS188/BG188</f>
        <v>0.0118376711504565</v>
      </c>
      <c r="BI188" s="60" t="n">
        <f aca="false">(AR188-BH188)/BG188</f>
        <v>-0.00347297415783941</v>
      </c>
      <c r="BJ188" s="60" t="n">
        <f aca="false">BI188^2-4*BH188</f>
        <v>-0.0473386230523248</v>
      </c>
      <c r="BK188" s="60" t="n">
        <f aca="false">IF(BJ188&gt;=0,(BI188+IF(BI188&gt;=0,1,-1)*SQRT(BJ188))/2,0)</f>
        <v>0</v>
      </c>
      <c r="BL188" s="60" t="n">
        <f aca="false">IF(AND(BJ188&gt;=0,BK188&lt;&gt;0),MIN(BK188,BH188/BK188),-1)</f>
        <v>-1</v>
      </c>
      <c r="BM188" s="60" t="n">
        <f aca="false">AND(BJ188&gt;=0,BL188&gt;AP188,ABS(BG188-BL188)&gt;=0.00005*MAX(BG188,BL188))</f>
        <v>0</v>
      </c>
      <c r="BN188" s="60" t="n">
        <f aca="false">IF(BM188,IFERROR((((BL188+AQ188)*BL188+AR188)*BL188+AS188)/((3*BL188+2*AQ188)*BL188+AR188),0),0)</f>
        <v>0</v>
      </c>
      <c r="BO188" s="60" t="n">
        <f aca="false">IF(ABS(BN188)&lt;0.1*ABS(BL188),BL188-BN188,BL188)</f>
        <v>-1</v>
      </c>
      <c r="BP188" s="60" t="n">
        <f aca="false">IF(BM188,IFERROR((((BO188+AQ188)*BO188+AR188)*BO188+AS188)/((3*BO188+2*AQ188)*BO188+AR188),0),0)</f>
        <v>0</v>
      </c>
      <c r="BQ188" s="60" t="n">
        <f aca="false">IF(ABS(BP188)&lt;0.1*ABS(BO188),BO188-BP188,BO188)</f>
        <v>-1</v>
      </c>
      <c r="BR188" s="60" t="n">
        <f aca="false">IF(BM188,MAX(BG188,BQ188),BG188)</f>
        <v>0.91158844983184</v>
      </c>
      <c r="BS188" s="60" t="n">
        <f aca="false">IF(BM188,MIN(BG188,BQ188),-1)</f>
        <v>-1</v>
      </c>
      <c r="BT188" s="60" t="n">
        <f aca="false">CHOOSE($C$7,AO188/BR188,AO188/AP188*LN(1+AP188/BR188),AO188/(2*SQRT(2)*AP188)*LN((BR188+(1+SQRT(2))*AP188)/(BR188+(1-SQRT(2))*AP188)))</f>
        <v>0.218240791233887</v>
      </c>
      <c r="BU188" s="60" t="n">
        <f aca="false">BR188-1-LN(BR188-AP188)-BT188</f>
        <v>-0.107840271021729</v>
      </c>
      <c r="BV188" s="60" t="n">
        <f aca="false">IF(BM188,CHOOSE($C$7,AO188/BS188,AO188/AP188*LN(1+AP188/BS188),AO188/(2*SQRT(2)*AP188)*LN((BS188+(1+SQRT(2))*AP188)/(BS188+(1-SQRT(2))*AP188))),0)</f>
        <v>0</v>
      </c>
      <c r="BW188" s="60" t="n">
        <f aca="false">IF(BM188,BS188-1-LN(BS188-AP188)-BV188,0)</f>
        <v>0</v>
      </c>
      <c r="BX188" s="60" t="n">
        <f aca="false">AND(BM188,BW188&lt;BU188)</f>
        <v>0</v>
      </c>
      <c r="BY188" s="60" t="n">
        <f aca="false">IF(BX188,BS188,BR188)</f>
        <v>0.91158844983184</v>
      </c>
      <c r="BZ188" s="60" t="n">
        <f aca="false">IF(BX188,BV188,BT188)</f>
        <v>0.218240791233887</v>
      </c>
      <c r="CA188" s="60" t="n">
        <f aca="false">LN(BY188-AP188)</f>
        <v>-0.198812070380318</v>
      </c>
      <c r="CB188" s="60" t="n">
        <f aca="false">$E$27/AN188*(BY188-1)-CA188-BZ188*(2*AA188/AM188-$E$27/AN188)</f>
        <v>-0.107840271021729</v>
      </c>
      <c r="CC188" s="60" t="n">
        <f aca="false">$F$27/AN188*(BY188-1)-CA188-BZ188*(2*AB188/AM188-$F$27/AN188)</f>
        <v>0.198812070380318</v>
      </c>
      <c r="CD188" s="60" t="n">
        <f aca="false">$G$27/AN188*(BY188-1)-CA188-BZ188*(2*AC188/AM188-$G$27/AN188)</f>
        <v>0.198812070380318</v>
      </c>
      <c r="CE188" s="60" t="n">
        <f aca="false">$H$27/AN188*(BY188-1)-CA188-BZ188*(2*AD188/AM188-$H$27/AN188)</f>
        <v>0.198812070380318</v>
      </c>
      <c r="CF188" s="60" t="n">
        <f aca="false">$I$27/AN188*(BY188-1)-CA188-BZ188*(2*AE188/AM188-$I$27/AN188)</f>
        <v>0.198812070380318</v>
      </c>
      <c r="CG188" s="60" t="n">
        <f aca="false">$J$27/AN188*(BY188-1)-CA188-BZ188*(2*AF188/AM188-$J$27/AN188)</f>
        <v>0.198812070380318</v>
      </c>
      <c r="CH188" s="60" t="n">
        <f aca="false">$K$27/AN188*(BY188-1)-CA188-BZ188*(2*AG188/AM188-$K$27/AN188)</f>
        <v>0.198812070380318</v>
      </c>
      <c r="CI188" s="60" t="n">
        <f aca="false">$L$27/AN188*(BY188-1)-CA188-BZ188*(2*AH188/AM188-$L$27/AN188)</f>
        <v>0.198812070380318</v>
      </c>
      <c r="CJ188" s="60" t="n">
        <f aca="false">$M$27/AN188*(BY188-1)-CA188-BZ188*(2*AI188/AM188-$M$27/AN188)</f>
        <v>0.198812070380318</v>
      </c>
      <c r="CK188" s="60" t="n">
        <f aca="false">$N$27/AN188*(BY188-1)-CA188-BZ188*(2*AJ188/AM188-$N$27/AN188)</f>
        <v>0.198812070380318</v>
      </c>
      <c r="CL188" s="60" t="n">
        <f aca="false">$O$27/AN188*(BY188-1)-CA188-BZ188*(2*AK188/AM188-$O$27/AN188)</f>
        <v>0.198812070380318</v>
      </c>
      <c r="CM188" s="60" t="n">
        <f aca="false">$P$27/AN188*(BY188-1)-CA188-BZ188*(2*AL188/AM188-$P$27/AN188)</f>
        <v>0.198812070380318</v>
      </c>
      <c r="CN188" s="60" t="n">
        <f aca="false">AP188/BY188&gt;$C$22</f>
        <v>0</v>
      </c>
      <c r="CO188" s="60" t="n">
        <f aca="false">1-N188+SUMPRODUCT(B188:M188,CB188:CM188)-SUMPRODUCT(B188:M188,CB187:CM187)</f>
        <v>0</v>
      </c>
      <c r="CP188" s="60" t="n">
        <f aca="false">SUMXMY2(O188:Z188,$E$13:$P$13)</f>
        <v>0</v>
      </c>
    </row>
    <row r="189" customFormat="false" ht="15" hidden="false" customHeight="false" outlineLevel="0" collapsed="false">
      <c r="A189" s="59" t="n">
        <v>24</v>
      </c>
      <c r="B189" s="60" t="n">
        <f aca="false">$E$13*EXP(MAX(-700,MIN(700,$E$86-CB188)))</f>
        <v>1</v>
      </c>
      <c r="C189" s="60" t="n">
        <f aca="false">$F$13*EXP(MAX(-700,MIN(700,$F$86-CC188)))</f>
        <v>0</v>
      </c>
      <c r="D189" s="60" t="n">
        <f aca="false">$G$13*EXP(MAX(-700,MIN(700,$G$86-CD188)))</f>
        <v>0</v>
      </c>
      <c r="E189" s="60" t="n">
        <f aca="false">$H$13*EXP(MAX(-700,MIN(700,$H$86-CE188)))</f>
        <v>0</v>
      </c>
      <c r="F189" s="60" t="n">
        <f aca="false">$I$13*EXP(MAX(-700,MIN(700,$I$86-CF188)))</f>
        <v>0</v>
      </c>
      <c r="G189" s="60" t="n">
        <f aca="false">$J$13*EXP(MAX(-700,MIN(700,$J$86-CG188)))</f>
        <v>0</v>
      </c>
      <c r="H189" s="60" t="n">
        <f aca="false">$K$13*EXP(MAX(-700,MIN(700,$K$86-CH188)))</f>
        <v>0</v>
      </c>
      <c r="I189" s="60" t="n">
        <f aca="false">$L$13*EXP(MAX(-700,MIN(700,$L$86-CI188)))</f>
        <v>0</v>
      </c>
      <c r="J189" s="60" t="n">
        <f aca="false">$M$13*EXP(MAX(-700,MIN(700,$M$86-CJ188)))</f>
        <v>0</v>
      </c>
      <c r="K189" s="60" t="n">
        <f aca="false">$N$13*EXP(MAX(-700,MIN(700,$N$86-CK188)))</f>
        <v>0</v>
      </c>
      <c r="L189" s="60" t="n">
        <f aca="false">$O$13*EXP(MAX(-700,MIN(700,$O$86-CL188)))</f>
        <v>0</v>
      </c>
      <c r="M189" s="60" t="n">
        <f aca="false">$P$13*EXP(MAX(-700,MIN(700,$P$86-CM188)))</f>
        <v>0</v>
      </c>
      <c r="N189" s="60" t="n">
        <f aca="false">SUM(B189:M189)</f>
        <v>1</v>
      </c>
      <c r="O189" s="60" t="n">
        <f aca="false">B189/N189</f>
        <v>1</v>
      </c>
      <c r="P189" s="60" t="n">
        <f aca="false">C189/N189</f>
        <v>0</v>
      </c>
      <c r="Q189" s="60" t="n">
        <f aca="false">D189/N189</f>
        <v>0</v>
      </c>
      <c r="R189" s="60" t="n">
        <f aca="false">E189/N189</f>
        <v>0</v>
      </c>
      <c r="S189" s="60" t="n">
        <f aca="false">F189/N189</f>
        <v>0</v>
      </c>
      <c r="T189" s="60" t="n">
        <f aca="false">G189/N189</f>
        <v>0</v>
      </c>
      <c r="U189" s="60" t="n">
        <f aca="false">H189/N189</f>
        <v>0</v>
      </c>
      <c r="V189" s="60" t="n">
        <f aca="false">I189/N189</f>
        <v>0</v>
      </c>
      <c r="W189" s="60" t="n">
        <f aca="false">J189/N189</f>
        <v>0</v>
      </c>
      <c r="X189" s="60" t="n">
        <f aca="false">K189/N189</f>
        <v>0</v>
      </c>
      <c r="Y189" s="60" t="n">
        <f aca="false">L189/N189</f>
        <v>0</v>
      </c>
      <c r="Z189" s="60" t="n">
        <f aca="false">M189/N189</f>
        <v>0</v>
      </c>
      <c r="AA189" s="60" t="n">
        <f aca="false">$E$28*SUMPRODUCT($E$31:$P$31,O189:Z189,$E$28:$P$28)</f>
        <v>0.184416866619846</v>
      </c>
      <c r="AB189" s="60" t="n">
        <f aca="false">$F$28*SUMPRODUCT($E$32:$P$32,O189:Z189,$E$28:$P$28)</f>
        <v>0</v>
      </c>
      <c r="AC189" s="60" t="n">
        <f aca="false">$G$28*SUMPRODUCT($E$33:$P$33,O189:Z189,$E$28:$P$28)</f>
        <v>0</v>
      </c>
      <c r="AD189" s="60" t="n">
        <f aca="false">$H$28*SUMPRODUCT($E$34:$P$34,O189:Z189,$E$28:$P$28)</f>
        <v>0</v>
      </c>
      <c r="AE189" s="60" t="n">
        <f aca="false">$I$28*SUMPRODUCT($E$35:$P$35,O189:Z189,$E$28:$P$28)</f>
        <v>0</v>
      </c>
      <c r="AF189" s="60" t="n">
        <f aca="false">$J$28*SUMPRODUCT($E$36:$P$36,O189:Z189,$E$28:$P$28)</f>
        <v>0</v>
      </c>
      <c r="AG189" s="60" t="n">
        <f aca="false">$K$28*SUMPRODUCT($E$37:$P$37,O189:Z189,$E$28:$P$28)</f>
        <v>0</v>
      </c>
      <c r="AH189" s="60" t="n">
        <f aca="false">$L$28*SUMPRODUCT($E$38:$P$38,O189:Z189,$E$28:$P$28)</f>
        <v>0</v>
      </c>
      <c r="AI189" s="60" t="n">
        <f aca="false">$M$28*SUMPRODUCT($E$39:$P$39,O189:Z189,$E$28:$P$28)</f>
        <v>0</v>
      </c>
      <c r="AJ189" s="60" t="n">
        <f aca="false">$N$28*SUMPRODUCT($E$40:$P$40,O189:Z189,$E$28:$P$28)</f>
        <v>0</v>
      </c>
      <c r="AK189" s="60" t="n">
        <f aca="false">$O$28*SUMPRODUCT($E$41:$P$41,O189:Z189,$E$28:$P$28)</f>
        <v>0</v>
      </c>
      <c r="AL189" s="60" t="n">
        <f aca="false">$P$28*SUMPRODUCT($E$42:$P$42,O189:Z189,$E$28:$P$28)</f>
        <v>0</v>
      </c>
      <c r="AM189" s="60" t="n">
        <f aca="false">SUMPRODUCT(O189:Z189,AA189:AL189)</f>
        <v>0.184416866619846</v>
      </c>
      <c r="AN189" s="60" t="n">
        <f aca="false">SUMPRODUCT(O189:Z189,$E$27:$P$27)</f>
        <v>2.67389635063809E-005</v>
      </c>
      <c r="AO189" s="60" t="n">
        <f aca="false">AM189*$C$9/($C$10*$C$8)^2</f>
        <v>0.21776909410545</v>
      </c>
      <c r="AP189" s="60" t="n">
        <f aca="false">AN189*$C$9/($C$10*$C$8)</f>
        <v>0.0918845243259994</v>
      </c>
      <c r="AQ189" s="60" t="n">
        <f aca="false">CHOOSE($C$7,-(1+AP189),-1,-(1-AP189))</f>
        <v>-0.908115475674001</v>
      </c>
      <c r="AR189" s="60" t="n">
        <f aca="false">CHOOSE($C$7,AO189,AO189-AP189-AP189^2,AO189-3*AP189^2-2*AP189)</f>
        <v>0.00867174802160559</v>
      </c>
      <c r="AS189" s="60" t="n">
        <f aca="false">CHOOSE($C$7,-AO189*AP189,-AO189*AP189,-(AO189*AP189-AP189^2-AP189^3))</f>
        <v>-0.0107910842936637</v>
      </c>
      <c r="AT189" s="60" t="n">
        <f aca="false">AR189-AQ189^2/3</f>
        <v>-0.266219491031267</v>
      </c>
      <c r="AU189" s="60" t="n">
        <f aca="false">2*AQ189^3/27-AQ189*AR189/3+AS189</f>
        <v>-0.0636400988362784</v>
      </c>
      <c r="AV189" s="60" t="n">
        <f aca="false">AU189^2/4+AT189^3/27</f>
        <v>0.000313710901361829</v>
      </c>
      <c r="AW189" s="60" t="n">
        <f aca="false">-AU189/2-IF(AU189&gt;=0,1,-1)*SQRT(MAX(AV189,0))</f>
        <v>0.0495319352963236</v>
      </c>
      <c r="AX189" s="60" t="n">
        <f aca="false">SIGN(AW189)*ABS(AW189)^(1/3)</f>
        <v>0.367249967174439</v>
      </c>
      <c r="AY189" s="60" t="n">
        <f aca="false">IF(AX189=0,0,AX189-AT189/(3*AX189))</f>
        <v>0.60888329127384</v>
      </c>
      <c r="AZ189" s="60" t="n">
        <f aca="false">2*SQRT(MAX(-AT189,0)/3)</f>
        <v>0.595784626668918</v>
      </c>
      <c r="BA189" s="60" t="n">
        <f aca="false">ACOS(IF(AZ189=0,0,MAX(-1,MIN(1,3*AU189/(AT189*AZ189)))))</f>
        <v>0</v>
      </c>
      <c r="BB189" s="60" t="n">
        <f aca="false">AZ189*COS(BA189/3)</f>
        <v>0.595784626668918</v>
      </c>
      <c r="BC189" s="60" t="n">
        <f aca="false">IF(AV189&lt;0,BB189,AY189)-AQ189/3</f>
        <v>0.91158844983184</v>
      </c>
      <c r="BD189" s="60" t="n">
        <f aca="false">IFERROR((((BC189+AQ189)*BC189+AR189)*BC189+AS189)/((3*BC189+2*AQ189)*BC189+AR189),0)</f>
        <v>0</v>
      </c>
      <c r="BE189" s="60" t="n">
        <f aca="false">IF(ABS(BD189)&lt;0.1*ABS(BC189),BC189-BD189,BC189)</f>
        <v>0.91158844983184</v>
      </c>
      <c r="BF189" s="60" t="n">
        <f aca="false">IFERROR((((BE189+AQ189)*BE189+AR189)*BE189+AS189)/((3*BE189+2*AQ189)*BE189+AR189),0)</f>
        <v>0</v>
      </c>
      <c r="BG189" s="60" t="n">
        <f aca="false">IF(ABS(BF189)&lt;0.1*ABS(BE189),BE189-BF189,BE189)</f>
        <v>0.91158844983184</v>
      </c>
      <c r="BH189" s="60" t="n">
        <f aca="false">-AS189/BG189</f>
        <v>0.0118376711504565</v>
      </c>
      <c r="BI189" s="60" t="n">
        <f aca="false">(AR189-BH189)/BG189</f>
        <v>-0.00347297415783941</v>
      </c>
      <c r="BJ189" s="60" t="n">
        <f aca="false">BI189^2-4*BH189</f>
        <v>-0.0473386230523248</v>
      </c>
      <c r="BK189" s="60" t="n">
        <f aca="false">IF(BJ189&gt;=0,(BI189+IF(BI189&gt;=0,1,-1)*SQRT(BJ189))/2,0)</f>
        <v>0</v>
      </c>
      <c r="BL189" s="60" t="n">
        <f aca="false">IF(AND(BJ189&gt;=0,BK189&lt;&gt;0),MIN(BK189,BH189/BK189),-1)</f>
        <v>-1</v>
      </c>
      <c r="BM189" s="60" t="n">
        <f aca="false">AND(BJ189&gt;=0,BL189&gt;AP189,ABS(BG189-BL189)&gt;=0.00005*MAX(BG189,BL189))</f>
        <v>0</v>
      </c>
      <c r="BN189" s="60" t="n">
        <f aca="false">IF(BM189,IFERROR((((BL189+AQ189)*BL189+AR189)*BL189+AS189)/((3*BL189+2*AQ189)*BL189+AR189),0),0)</f>
        <v>0</v>
      </c>
      <c r="BO189" s="60" t="n">
        <f aca="false">IF(ABS(BN189)&lt;0.1*ABS(BL189),BL189-BN189,BL189)</f>
        <v>-1</v>
      </c>
      <c r="BP189" s="60" t="n">
        <f aca="false">IF(BM189,IFERROR((((BO189+AQ189)*BO189+AR189)*BO189+AS189)/((3*BO189+2*AQ189)*BO189+AR189),0),0)</f>
        <v>0</v>
      </c>
      <c r="BQ189" s="60" t="n">
        <f aca="false">IF(ABS(BP189)&lt;0.1*ABS(BO189),BO189-BP189,BO189)</f>
        <v>-1</v>
      </c>
      <c r="BR189" s="60" t="n">
        <f aca="false">IF(BM189,MAX(BG189,BQ189),BG189)</f>
        <v>0.91158844983184</v>
      </c>
      <c r="BS189" s="60" t="n">
        <f aca="false">IF(BM189,MIN(BG189,BQ189),-1)</f>
        <v>-1</v>
      </c>
      <c r="BT189" s="60" t="n">
        <f aca="false">CHOOSE($C$7,AO189/BR189,AO189/AP189*LN(1+AP189/BR189),AO189/(2*SQRT(2)*AP189)*LN((BR189+(1+SQRT(2))*AP189)/(BR189+(1-SQRT(2))*AP189)))</f>
        <v>0.218240791233887</v>
      </c>
      <c r="BU189" s="60" t="n">
        <f aca="false">BR189-1-LN(BR189-AP189)-BT189</f>
        <v>-0.107840271021729</v>
      </c>
      <c r="BV189" s="60" t="n">
        <f aca="false">IF(BM189,CHOOSE($C$7,AO189/BS189,AO189/AP189*LN(1+AP189/BS189),AO189/(2*SQRT(2)*AP189)*LN((BS189+(1+SQRT(2))*AP189)/(BS189+(1-SQRT(2))*AP189))),0)</f>
        <v>0</v>
      </c>
      <c r="BW189" s="60" t="n">
        <f aca="false">IF(BM189,BS189-1-LN(BS189-AP189)-BV189,0)</f>
        <v>0</v>
      </c>
      <c r="BX189" s="60" t="n">
        <f aca="false">AND(BM189,BW189&lt;BU189)</f>
        <v>0</v>
      </c>
      <c r="BY189" s="60" t="n">
        <f aca="false">IF(BX189,BS189,BR189)</f>
        <v>0.91158844983184</v>
      </c>
      <c r="BZ189" s="60" t="n">
        <f aca="false">IF(BX189,BV189,BT189)</f>
        <v>0.218240791233887</v>
      </c>
      <c r="CA189" s="60" t="n">
        <f aca="false">LN(BY189-AP189)</f>
        <v>-0.198812070380318</v>
      </c>
      <c r="CB189" s="60" t="n">
        <f aca="false">$E$27/AN189*(BY189-1)-CA189-BZ189*(2*AA189/AM189-$E$27/AN189)</f>
        <v>-0.107840271021729</v>
      </c>
      <c r="CC189" s="60" t="n">
        <f aca="false">$F$27/AN189*(BY189-1)-CA189-BZ189*(2*AB189/AM189-$F$27/AN189)</f>
        <v>0.198812070380318</v>
      </c>
      <c r="CD189" s="60" t="n">
        <f aca="false">$G$27/AN189*(BY189-1)-CA189-BZ189*(2*AC189/AM189-$G$27/AN189)</f>
        <v>0.198812070380318</v>
      </c>
      <c r="CE189" s="60" t="n">
        <f aca="false">$H$27/AN189*(BY189-1)-CA189-BZ189*(2*AD189/AM189-$H$27/AN189)</f>
        <v>0.198812070380318</v>
      </c>
      <c r="CF189" s="60" t="n">
        <f aca="false">$I$27/AN189*(BY189-1)-CA189-BZ189*(2*AE189/AM189-$I$27/AN189)</f>
        <v>0.198812070380318</v>
      </c>
      <c r="CG189" s="60" t="n">
        <f aca="false">$J$27/AN189*(BY189-1)-CA189-BZ189*(2*AF189/AM189-$J$27/AN189)</f>
        <v>0.198812070380318</v>
      </c>
      <c r="CH189" s="60" t="n">
        <f aca="false">$K$27/AN189*(BY189-1)-CA189-BZ189*(2*AG189/AM189-$K$27/AN189)</f>
        <v>0.198812070380318</v>
      </c>
      <c r="CI189" s="60" t="n">
        <f aca="false">$L$27/AN189*(BY189-1)-CA189-BZ189*(2*AH189/AM189-$L$27/AN189)</f>
        <v>0.198812070380318</v>
      </c>
      <c r="CJ189" s="60" t="n">
        <f aca="false">$M$27/AN189*(BY189-1)-CA189-BZ189*(2*AI189/AM189-$M$27/AN189)</f>
        <v>0.198812070380318</v>
      </c>
      <c r="CK189" s="60" t="n">
        <f aca="false">$N$27/AN189*(BY189-1)-CA189-BZ189*(2*AJ189/AM189-$N$27/AN189)</f>
        <v>0.198812070380318</v>
      </c>
      <c r="CL189" s="60" t="n">
        <f aca="false">$O$27/AN189*(BY189-1)-CA189-BZ189*(2*AK189/AM189-$O$27/AN189)</f>
        <v>0.198812070380318</v>
      </c>
      <c r="CM189" s="60" t="n">
        <f aca="false">$P$27/AN189*(BY189-1)-CA189-BZ189*(2*AL189/AM189-$P$27/AN189)</f>
        <v>0.198812070380318</v>
      </c>
      <c r="CN189" s="60" t="n">
        <f aca="false">AP189/BY189&gt;$C$22</f>
        <v>0</v>
      </c>
      <c r="CO189" s="60" t="n">
        <f aca="false">1-N189+SUMPRODUCT(B189:M189,CB189:CM189)-SUMPRODUCT(B189:M189,CB188:CM188)</f>
        <v>0</v>
      </c>
      <c r="CP189" s="60" t="n">
        <f aca="false">SUMXMY2(O189:Z189,$E$13:$P$13)</f>
        <v>0</v>
      </c>
    </row>
    <row r="190" customFormat="false" ht="15" hidden="false" customHeight="false" outlineLevel="0" collapsed="false">
      <c r="A190" s="59" t="n">
        <v>25</v>
      </c>
      <c r="B190" s="60" t="n">
        <f aca="false">$E$13*EXP(MAX(-700,MIN(700,$E$86-CB189)))</f>
        <v>1</v>
      </c>
      <c r="C190" s="60" t="n">
        <f aca="false">$F$13*EXP(MAX(-700,MIN(700,$F$86-CC189)))</f>
        <v>0</v>
      </c>
      <c r="D190" s="60" t="n">
        <f aca="false">$G$13*EXP(MAX(-700,MIN(700,$G$86-CD189)))</f>
        <v>0</v>
      </c>
      <c r="E190" s="60" t="n">
        <f aca="false">$H$13*EXP(MAX(-700,MIN(700,$H$86-CE189)))</f>
        <v>0</v>
      </c>
      <c r="F190" s="60" t="n">
        <f aca="false">$I$13*EXP(MAX(-700,MIN(700,$I$86-CF189)))</f>
        <v>0</v>
      </c>
      <c r="G190" s="60" t="n">
        <f aca="false">$J$13*EXP(MAX(-700,MIN(700,$J$86-CG189)))</f>
        <v>0</v>
      </c>
      <c r="H190" s="60" t="n">
        <f aca="false">$K$13*EXP(MAX(-700,MIN(700,$K$86-CH189)))</f>
        <v>0</v>
      </c>
      <c r="I190" s="60" t="n">
        <f aca="false">$L$13*EXP(MAX(-700,MIN(700,$L$86-CI189)))</f>
        <v>0</v>
      </c>
      <c r="J190" s="60" t="n">
        <f aca="false">$M$13*EXP(MAX(-700,MIN(700,$M$86-CJ189)))</f>
        <v>0</v>
      </c>
      <c r="K190" s="60" t="n">
        <f aca="false">$N$13*EXP(MAX(-700,MIN(700,$N$86-CK189)))</f>
        <v>0</v>
      </c>
      <c r="L190" s="60" t="n">
        <f aca="false">$O$13*EXP(MAX(-700,MIN(700,$O$86-CL189)))</f>
        <v>0</v>
      </c>
      <c r="M190" s="60" t="n">
        <f aca="false">$P$13*EXP(MAX(-700,MIN(700,$P$86-CM189)))</f>
        <v>0</v>
      </c>
      <c r="N190" s="60" t="n">
        <f aca="false">SUM(B190:M190)</f>
        <v>1</v>
      </c>
      <c r="O190" s="60" t="n">
        <f aca="false">B190/N190</f>
        <v>1</v>
      </c>
      <c r="P190" s="60" t="n">
        <f aca="false">C190/N190</f>
        <v>0</v>
      </c>
      <c r="Q190" s="60" t="n">
        <f aca="false">D190/N190</f>
        <v>0</v>
      </c>
      <c r="R190" s="60" t="n">
        <f aca="false">E190/N190</f>
        <v>0</v>
      </c>
      <c r="S190" s="60" t="n">
        <f aca="false">F190/N190</f>
        <v>0</v>
      </c>
      <c r="T190" s="60" t="n">
        <f aca="false">G190/N190</f>
        <v>0</v>
      </c>
      <c r="U190" s="60" t="n">
        <f aca="false">H190/N190</f>
        <v>0</v>
      </c>
      <c r="V190" s="60" t="n">
        <f aca="false">I190/N190</f>
        <v>0</v>
      </c>
      <c r="W190" s="60" t="n">
        <f aca="false">J190/N190</f>
        <v>0</v>
      </c>
      <c r="X190" s="60" t="n">
        <f aca="false">K190/N190</f>
        <v>0</v>
      </c>
      <c r="Y190" s="60" t="n">
        <f aca="false">L190/N190</f>
        <v>0</v>
      </c>
      <c r="Z190" s="60" t="n">
        <f aca="false">M190/N190</f>
        <v>0</v>
      </c>
      <c r="AA190" s="60" t="n">
        <f aca="false">$E$28*SUMPRODUCT($E$31:$P$31,O190:Z190,$E$28:$P$28)</f>
        <v>0.184416866619846</v>
      </c>
      <c r="AB190" s="60" t="n">
        <f aca="false">$F$28*SUMPRODUCT($E$32:$P$32,O190:Z190,$E$28:$P$28)</f>
        <v>0</v>
      </c>
      <c r="AC190" s="60" t="n">
        <f aca="false">$G$28*SUMPRODUCT($E$33:$P$33,O190:Z190,$E$28:$P$28)</f>
        <v>0</v>
      </c>
      <c r="AD190" s="60" t="n">
        <f aca="false">$H$28*SUMPRODUCT($E$34:$P$34,O190:Z190,$E$28:$P$28)</f>
        <v>0</v>
      </c>
      <c r="AE190" s="60" t="n">
        <f aca="false">$I$28*SUMPRODUCT($E$35:$P$35,O190:Z190,$E$28:$P$28)</f>
        <v>0</v>
      </c>
      <c r="AF190" s="60" t="n">
        <f aca="false">$J$28*SUMPRODUCT($E$36:$P$36,O190:Z190,$E$28:$P$28)</f>
        <v>0</v>
      </c>
      <c r="AG190" s="60" t="n">
        <f aca="false">$K$28*SUMPRODUCT($E$37:$P$37,O190:Z190,$E$28:$P$28)</f>
        <v>0</v>
      </c>
      <c r="AH190" s="60" t="n">
        <f aca="false">$L$28*SUMPRODUCT($E$38:$P$38,O190:Z190,$E$28:$P$28)</f>
        <v>0</v>
      </c>
      <c r="AI190" s="60" t="n">
        <f aca="false">$M$28*SUMPRODUCT($E$39:$P$39,O190:Z190,$E$28:$P$28)</f>
        <v>0</v>
      </c>
      <c r="AJ190" s="60" t="n">
        <f aca="false">$N$28*SUMPRODUCT($E$40:$P$40,O190:Z190,$E$28:$P$28)</f>
        <v>0</v>
      </c>
      <c r="AK190" s="60" t="n">
        <f aca="false">$O$28*SUMPRODUCT($E$41:$P$41,O190:Z190,$E$28:$P$28)</f>
        <v>0</v>
      </c>
      <c r="AL190" s="60" t="n">
        <f aca="false">$P$28*SUMPRODUCT($E$42:$P$42,O190:Z190,$E$28:$P$28)</f>
        <v>0</v>
      </c>
      <c r="AM190" s="60" t="n">
        <f aca="false">SUMPRODUCT(O190:Z190,AA190:AL190)</f>
        <v>0.184416866619846</v>
      </c>
      <c r="AN190" s="60" t="n">
        <f aca="false">SUMPRODUCT(O190:Z190,$E$27:$P$27)</f>
        <v>2.67389635063809E-005</v>
      </c>
      <c r="AO190" s="60" t="n">
        <f aca="false">AM190*$C$9/($C$10*$C$8)^2</f>
        <v>0.21776909410545</v>
      </c>
      <c r="AP190" s="60" t="n">
        <f aca="false">AN190*$C$9/($C$10*$C$8)</f>
        <v>0.0918845243259994</v>
      </c>
      <c r="AQ190" s="60" t="n">
        <f aca="false">CHOOSE($C$7,-(1+AP190),-1,-(1-AP190))</f>
        <v>-0.908115475674001</v>
      </c>
      <c r="AR190" s="60" t="n">
        <f aca="false">CHOOSE($C$7,AO190,AO190-AP190-AP190^2,AO190-3*AP190^2-2*AP190)</f>
        <v>0.00867174802160559</v>
      </c>
      <c r="AS190" s="60" t="n">
        <f aca="false">CHOOSE($C$7,-AO190*AP190,-AO190*AP190,-(AO190*AP190-AP190^2-AP190^3))</f>
        <v>-0.0107910842936637</v>
      </c>
      <c r="AT190" s="60" t="n">
        <f aca="false">AR190-AQ190^2/3</f>
        <v>-0.266219491031267</v>
      </c>
      <c r="AU190" s="60" t="n">
        <f aca="false">2*AQ190^3/27-AQ190*AR190/3+AS190</f>
        <v>-0.0636400988362784</v>
      </c>
      <c r="AV190" s="60" t="n">
        <f aca="false">AU190^2/4+AT190^3/27</f>
        <v>0.000313710901361829</v>
      </c>
      <c r="AW190" s="60" t="n">
        <f aca="false">-AU190/2-IF(AU190&gt;=0,1,-1)*SQRT(MAX(AV190,0))</f>
        <v>0.0495319352963236</v>
      </c>
      <c r="AX190" s="60" t="n">
        <f aca="false">SIGN(AW190)*ABS(AW190)^(1/3)</f>
        <v>0.367249967174439</v>
      </c>
      <c r="AY190" s="60" t="n">
        <f aca="false">IF(AX190=0,0,AX190-AT190/(3*AX190))</f>
        <v>0.60888329127384</v>
      </c>
      <c r="AZ190" s="60" t="n">
        <f aca="false">2*SQRT(MAX(-AT190,0)/3)</f>
        <v>0.595784626668918</v>
      </c>
      <c r="BA190" s="60" t="n">
        <f aca="false">ACOS(IF(AZ190=0,0,MAX(-1,MIN(1,3*AU190/(AT190*AZ190)))))</f>
        <v>0</v>
      </c>
      <c r="BB190" s="60" t="n">
        <f aca="false">AZ190*COS(BA190/3)</f>
        <v>0.595784626668918</v>
      </c>
      <c r="BC190" s="60" t="n">
        <f aca="false">IF(AV190&lt;0,BB190,AY190)-AQ190/3</f>
        <v>0.91158844983184</v>
      </c>
      <c r="BD190" s="60" t="n">
        <f aca="false">IFERROR((((BC190+AQ190)*BC190+AR190)*BC190+AS190)/((3*BC190+2*AQ190)*BC190+AR190),0)</f>
        <v>0</v>
      </c>
      <c r="BE190" s="60" t="n">
        <f aca="false">IF(ABS(BD190)&lt;0.1*ABS(BC190),BC190-BD190,BC190)</f>
        <v>0.91158844983184</v>
      </c>
      <c r="BF190" s="60" t="n">
        <f aca="false">IFERROR((((BE190+AQ190)*BE190+AR190)*BE190+AS190)/((3*BE190+2*AQ190)*BE190+AR190),0)</f>
        <v>0</v>
      </c>
      <c r="BG190" s="60" t="n">
        <f aca="false">IF(ABS(BF190)&lt;0.1*ABS(BE190),BE190-BF190,BE190)</f>
        <v>0.91158844983184</v>
      </c>
      <c r="BH190" s="60" t="n">
        <f aca="false">-AS190/BG190</f>
        <v>0.0118376711504565</v>
      </c>
      <c r="BI190" s="60" t="n">
        <f aca="false">(AR190-BH190)/BG190</f>
        <v>-0.00347297415783941</v>
      </c>
      <c r="BJ190" s="60" t="n">
        <f aca="false">BI190^2-4*BH190</f>
        <v>-0.0473386230523248</v>
      </c>
      <c r="BK190" s="60" t="n">
        <f aca="false">IF(BJ190&gt;=0,(BI190+IF(BI190&gt;=0,1,-1)*SQRT(BJ190))/2,0)</f>
        <v>0</v>
      </c>
      <c r="BL190" s="60" t="n">
        <f aca="false">IF(AND(BJ190&gt;=0,BK190&lt;&gt;0),MIN(BK190,BH190/BK190),-1)</f>
        <v>-1</v>
      </c>
      <c r="BM190" s="60" t="n">
        <f aca="false">AND(BJ190&gt;=0,BL190&gt;AP190,ABS(BG190-BL190)&gt;=0.00005*MAX(BG190,BL190))</f>
        <v>0</v>
      </c>
      <c r="BN190" s="60" t="n">
        <f aca="false">IF(BM190,IFERROR((((BL190+AQ190)*BL190+AR190)*BL190+AS190)/((3*BL190+2*AQ190)*BL190+AR190),0),0)</f>
        <v>0</v>
      </c>
      <c r="BO190" s="60" t="n">
        <f aca="false">IF(ABS(BN190)&lt;0.1*ABS(BL190),BL190-BN190,BL190)</f>
        <v>-1</v>
      </c>
      <c r="BP190" s="60" t="n">
        <f aca="false">IF(BM190,IFERROR((((BO190+AQ190)*BO190+AR190)*BO190+AS190)/((3*BO190+2*AQ190)*BO190+AR190),0),0)</f>
        <v>0</v>
      </c>
      <c r="BQ190" s="60" t="n">
        <f aca="false">IF(ABS(BP190)&lt;0.1*ABS(BO190),BO190-BP190,BO190)</f>
        <v>-1</v>
      </c>
      <c r="BR190" s="60" t="n">
        <f aca="false">IF(BM190,MAX(BG190,BQ190),BG190)</f>
        <v>0.91158844983184</v>
      </c>
      <c r="BS190" s="60" t="n">
        <f aca="false">IF(BM190,MIN(BG190,BQ190),-1)</f>
        <v>-1</v>
      </c>
      <c r="BT190" s="60" t="n">
        <f aca="false">CHOOSE($C$7,AO190/BR190,AO190/AP190*LN(1+AP190/BR190),AO190/(2*SQRT(2)*AP190)*LN((BR190+(1+SQRT(2))*AP190)/(BR190+(1-SQRT(2))*AP190)))</f>
        <v>0.218240791233887</v>
      </c>
      <c r="BU190" s="60" t="n">
        <f aca="false">BR190-1-LN(BR190-AP190)-BT190</f>
        <v>-0.107840271021729</v>
      </c>
      <c r="BV190" s="60" t="n">
        <f aca="false">IF(BM190,CHOOSE($C$7,AO190/BS190,AO190/AP190*LN(1+AP190/BS190),AO190/(2*SQRT(2)*AP190)*LN((BS190+(1+SQRT(2))*AP190)/(BS190+(1-SQRT(2))*AP190))),0)</f>
        <v>0</v>
      </c>
      <c r="BW190" s="60" t="n">
        <f aca="false">IF(BM190,BS190-1-LN(BS190-AP190)-BV190,0)</f>
        <v>0</v>
      </c>
      <c r="BX190" s="60" t="n">
        <f aca="false">AND(BM190,BW190&lt;BU190)</f>
        <v>0</v>
      </c>
      <c r="BY190" s="60" t="n">
        <f aca="false">IF(BX190,BS190,BR190)</f>
        <v>0.91158844983184</v>
      </c>
      <c r="BZ190" s="60" t="n">
        <f aca="false">IF(BX190,BV190,BT190)</f>
        <v>0.218240791233887</v>
      </c>
      <c r="CA190" s="60" t="n">
        <f aca="false">LN(BY190-AP190)</f>
        <v>-0.198812070380318</v>
      </c>
      <c r="CB190" s="60" t="n">
        <f aca="false">$E$27/AN190*(BY190-1)-CA190-BZ190*(2*AA190/AM190-$E$27/AN190)</f>
        <v>-0.107840271021729</v>
      </c>
      <c r="CC190" s="60" t="n">
        <f aca="false">$F$27/AN190*(BY190-1)-CA190-BZ190*(2*AB190/AM190-$F$27/AN190)</f>
        <v>0.198812070380318</v>
      </c>
      <c r="CD190" s="60" t="n">
        <f aca="false">$G$27/AN190*(BY190-1)-CA190-BZ190*(2*AC190/AM190-$G$27/AN190)</f>
        <v>0.198812070380318</v>
      </c>
      <c r="CE190" s="60" t="n">
        <f aca="false">$H$27/AN190*(BY190-1)-CA190-BZ190*(2*AD190/AM190-$H$27/AN190)</f>
        <v>0.198812070380318</v>
      </c>
      <c r="CF190" s="60" t="n">
        <f aca="false">$I$27/AN190*(BY190-1)-CA190-BZ190*(2*AE190/AM190-$I$27/AN190)</f>
        <v>0.198812070380318</v>
      </c>
      <c r="CG190" s="60" t="n">
        <f aca="false">$J$27/AN190*(BY190-1)-CA190-BZ190*(2*AF190/AM190-$J$27/AN190)</f>
        <v>0.198812070380318</v>
      </c>
      <c r="CH190" s="60" t="n">
        <f aca="false">$K$27/AN190*(BY190-1)-CA190-BZ190*(2*AG190/AM190-$K$27/AN190)</f>
        <v>0.198812070380318</v>
      </c>
      <c r="CI190" s="60" t="n">
        <f aca="false">$L$27/AN190*(BY190-1)-CA190-BZ190*(2*AH190/AM190-$L$27/AN190)</f>
        <v>0.198812070380318</v>
      </c>
      <c r="CJ190" s="60" t="n">
        <f aca="false">$M$27/AN190*(BY190-1)-CA190-BZ190*(2*AI190/AM190-$M$27/AN190)</f>
        <v>0.198812070380318</v>
      </c>
      <c r="CK190" s="60" t="n">
        <f aca="false">$N$27/AN190*(BY190-1)-CA190-BZ190*(2*AJ190/AM190-$N$27/AN190)</f>
        <v>0.198812070380318</v>
      </c>
      <c r="CL190" s="60" t="n">
        <f aca="false">$O$27/AN190*(BY190-1)-CA190-BZ190*(2*AK190/AM190-$O$27/AN190)</f>
        <v>0.198812070380318</v>
      </c>
      <c r="CM190" s="60" t="n">
        <f aca="false">$P$27/AN190*(BY190-1)-CA190-BZ190*(2*AL190/AM190-$P$27/AN190)</f>
        <v>0.198812070380318</v>
      </c>
      <c r="CN190" s="60" t="n">
        <f aca="false">AP190/BY190&gt;$C$22</f>
        <v>0</v>
      </c>
      <c r="CO190" s="60" t="n">
        <f aca="false">1-N190+SUMPRODUCT(B190:M190,CB190:CM190)-SUMPRODUCT(B190:M190,CB189:CM189)</f>
        <v>0</v>
      </c>
      <c r="CP190" s="60" t="n">
        <f aca="false">SUMXMY2(O190:Z190,$E$13:$P$13)</f>
        <v>0</v>
      </c>
    </row>
    <row r="191" customFormat="false" ht="15" hidden="false" customHeight="false" outlineLevel="0" collapsed="false">
      <c r="A191" s="59" t="n">
        <v>26</v>
      </c>
      <c r="B191" s="60" t="n">
        <f aca="false">$E$13*EXP(MAX(-700,MIN(700,$E$86-CB190)))</f>
        <v>1</v>
      </c>
      <c r="C191" s="60" t="n">
        <f aca="false">$F$13*EXP(MAX(-700,MIN(700,$F$86-CC190)))</f>
        <v>0</v>
      </c>
      <c r="D191" s="60" t="n">
        <f aca="false">$G$13*EXP(MAX(-700,MIN(700,$G$86-CD190)))</f>
        <v>0</v>
      </c>
      <c r="E191" s="60" t="n">
        <f aca="false">$H$13*EXP(MAX(-700,MIN(700,$H$86-CE190)))</f>
        <v>0</v>
      </c>
      <c r="F191" s="60" t="n">
        <f aca="false">$I$13*EXP(MAX(-700,MIN(700,$I$86-CF190)))</f>
        <v>0</v>
      </c>
      <c r="G191" s="60" t="n">
        <f aca="false">$J$13*EXP(MAX(-700,MIN(700,$J$86-CG190)))</f>
        <v>0</v>
      </c>
      <c r="H191" s="60" t="n">
        <f aca="false">$K$13*EXP(MAX(-700,MIN(700,$K$86-CH190)))</f>
        <v>0</v>
      </c>
      <c r="I191" s="60" t="n">
        <f aca="false">$L$13*EXP(MAX(-700,MIN(700,$L$86-CI190)))</f>
        <v>0</v>
      </c>
      <c r="J191" s="60" t="n">
        <f aca="false">$M$13*EXP(MAX(-700,MIN(700,$M$86-CJ190)))</f>
        <v>0</v>
      </c>
      <c r="K191" s="60" t="n">
        <f aca="false">$N$13*EXP(MAX(-700,MIN(700,$N$86-CK190)))</f>
        <v>0</v>
      </c>
      <c r="L191" s="60" t="n">
        <f aca="false">$O$13*EXP(MAX(-700,MIN(700,$O$86-CL190)))</f>
        <v>0</v>
      </c>
      <c r="M191" s="60" t="n">
        <f aca="false">$P$13*EXP(MAX(-700,MIN(700,$P$86-CM190)))</f>
        <v>0</v>
      </c>
      <c r="N191" s="60" t="n">
        <f aca="false">SUM(B191:M191)</f>
        <v>1</v>
      </c>
      <c r="O191" s="60" t="n">
        <f aca="false">B191/N191</f>
        <v>1</v>
      </c>
      <c r="P191" s="60" t="n">
        <f aca="false">C191/N191</f>
        <v>0</v>
      </c>
      <c r="Q191" s="60" t="n">
        <f aca="false">D191/N191</f>
        <v>0</v>
      </c>
      <c r="R191" s="60" t="n">
        <f aca="false">E191/N191</f>
        <v>0</v>
      </c>
      <c r="S191" s="60" t="n">
        <f aca="false">F191/N191</f>
        <v>0</v>
      </c>
      <c r="T191" s="60" t="n">
        <f aca="false">G191/N191</f>
        <v>0</v>
      </c>
      <c r="U191" s="60" t="n">
        <f aca="false">H191/N191</f>
        <v>0</v>
      </c>
      <c r="V191" s="60" t="n">
        <f aca="false">I191/N191</f>
        <v>0</v>
      </c>
      <c r="W191" s="60" t="n">
        <f aca="false">J191/N191</f>
        <v>0</v>
      </c>
      <c r="X191" s="60" t="n">
        <f aca="false">K191/N191</f>
        <v>0</v>
      </c>
      <c r="Y191" s="60" t="n">
        <f aca="false">L191/N191</f>
        <v>0</v>
      </c>
      <c r="Z191" s="60" t="n">
        <f aca="false">M191/N191</f>
        <v>0</v>
      </c>
      <c r="AA191" s="60" t="n">
        <f aca="false">$E$28*SUMPRODUCT($E$31:$P$31,O191:Z191,$E$28:$P$28)</f>
        <v>0.184416866619846</v>
      </c>
      <c r="AB191" s="60" t="n">
        <f aca="false">$F$28*SUMPRODUCT($E$32:$P$32,O191:Z191,$E$28:$P$28)</f>
        <v>0</v>
      </c>
      <c r="AC191" s="60" t="n">
        <f aca="false">$G$28*SUMPRODUCT($E$33:$P$33,O191:Z191,$E$28:$P$28)</f>
        <v>0</v>
      </c>
      <c r="AD191" s="60" t="n">
        <f aca="false">$H$28*SUMPRODUCT($E$34:$P$34,O191:Z191,$E$28:$P$28)</f>
        <v>0</v>
      </c>
      <c r="AE191" s="60" t="n">
        <f aca="false">$I$28*SUMPRODUCT($E$35:$P$35,O191:Z191,$E$28:$P$28)</f>
        <v>0</v>
      </c>
      <c r="AF191" s="60" t="n">
        <f aca="false">$J$28*SUMPRODUCT($E$36:$P$36,O191:Z191,$E$28:$P$28)</f>
        <v>0</v>
      </c>
      <c r="AG191" s="60" t="n">
        <f aca="false">$K$28*SUMPRODUCT($E$37:$P$37,O191:Z191,$E$28:$P$28)</f>
        <v>0</v>
      </c>
      <c r="AH191" s="60" t="n">
        <f aca="false">$L$28*SUMPRODUCT($E$38:$P$38,O191:Z191,$E$28:$P$28)</f>
        <v>0</v>
      </c>
      <c r="AI191" s="60" t="n">
        <f aca="false">$M$28*SUMPRODUCT($E$39:$P$39,O191:Z191,$E$28:$P$28)</f>
        <v>0</v>
      </c>
      <c r="AJ191" s="60" t="n">
        <f aca="false">$N$28*SUMPRODUCT($E$40:$P$40,O191:Z191,$E$28:$P$28)</f>
        <v>0</v>
      </c>
      <c r="AK191" s="60" t="n">
        <f aca="false">$O$28*SUMPRODUCT($E$41:$P$41,O191:Z191,$E$28:$P$28)</f>
        <v>0</v>
      </c>
      <c r="AL191" s="60" t="n">
        <f aca="false">$P$28*SUMPRODUCT($E$42:$P$42,O191:Z191,$E$28:$P$28)</f>
        <v>0</v>
      </c>
      <c r="AM191" s="60" t="n">
        <f aca="false">SUMPRODUCT(O191:Z191,AA191:AL191)</f>
        <v>0.184416866619846</v>
      </c>
      <c r="AN191" s="60" t="n">
        <f aca="false">SUMPRODUCT(O191:Z191,$E$27:$P$27)</f>
        <v>2.67389635063809E-005</v>
      </c>
      <c r="AO191" s="60" t="n">
        <f aca="false">AM191*$C$9/($C$10*$C$8)^2</f>
        <v>0.21776909410545</v>
      </c>
      <c r="AP191" s="60" t="n">
        <f aca="false">AN191*$C$9/($C$10*$C$8)</f>
        <v>0.0918845243259994</v>
      </c>
      <c r="AQ191" s="60" t="n">
        <f aca="false">CHOOSE($C$7,-(1+AP191),-1,-(1-AP191))</f>
        <v>-0.908115475674001</v>
      </c>
      <c r="AR191" s="60" t="n">
        <f aca="false">CHOOSE($C$7,AO191,AO191-AP191-AP191^2,AO191-3*AP191^2-2*AP191)</f>
        <v>0.00867174802160559</v>
      </c>
      <c r="AS191" s="60" t="n">
        <f aca="false">CHOOSE($C$7,-AO191*AP191,-AO191*AP191,-(AO191*AP191-AP191^2-AP191^3))</f>
        <v>-0.0107910842936637</v>
      </c>
      <c r="AT191" s="60" t="n">
        <f aca="false">AR191-AQ191^2/3</f>
        <v>-0.266219491031267</v>
      </c>
      <c r="AU191" s="60" t="n">
        <f aca="false">2*AQ191^3/27-AQ191*AR191/3+AS191</f>
        <v>-0.0636400988362784</v>
      </c>
      <c r="AV191" s="60" t="n">
        <f aca="false">AU191^2/4+AT191^3/27</f>
        <v>0.000313710901361829</v>
      </c>
      <c r="AW191" s="60" t="n">
        <f aca="false">-AU191/2-IF(AU191&gt;=0,1,-1)*SQRT(MAX(AV191,0))</f>
        <v>0.0495319352963236</v>
      </c>
      <c r="AX191" s="60" t="n">
        <f aca="false">SIGN(AW191)*ABS(AW191)^(1/3)</f>
        <v>0.367249967174439</v>
      </c>
      <c r="AY191" s="60" t="n">
        <f aca="false">IF(AX191=0,0,AX191-AT191/(3*AX191))</f>
        <v>0.60888329127384</v>
      </c>
      <c r="AZ191" s="60" t="n">
        <f aca="false">2*SQRT(MAX(-AT191,0)/3)</f>
        <v>0.595784626668918</v>
      </c>
      <c r="BA191" s="60" t="n">
        <f aca="false">ACOS(IF(AZ191=0,0,MAX(-1,MIN(1,3*AU191/(AT191*AZ191)))))</f>
        <v>0</v>
      </c>
      <c r="BB191" s="60" t="n">
        <f aca="false">AZ191*COS(BA191/3)</f>
        <v>0.595784626668918</v>
      </c>
      <c r="BC191" s="60" t="n">
        <f aca="false">IF(AV191&lt;0,BB191,AY191)-AQ191/3</f>
        <v>0.91158844983184</v>
      </c>
      <c r="BD191" s="60" t="n">
        <f aca="false">IFERROR((((BC191+AQ191)*BC191+AR191)*BC191+AS191)/((3*BC191+2*AQ191)*BC191+AR191),0)</f>
        <v>0</v>
      </c>
      <c r="BE191" s="60" t="n">
        <f aca="false">IF(ABS(BD191)&lt;0.1*ABS(BC191),BC191-BD191,BC191)</f>
        <v>0.91158844983184</v>
      </c>
      <c r="BF191" s="60" t="n">
        <f aca="false">IFERROR((((BE191+AQ191)*BE191+AR191)*BE191+AS191)/((3*BE191+2*AQ191)*BE191+AR191),0)</f>
        <v>0</v>
      </c>
      <c r="BG191" s="60" t="n">
        <f aca="false">IF(ABS(BF191)&lt;0.1*ABS(BE191),BE191-BF191,BE191)</f>
        <v>0.91158844983184</v>
      </c>
      <c r="BH191" s="60" t="n">
        <f aca="false">-AS191/BG191</f>
        <v>0.0118376711504565</v>
      </c>
      <c r="BI191" s="60" t="n">
        <f aca="false">(AR191-BH191)/BG191</f>
        <v>-0.00347297415783941</v>
      </c>
      <c r="BJ191" s="60" t="n">
        <f aca="false">BI191^2-4*BH191</f>
        <v>-0.0473386230523248</v>
      </c>
      <c r="BK191" s="60" t="n">
        <f aca="false">IF(BJ191&gt;=0,(BI191+IF(BI191&gt;=0,1,-1)*SQRT(BJ191))/2,0)</f>
        <v>0</v>
      </c>
      <c r="BL191" s="60" t="n">
        <f aca="false">IF(AND(BJ191&gt;=0,BK191&lt;&gt;0),MIN(BK191,BH191/BK191),-1)</f>
        <v>-1</v>
      </c>
      <c r="BM191" s="60" t="n">
        <f aca="false">AND(BJ191&gt;=0,BL191&gt;AP191,ABS(BG191-BL191)&gt;=0.00005*MAX(BG191,BL191))</f>
        <v>0</v>
      </c>
      <c r="BN191" s="60" t="n">
        <f aca="false">IF(BM191,IFERROR((((BL191+AQ191)*BL191+AR191)*BL191+AS191)/((3*BL191+2*AQ191)*BL191+AR191),0),0)</f>
        <v>0</v>
      </c>
      <c r="BO191" s="60" t="n">
        <f aca="false">IF(ABS(BN191)&lt;0.1*ABS(BL191),BL191-BN191,BL191)</f>
        <v>-1</v>
      </c>
      <c r="BP191" s="60" t="n">
        <f aca="false">IF(BM191,IFERROR((((BO191+AQ191)*BO191+AR191)*BO191+AS191)/((3*BO191+2*AQ191)*BO191+AR191),0),0)</f>
        <v>0</v>
      </c>
      <c r="BQ191" s="60" t="n">
        <f aca="false">IF(ABS(BP191)&lt;0.1*ABS(BO191),BO191-BP191,BO191)</f>
        <v>-1</v>
      </c>
      <c r="BR191" s="60" t="n">
        <f aca="false">IF(BM191,MAX(BG191,BQ191),BG191)</f>
        <v>0.91158844983184</v>
      </c>
      <c r="BS191" s="60" t="n">
        <f aca="false">IF(BM191,MIN(BG191,BQ191),-1)</f>
        <v>-1</v>
      </c>
      <c r="BT191" s="60" t="n">
        <f aca="false">CHOOSE($C$7,AO191/BR191,AO191/AP191*LN(1+AP191/BR191),AO191/(2*SQRT(2)*AP191)*LN((BR191+(1+SQRT(2))*AP191)/(BR191+(1-SQRT(2))*AP191)))</f>
        <v>0.218240791233887</v>
      </c>
      <c r="BU191" s="60" t="n">
        <f aca="false">BR191-1-LN(BR191-AP191)-BT191</f>
        <v>-0.107840271021729</v>
      </c>
      <c r="BV191" s="60" t="n">
        <f aca="false">IF(BM191,CHOOSE($C$7,AO191/BS191,AO191/AP191*LN(1+AP191/BS191),AO191/(2*SQRT(2)*AP191)*LN((BS191+(1+SQRT(2))*AP191)/(BS191+(1-SQRT(2))*AP191))),0)</f>
        <v>0</v>
      </c>
      <c r="BW191" s="60" t="n">
        <f aca="false">IF(BM191,BS191-1-LN(BS191-AP191)-BV191,0)</f>
        <v>0</v>
      </c>
      <c r="BX191" s="60" t="n">
        <f aca="false">AND(BM191,BW191&lt;BU191)</f>
        <v>0</v>
      </c>
      <c r="BY191" s="60" t="n">
        <f aca="false">IF(BX191,BS191,BR191)</f>
        <v>0.91158844983184</v>
      </c>
      <c r="BZ191" s="60" t="n">
        <f aca="false">IF(BX191,BV191,BT191)</f>
        <v>0.218240791233887</v>
      </c>
      <c r="CA191" s="60" t="n">
        <f aca="false">LN(BY191-AP191)</f>
        <v>-0.198812070380318</v>
      </c>
      <c r="CB191" s="60" t="n">
        <f aca="false">$E$27/AN191*(BY191-1)-CA191-BZ191*(2*AA191/AM191-$E$27/AN191)</f>
        <v>-0.107840271021729</v>
      </c>
      <c r="CC191" s="60" t="n">
        <f aca="false">$F$27/AN191*(BY191-1)-CA191-BZ191*(2*AB191/AM191-$F$27/AN191)</f>
        <v>0.198812070380318</v>
      </c>
      <c r="CD191" s="60" t="n">
        <f aca="false">$G$27/AN191*(BY191-1)-CA191-BZ191*(2*AC191/AM191-$G$27/AN191)</f>
        <v>0.198812070380318</v>
      </c>
      <c r="CE191" s="60" t="n">
        <f aca="false">$H$27/AN191*(BY191-1)-CA191-BZ191*(2*AD191/AM191-$H$27/AN191)</f>
        <v>0.198812070380318</v>
      </c>
      <c r="CF191" s="60" t="n">
        <f aca="false">$I$27/AN191*(BY191-1)-CA191-BZ191*(2*AE191/AM191-$I$27/AN191)</f>
        <v>0.198812070380318</v>
      </c>
      <c r="CG191" s="60" t="n">
        <f aca="false">$J$27/AN191*(BY191-1)-CA191-BZ191*(2*AF191/AM191-$J$27/AN191)</f>
        <v>0.198812070380318</v>
      </c>
      <c r="CH191" s="60" t="n">
        <f aca="false">$K$27/AN191*(BY191-1)-CA191-BZ191*(2*AG191/AM191-$K$27/AN191)</f>
        <v>0.198812070380318</v>
      </c>
      <c r="CI191" s="60" t="n">
        <f aca="false">$L$27/AN191*(BY191-1)-CA191-BZ191*(2*AH191/AM191-$L$27/AN191)</f>
        <v>0.198812070380318</v>
      </c>
      <c r="CJ191" s="60" t="n">
        <f aca="false">$M$27/AN191*(BY191-1)-CA191-BZ191*(2*AI191/AM191-$M$27/AN191)</f>
        <v>0.198812070380318</v>
      </c>
      <c r="CK191" s="60" t="n">
        <f aca="false">$N$27/AN191*(BY191-1)-CA191-BZ191*(2*AJ191/AM191-$N$27/AN191)</f>
        <v>0.198812070380318</v>
      </c>
      <c r="CL191" s="60" t="n">
        <f aca="false">$O$27/AN191*(BY191-1)-CA191-BZ191*(2*AK191/AM191-$O$27/AN191)</f>
        <v>0.198812070380318</v>
      </c>
      <c r="CM191" s="60" t="n">
        <f aca="false">$P$27/AN191*(BY191-1)-CA191-BZ191*(2*AL191/AM191-$P$27/AN191)</f>
        <v>0.198812070380318</v>
      </c>
      <c r="CN191" s="60" t="n">
        <f aca="false">AP191/BY191&gt;$C$22</f>
        <v>0</v>
      </c>
      <c r="CO191" s="60" t="n">
        <f aca="false">1-N191+SUMPRODUCT(B191:M191,CB191:CM191)-SUMPRODUCT(B191:M191,CB190:CM190)</f>
        <v>0</v>
      </c>
      <c r="CP191" s="60" t="n">
        <f aca="false">SUMXMY2(O191:Z191,$E$13:$P$13)</f>
        <v>0</v>
      </c>
    </row>
    <row r="192" customFormat="false" ht="15" hidden="false" customHeight="false" outlineLevel="0" collapsed="false">
      <c r="A192" s="59" t="n">
        <v>27</v>
      </c>
      <c r="B192" s="60" t="n">
        <f aca="false">$E$13*EXP(MAX(-700,MIN(700,$E$86-CB191)))</f>
        <v>1</v>
      </c>
      <c r="C192" s="60" t="n">
        <f aca="false">$F$13*EXP(MAX(-700,MIN(700,$F$86-CC191)))</f>
        <v>0</v>
      </c>
      <c r="D192" s="60" t="n">
        <f aca="false">$G$13*EXP(MAX(-700,MIN(700,$G$86-CD191)))</f>
        <v>0</v>
      </c>
      <c r="E192" s="60" t="n">
        <f aca="false">$H$13*EXP(MAX(-700,MIN(700,$H$86-CE191)))</f>
        <v>0</v>
      </c>
      <c r="F192" s="60" t="n">
        <f aca="false">$I$13*EXP(MAX(-700,MIN(700,$I$86-CF191)))</f>
        <v>0</v>
      </c>
      <c r="G192" s="60" t="n">
        <f aca="false">$J$13*EXP(MAX(-700,MIN(700,$J$86-CG191)))</f>
        <v>0</v>
      </c>
      <c r="H192" s="60" t="n">
        <f aca="false">$K$13*EXP(MAX(-700,MIN(700,$K$86-CH191)))</f>
        <v>0</v>
      </c>
      <c r="I192" s="60" t="n">
        <f aca="false">$L$13*EXP(MAX(-700,MIN(700,$L$86-CI191)))</f>
        <v>0</v>
      </c>
      <c r="J192" s="60" t="n">
        <f aca="false">$M$13*EXP(MAX(-700,MIN(700,$M$86-CJ191)))</f>
        <v>0</v>
      </c>
      <c r="K192" s="60" t="n">
        <f aca="false">$N$13*EXP(MAX(-700,MIN(700,$N$86-CK191)))</f>
        <v>0</v>
      </c>
      <c r="L192" s="60" t="n">
        <f aca="false">$O$13*EXP(MAX(-700,MIN(700,$O$86-CL191)))</f>
        <v>0</v>
      </c>
      <c r="M192" s="60" t="n">
        <f aca="false">$P$13*EXP(MAX(-700,MIN(700,$P$86-CM191)))</f>
        <v>0</v>
      </c>
      <c r="N192" s="60" t="n">
        <f aca="false">SUM(B192:M192)</f>
        <v>1</v>
      </c>
      <c r="O192" s="60" t="n">
        <f aca="false">B192/N192</f>
        <v>1</v>
      </c>
      <c r="P192" s="60" t="n">
        <f aca="false">C192/N192</f>
        <v>0</v>
      </c>
      <c r="Q192" s="60" t="n">
        <f aca="false">D192/N192</f>
        <v>0</v>
      </c>
      <c r="R192" s="60" t="n">
        <f aca="false">E192/N192</f>
        <v>0</v>
      </c>
      <c r="S192" s="60" t="n">
        <f aca="false">F192/N192</f>
        <v>0</v>
      </c>
      <c r="T192" s="60" t="n">
        <f aca="false">G192/N192</f>
        <v>0</v>
      </c>
      <c r="U192" s="60" t="n">
        <f aca="false">H192/N192</f>
        <v>0</v>
      </c>
      <c r="V192" s="60" t="n">
        <f aca="false">I192/N192</f>
        <v>0</v>
      </c>
      <c r="W192" s="60" t="n">
        <f aca="false">J192/N192</f>
        <v>0</v>
      </c>
      <c r="X192" s="60" t="n">
        <f aca="false">K192/N192</f>
        <v>0</v>
      </c>
      <c r="Y192" s="60" t="n">
        <f aca="false">L192/N192</f>
        <v>0</v>
      </c>
      <c r="Z192" s="60" t="n">
        <f aca="false">M192/N192</f>
        <v>0</v>
      </c>
      <c r="AA192" s="60" t="n">
        <f aca="false">$E$28*SUMPRODUCT($E$31:$P$31,O192:Z192,$E$28:$P$28)</f>
        <v>0.184416866619846</v>
      </c>
      <c r="AB192" s="60" t="n">
        <f aca="false">$F$28*SUMPRODUCT($E$32:$P$32,O192:Z192,$E$28:$P$28)</f>
        <v>0</v>
      </c>
      <c r="AC192" s="60" t="n">
        <f aca="false">$G$28*SUMPRODUCT($E$33:$P$33,O192:Z192,$E$28:$P$28)</f>
        <v>0</v>
      </c>
      <c r="AD192" s="60" t="n">
        <f aca="false">$H$28*SUMPRODUCT($E$34:$P$34,O192:Z192,$E$28:$P$28)</f>
        <v>0</v>
      </c>
      <c r="AE192" s="60" t="n">
        <f aca="false">$I$28*SUMPRODUCT($E$35:$P$35,O192:Z192,$E$28:$P$28)</f>
        <v>0</v>
      </c>
      <c r="AF192" s="60" t="n">
        <f aca="false">$J$28*SUMPRODUCT($E$36:$P$36,O192:Z192,$E$28:$P$28)</f>
        <v>0</v>
      </c>
      <c r="AG192" s="60" t="n">
        <f aca="false">$K$28*SUMPRODUCT($E$37:$P$37,O192:Z192,$E$28:$P$28)</f>
        <v>0</v>
      </c>
      <c r="AH192" s="60" t="n">
        <f aca="false">$L$28*SUMPRODUCT($E$38:$P$38,O192:Z192,$E$28:$P$28)</f>
        <v>0</v>
      </c>
      <c r="AI192" s="60" t="n">
        <f aca="false">$M$28*SUMPRODUCT($E$39:$P$39,O192:Z192,$E$28:$P$28)</f>
        <v>0</v>
      </c>
      <c r="AJ192" s="60" t="n">
        <f aca="false">$N$28*SUMPRODUCT($E$40:$P$40,O192:Z192,$E$28:$P$28)</f>
        <v>0</v>
      </c>
      <c r="AK192" s="60" t="n">
        <f aca="false">$O$28*SUMPRODUCT($E$41:$P$41,O192:Z192,$E$28:$P$28)</f>
        <v>0</v>
      </c>
      <c r="AL192" s="60" t="n">
        <f aca="false">$P$28*SUMPRODUCT($E$42:$P$42,O192:Z192,$E$28:$P$28)</f>
        <v>0</v>
      </c>
      <c r="AM192" s="60" t="n">
        <f aca="false">SUMPRODUCT(O192:Z192,AA192:AL192)</f>
        <v>0.184416866619846</v>
      </c>
      <c r="AN192" s="60" t="n">
        <f aca="false">SUMPRODUCT(O192:Z192,$E$27:$P$27)</f>
        <v>2.67389635063809E-005</v>
      </c>
      <c r="AO192" s="60" t="n">
        <f aca="false">AM192*$C$9/($C$10*$C$8)^2</f>
        <v>0.21776909410545</v>
      </c>
      <c r="AP192" s="60" t="n">
        <f aca="false">AN192*$C$9/($C$10*$C$8)</f>
        <v>0.0918845243259994</v>
      </c>
      <c r="AQ192" s="60" t="n">
        <f aca="false">CHOOSE($C$7,-(1+AP192),-1,-(1-AP192))</f>
        <v>-0.908115475674001</v>
      </c>
      <c r="AR192" s="60" t="n">
        <f aca="false">CHOOSE($C$7,AO192,AO192-AP192-AP192^2,AO192-3*AP192^2-2*AP192)</f>
        <v>0.00867174802160559</v>
      </c>
      <c r="AS192" s="60" t="n">
        <f aca="false">CHOOSE($C$7,-AO192*AP192,-AO192*AP192,-(AO192*AP192-AP192^2-AP192^3))</f>
        <v>-0.0107910842936637</v>
      </c>
      <c r="AT192" s="60" t="n">
        <f aca="false">AR192-AQ192^2/3</f>
        <v>-0.266219491031267</v>
      </c>
      <c r="AU192" s="60" t="n">
        <f aca="false">2*AQ192^3/27-AQ192*AR192/3+AS192</f>
        <v>-0.0636400988362784</v>
      </c>
      <c r="AV192" s="60" t="n">
        <f aca="false">AU192^2/4+AT192^3/27</f>
        <v>0.000313710901361829</v>
      </c>
      <c r="AW192" s="60" t="n">
        <f aca="false">-AU192/2-IF(AU192&gt;=0,1,-1)*SQRT(MAX(AV192,0))</f>
        <v>0.0495319352963236</v>
      </c>
      <c r="AX192" s="60" t="n">
        <f aca="false">SIGN(AW192)*ABS(AW192)^(1/3)</f>
        <v>0.367249967174439</v>
      </c>
      <c r="AY192" s="60" t="n">
        <f aca="false">IF(AX192=0,0,AX192-AT192/(3*AX192))</f>
        <v>0.60888329127384</v>
      </c>
      <c r="AZ192" s="60" t="n">
        <f aca="false">2*SQRT(MAX(-AT192,0)/3)</f>
        <v>0.595784626668918</v>
      </c>
      <c r="BA192" s="60" t="n">
        <f aca="false">ACOS(IF(AZ192=0,0,MAX(-1,MIN(1,3*AU192/(AT192*AZ192)))))</f>
        <v>0</v>
      </c>
      <c r="BB192" s="60" t="n">
        <f aca="false">AZ192*COS(BA192/3)</f>
        <v>0.595784626668918</v>
      </c>
      <c r="BC192" s="60" t="n">
        <f aca="false">IF(AV192&lt;0,BB192,AY192)-AQ192/3</f>
        <v>0.91158844983184</v>
      </c>
      <c r="BD192" s="60" t="n">
        <f aca="false">IFERROR((((BC192+AQ192)*BC192+AR192)*BC192+AS192)/((3*BC192+2*AQ192)*BC192+AR192),0)</f>
        <v>0</v>
      </c>
      <c r="BE192" s="60" t="n">
        <f aca="false">IF(ABS(BD192)&lt;0.1*ABS(BC192),BC192-BD192,BC192)</f>
        <v>0.91158844983184</v>
      </c>
      <c r="BF192" s="60" t="n">
        <f aca="false">IFERROR((((BE192+AQ192)*BE192+AR192)*BE192+AS192)/((3*BE192+2*AQ192)*BE192+AR192),0)</f>
        <v>0</v>
      </c>
      <c r="BG192" s="60" t="n">
        <f aca="false">IF(ABS(BF192)&lt;0.1*ABS(BE192),BE192-BF192,BE192)</f>
        <v>0.91158844983184</v>
      </c>
      <c r="BH192" s="60" t="n">
        <f aca="false">-AS192/BG192</f>
        <v>0.0118376711504565</v>
      </c>
      <c r="BI192" s="60" t="n">
        <f aca="false">(AR192-BH192)/BG192</f>
        <v>-0.00347297415783941</v>
      </c>
      <c r="BJ192" s="60" t="n">
        <f aca="false">BI192^2-4*BH192</f>
        <v>-0.0473386230523248</v>
      </c>
      <c r="BK192" s="60" t="n">
        <f aca="false">IF(BJ192&gt;=0,(BI192+IF(BI192&gt;=0,1,-1)*SQRT(BJ192))/2,0)</f>
        <v>0</v>
      </c>
      <c r="BL192" s="60" t="n">
        <f aca="false">IF(AND(BJ192&gt;=0,BK192&lt;&gt;0),MIN(BK192,BH192/BK192),-1)</f>
        <v>-1</v>
      </c>
      <c r="BM192" s="60" t="n">
        <f aca="false">AND(BJ192&gt;=0,BL192&gt;AP192,ABS(BG192-BL192)&gt;=0.00005*MAX(BG192,BL192))</f>
        <v>0</v>
      </c>
      <c r="BN192" s="60" t="n">
        <f aca="false">IF(BM192,IFERROR((((BL192+AQ192)*BL192+AR192)*BL192+AS192)/((3*BL192+2*AQ192)*BL192+AR192),0),0)</f>
        <v>0</v>
      </c>
      <c r="BO192" s="60" t="n">
        <f aca="false">IF(ABS(BN192)&lt;0.1*ABS(BL192),BL192-BN192,BL192)</f>
        <v>-1</v>
      </c>
      <c r="BP192" s="60" t="n">
        <f aca="false">IF(BM192,IFERROR((((BO192+AQ192)*BO192+AR192)*BO192+AS192)/((3*BO192+2*AQ192)*BO192+AR192),0),0)</f>
        <v>0</v>
      </c>
      <c r="BQ192" s="60" t="n">
        <f aca="false">IF(ABS(BP192)&lt;0.1*ABS(BO192),BO192-BP192,BO192)</f>
        <v>-1</v>
      </c>
      <c r="BR192" s="60" t="n">
        <f aca="false">IF(BM192,MAX(BG192,BQ192),BG192)</f>
        <v>0.91158844983184</v>
      </c>
      <c r="BS192" s="60" t="n">
        <f aca="false">IF(BM192,MIN(BG192,BQ192),-1)</f>
        <v>-1</v>
      </c>
      <c r="BT192" s="60" t="n">
        <f aca="false">CHOOSE($C$7,AO192/BR192,AO192/AP192*LN(1+AP192/BR192),AO192/(2*SQRT(2)*AP192)*LN((BR192+(1+SQRT(2))*AP192)/(BR192+(1-SQRT(2))*AP192)))</f>
        <v>0.218240791233887</v>
      </c>
      <c r="BU192" s="60" t="n">
        <f aca="false">BR192-1-LN(BR192-AP192)-BT192</f>
        <v>-0.107840271021729</v>
      </c>
      <c r="BV192" s="60" t="n">
        <f aca="false">IF(BM192,CHOOSE($C$7,AO192/BS192,AO192/AP192*LN(1+AP192/BS192),AO192/(2*SQRT(2)*AP192)*LN((BS192+(1+SQRT(2))*AP192)/(BS192+(1-SQRT(2))*AP192))),0)</f>
        <v>0</v>
      </c>
      <c r="BW192" s="60" t="n">
        <f aca="false">IF(BM192,BS192-1-LN(BS192-AP192)-BV192,0)</f>
        <v>0</v>
      </c>
      <c r="BX192" s="60" t="n">
        <f aca="false">AND(BM192,BW192&lt;BU192)</f>
        <v>0</v>
      </c>
      <c r="BY192" s="60" t="n">
        <f aca="false">IF(BX192,BS192,BR192)</f>
        <v>0.91158844983184</v>
      </c>
      <c r="BZ192" s="60" t="n">
        <f aca="false">IF(BX192,BV192,BT192)</f>
        <v>0.218240791233887</v>
      </c>
      <c r="CA192" s="60" t="n">
        <f aca="false">LN(BY192-AP192)</f>
        <v>-0.198812070380318</v>
      </c>
      <c r="CB192" s="60" t="n">
        <f aca="false">$E$27/AN192*(BY192-1)-CA192-BZ192*(2*AA192/AM192-$E$27/AN192)</f>
        <v>-0.107840271021729</v>
      </c>
      <c r="CC192" s="60" t="n">
        <f aca="false">$F$27/AN192*(BY192-1)-CA192-BZ192*(2*AB192/AM192-$F$27/AN192)</f>
        <v>0.198812070380318</v>
      </c>
      <c r="CD192" s="60" t="n">
        <f aca="false">$G$27/AN192*(BY192-1)-CA192-BZ192*(2*AC192/AM192-$G$27/AN192)</f>
        <v>0.198812070380318</v>
      </c>
      <c r="CE192" s="60" t="n">
        <f aca="false">$H$27/AN192*(BY192-1)-CA192-BZ192*(2*AD192/AM192-$H$27/AN192)</f>
        <v>0.198812070380318</v>
      </c>
      <c r="CF192" s="60" t="n">
        <f aca="false">$I$27/AN192*(BY192-1)-CA192-BZ192*(2*AE192/AM192-$I$27/AN192)</f>
        <v>0.198812070380318</v>
      </c>
      <c r="CG192" s="60" t="n">
        <f aca="false">$J$27/AN192*(BY192-1)-CA192-BZ192*(2*AF192/AM192-$J$27/AN192)</f>
        <v>0.198812070380318</v>
      </c>
      <c r="CH192" s="60" t="n">
        <f aca="false">$K$27/AN192*(BY192-1)-CA192-BZ192*(2*AG192/AM192-$K$27/AN192)</f>
        <v>0.198812070380318</v>
      </c>
      <c r="CI192" s="60" t="n">
        <f aca="false">$L$27/AN192*(BY192-1)-CA192-BZ192*(2*AH192/AM192-$L$27/AN192)</f>
        <v>0.198812070380318</v>
      </c>
      <c r="CJ192" s="60" t="n">
        <f aca="false">$M$27/AN192*(BY192-1)-CA192-BZ192*(2*AI192/AM192-$M$27/AN192)</f>
        <v>0.198812070380318</v>
      </c>
      <c r="CK192" s="60" t="n">
        <f aca="false">$N$27/AN192*(BY192-1)-CA192-BZ192*(2*AJ192/AM192-$N$27/AN192)</f>
        <v>0.198812070380318</v>
      </c>
      <c r="CL192" s="60" t="n">
        <f aca="false">$O$27/AN192*(BY192-1)-CA192-BZ192*(2*AK192/AM192-$O$27/AN192)</f>
        <v>0.198812070380318</v>
      </c>
      <c r="CM192" s="60" t="n">
        <f aca="false">$P$27/AN192*(BY192-1)-CA192-BZ192*(2*AL192/AM192-$P$27/AN192)</f>
        <v>0.198812070380318</v>
      </c>
      <c r="CN192" s="60" t="n">
        <f aca="false">AP192/BY192&gt;$C$22</f>
        <v>0</v>
      </c>
      <c r="CO192" s="60" t="n">
        <f aca="false">1-N192+SUMPRODUCT(B192:M192,CB192:CM192)-SUMPRODUCT(B192:M192,CB191:CM191)</f>
        <v>0</v>
      </c>
      <c r="CP192" s="60" t="n">
        <f aca="false">SUMXMY2(O192:Z192,$E$13:$P$13)</f>
        <v>0</v>
      </c>
    </row>
    <row r="193" customFormat="false" ht="15" hidden="false" customHeight="false" outlineLevel="0" collapsed="false">
      <c r="A193" s="59" t="n">
        <v>28</v>
      </c>
      <c r="B193" s="60" t="n">
        <f aca="false">$E$13*EXP(MAX(-700,MIN(700,$E$86-CB192)))</f>
        <v>1</v>
      </c>
      <c r="C193" s="60" t="n">
        <f aca="false">$F$13*EXP(MAX(-700,MIN(700,$F$86-CC192)))</f>
        <v>0</v>
      </c>
      <c r="D193" s="60" t="n">
        <f aca="false">$G$13*EXP(MAX(-700,MIN(700,$G$86-CD192)))</f>
        <v>0</v>
      </c>
      <c r="E193" s="60" t="n">
        <f aca="false">$H$13*EXP(MAX(-700,MIN(700,$H$86-CE192)))</f>
        <v>0</v>
      </c>
      <c r="F193" s="60" t="n">
        <f aca="false">$I$13*EXP(MAX(-700,MIN(700,$I$86-CF192)))</f>
        <v>0</v>
      </c>
      <c r="G193" s="60" t="n">
        <f aca="false">$J$13*EXP(MAX(-700,MIN(700,$J$86-CG192)))</f>
        <v>0</v>
      </c>
      <c r="H193" s="60" t="n">
        <f aca="false">$K$13*EXP(MAX(-700,MIN(700,$K$86-CH192)))</f>
        <v>0</v>
      </c>
      <c r="I193" s="60" t="n">
        <f aca="false">$L$13*EXP(MAX(-700,MIN(700,$L$86-CI192)))</f>
        <v>0</v>
      </c>
      <c r="J193" s="60" t="n">
        <f aca="false">$M$13*EXP(MAX(-700,MIN(700,$M$86-CJ192)))</f>
        <v>0</v>
      </c>
      <c r="K193" s="60" t="n">
        <f aca="false">$N$13*EXP(MAX(-700,MIN(700,$N$86-CK192)))</f>
        <v>0</v>
      </c>
      <c r="L193" s="60" t="n">
        <f aca="false">$O$13*EXP(MAX(-700,MIN(700,$O$86-CL192)))</f>
        <v>0</v>
      </c>
      <c r="M193" s="60" t="n">
        <f aca="false">$P$13*EXP(MAX(-700,MIN(700,$P$86-CM192)))</f>
        <v>0</v>
      </c>
      <c r="N193" s="60" t="n">
        <f aca="false">SUM(B193:M193)</f>
        <v>1</v>
      </c>
      <c r="O193" s="60" t="n">
        <f aca="false">B193/N193</f>
        <v>1</v>
      </c>
      <c r="P193" s="60" t="n">
        <f aca="false">C193/N193</f>
        <v>0</v>
      </c>
      <c r="Q193" s="60" t="n">
        <f aca="false">D193/N193</f>
        <v>0</v>
      </c>
      <c r="R193" s="60" t="n">
        <f aca="false">E193/N193</f>
        <v>0</v>
      </c>
      <c r="S193" s="60" t="n">
        <f aca="false">F193/N193</f>
        <v>0</v>
      </c>
      <c r="T193" s="60" t="n">
        <f aca="false">G193/N193</f>
        <v>0</v>
      </c>
      <c r="U193" s="60" t="n">
        <f aca="false">H193/N193</f>
        <v>0</v>
      </c>
      <c r="V193" s="60" t="n">
        <f aca="false">I193/N193</f>
        <v>0</v>
      </c>
      <c r="W193" s="60" t="n">
        <f aca="false">J193/N193</f>
        <v>0</v>
      </c>
      <c r="X193" s="60" t="n">
        <f aca="false">K193/N193</f>
        <v>0</v>
      </c>
      <c r="Y193" s="60" t="n">
        <f aca="false">L193/N193</f>
        <v>0</v>
      </c>
      <c r="Z193" s="60" t="n">
        <f aca="false">M193/N193</f>
        <v>0</v>
      </c>
      <c r="AA193" s="60" t="n">
        <f aca="false">$E$28*SUMPRODUCT($E$31:$P$31,O193:Z193,$E$28:$P$28)</f>
        <v>0.184416866619846</v>
      </c>
      <c r="AB193" s="60" t="n">
        <f aca="false">$F$28*SUMPRODUCT($E$32:$P$32,O193:Z193,$E$28:$P$28)</f>
        <v>0</v>
      </c>
      <c r="AC193" s="60" t="n">
        <f aca="false">$G$28*SUMPRODUCT($E$33:$P$33,O193:Z193,$E$28:$P$28)</f>
        <v>0</v>
      </c>
      <c r="AD193" s="60" t="n">
        <f aca="false">$H$28*SUMPRODUCT($E$34:$P$34,O193:Z193,$E$28:$P$28)</f>
        <v>0</v>
      </c>
      <c r="AE193" s="60" t="n">
        <f aca="false">$I$28*SUMPRODUCT($E$35:$P$35,O193:Z193,$E$28:$P$28)</f>
        <v>0</v>
      </c>
      <c r="AF193" s="60" t="n">
        <f aca="false">$J$28*SUMPRODUCT($E$36:$P$36,O193:Z193,$E$28:$P$28)</f>
        <v>0</v>
      </c>
      <c r="AG193" s="60" t="n">
        <f aca="false">$K$28*SUMPRODUCT($E$37:$P$37,O193:Z193,$E$28:$P$28)</f>
        <v>0</v>
      </c>
      <c r="AH193" s="60" t="n">
        <f aca="false">$L$28*SUMPRODUCT($E$38:$P$38,O193:Z193,$E$28:$P$28)</f>
        <v>0</v>
      </c>
      <c r="AI193" s="60" t="n">
        <f aca="false">$M$28*SUMPRODUCT($E$39:$P$39,O193:Z193,$E$28:$P$28)</f>
        <v>0</v>
      </c>
      <c r="AJ193" s="60" t="n">
        <f aca="false">$N$28*SUMPRODUCT($E$40:$P$40,O193:Z193,$E$28:$P$28)</f>
        <v>0</v>
      </c>
      <c r="AK193" s="60" t="n">
        <f aca="false">$O$28*SUMPRODUCT($E$41:$P$41,O193:Z193,$E$28:$P$28)</f>
        <v>0</v>
      </c>
      <c r="AL193" s="60" t="n">
        <f aca="false">$P$28*SUMPRODUCT($E$42:$P$42,O193:Z193,$E$28:$P$28)</f>
        <v>0</v>
      </c>
      <c r="AM193" s="60" t="n">
        <f aca="false">SUMPRODUCT(O193:Z193,AA193:AL193)</f>
        <v>0.184416866619846</v>
      </c>
      <c r="AN193" s="60" t="n">
        <f aca="false">SUMPRODUCT(O193:Z193,$E$27:$P$27)</f>
        <v>2.67389635063809E-005</v>
      </c>
      <c r="AO193" s="60" t="n">
        <f aca="false">AM193*$C$9/($C$10*$C$8)^2</f>
        <v>0.21776909410545</v>
      </c>
      <c r="AP193" s="60" t="n">
        <f aca="false">AN193*$C$9/($C$10*$C$8)</f>
        <v>0.0918845243259994</v>
      </c>
      <c r="AQ193" s="60" t="n">
        <f aca="false">CHOOSE($C$7,-(1+AP193),-1,-(1-AP193))</f>
        <v>-0.908115475674001</v>
      </c>
      <c r="AR193" s="60" t="n">
        <f aca="false">CHOOSE($C$7,AO193,AO193-AP193-AP193^2,AO193-3*AP193^2-2*AP193)</f>
        <v>0.00867174802160559</v>
      </c>
      <c r="AS193" s="60" t="n">
        <f aca="false">CHOOSE($C$7,-AO193*AP193,-AO193*AP193,-(AO193*AP193-AP193^2-AP193^3))</f>
        <v>-0.0107910842936637</v>
      </c>
      <c r="AT193" s="60" t="n">
        <f aca="false">AR193-AQ193^2/3</f>
        <v>-0.266219491031267</v>
      </c>
      <c r="AU193" s="60" t="n">
        <f aca="false">2*AQ193^3/27-AQ193*AR193/3+AS193</f>
        <v>-0.0636400988362784</v>
      </c>
      <c r="AV193" s="60" t="n">
        <f aca="false">AU193^2/4+AT193^3/27</f>
        <v>0.000313710901361829</v>
      </c>
      <c r="AW193" s="60" t="n">
        <f aca="false">-AU193/2-IF(AU193&gt;=0,1,-1)*SQRT(MAX(AV193,0))</f>
        <v>0.0495319352963236</v>
      </c>
      <c r="AX193" s="60" t="n">
        <f aca="false">SIGN(AW193)*ABS(AW193)^(1/3)</f>
        <v>0.367249967174439</v>
      </c>
      <c r="AY193" s="60" t="n">
        <f aca="false">IF(AX193=0,0,AX193-AT193/(3*AX193))</f>
        <v>0.60888329127384</v>
      </c>
      <c r="AZ193" s="60" t="n">
        <f aca="false">2*SQRT(MAX(-AT193,0)/3)</f>
        <v>0.595784626668918</v>
      </c>
      <c r="BA193" s="60" t="n">
        <f aca="false">ACOS(IF(AZ193=0,0,MAX(-1,MIN(1,3*AU193/(AT193*AZ193)))))</f>
        <v>0</v>
      </c>
      <c r="BB193" s="60" t="n">
        <f aca="false">AZ193*COS(BA193/3)</f>
        <v>0.595784626668918</v>
      </c>
      <c r="BC193" s="60" t="n">
        <f aca="false">IF(AV193&lt;0,BB193,AY193)-AQ193/3</f>
        <v>0.91158844983184</v>
      </c>
      <c r="BD193" s="60" t="n">
        <f aca="false">IFERROR((((BC193+AQ193)*BC193+AR193)*BC193+AS193)/((3*BC193+2*AQ193)*BC193+AR193),0)</f>
        <v>0</v>
      </c>
      <c r="BE193" s="60" t="n">
        <f aca="false">IF(ABS(BD193)&lt;0.1*ABS(BC193),BC193-BD193,BC193)</f>
        <v>0.91158844983184</v>
      </c>
      <c r="BF193" s="60" t="n">
        <f aca="false">IFERROR((((BE193+AQ193)*BE193+AR193)*BE193+AS193)/((3*BE193+2*AQ193)*BE193+AR193),0)</f>
        <v>0</v>
      </c>
      <c r="BG193" s="60" t="n">
        <f aca="false">IF(ABS(BF193)&lt;0.1*ABS(BE193),BE193-BF193,BE193)</f>
        <v>0.91158844983184</v>
      </c>
      <c r="BH193" s="60" t="n">
        <f aca="false">-AS193/BG193</f>
        <v>0.0118376711504565</v>
      </c>
      <c r="BI193" s="60" t="n">
        <f aca="false">(AR193-BH193)/BG193</f>
        <v>-0.00347297415783941</v>
      </c>
      <c r="BJ193" s="60" t="n">
        <f aca="false">BI193^2-4*BH193</f>
        <v>-0.0473386230523248</v>
      </c>
      <c r="BK193" s="60" t="n">
        <f aca="false">IF(BJ193&gt;=0,(BI193+IF(BI193&gt;=0,1,-1)*SQRT(BJ193))/2,0)</f>
        <v>0</v>
      </c>
      <c r="BL193" s="60" t="n">
        <f aca="false">IF(AND(BJ193&gt;=0,BK193&lt;&gt;0),MIN(BK193,BH193/BK193),-1)</f>
        <v>-1</v>
      </c>
      <c r="BM193" s="60" t="n">
        <f aca="false">AND(BJ193&gt;=0,BL193&gt;AP193,ABS(BG193-BL193)&gt;=0.00005*MAX(BG193,BL193))</f>
        <v>0</v>
      </c>
      <c r="BN193" s="60" t="n">
        <f aca="false">IF(BM193,IFERROR((((BL193+AQ193)*BL193+AR193)*BL193+AS193)/((3*BL193+2*AQ193)*BL193+AR193),0),0)</f>
        <v>0</v>
      </c>
      <c r="BO193" s="60" t="n">
        <f aca="false">IF(ABS(BN193)&lt;0.1*ABS(BL193),BL193-BN193,BL193)</f>
        <v>-1</v>
      </c>
      <c r="BP193" s="60" t="n">
        <f aca="false">IF(BM193,IFERROR((((BO193+AQ193)*BO193+AR193)*BO193+AS193)/((3*BO193+2*AQ193)*BO193+AR193),0),0)</f>
        <v>0</v>
      </c>
      <c r="BQ193" s="60" t="n">
        <f aca="false">IF(ABS(BP193)&lt;0.1*ABS(BO193),BO193-BP193,BO193)</f>
        <v>-1</v>
      </c>
      <c r="BR193" s="60" t="n">
        <f aca="false">IF(BM193,MAX(BG193,BQ193),BG193)</f>
        <v>0.91158844983184</v>
      </c>
      <c r="BS193" s="60" t="n">
        <f aca="false">IF(BM193,MIN(BG193,BQ193),-1)</f>
        <v>-1</v>
      </c>
      <c r="BT193" s="60" t="n">
        <f aca="false">CHOOSE($C$7,AO193/BR193,AO193/AP193*LN(1+AP193/BR193),AO193/(2*SQRT(2)*AP193)*LN((BR193+(1+SQRT(2))*AP193)/(BR193+(1-SQRT(2))*AP193)))</f>
        <v>0.218240791233887</v>
      </c>
      <c r="BU193" s="60" t="n">
        <f aca="false">BR193-1-LN(BR193-AP193)-BT193</f>
        <v>-0.107840271021729</v>
      </c>
      <c r="BV193" s="60" t="n">
        <f aca="false">IF(BM193,CHOOSE($C$7,AO193/BS193,AO193/AP193*LN(1+AP193/BS193),AO193/(2*SQRT(2)*AP193)*LN((BS193+(1+SQRT(2))*AP193)/(BS193+(1-SQRT(2))*AP193))),0)</f>
        <v>0</v>
      </c>
      <c r="BW193" s="60" t="n">
        <f aca="false">IF(BM193,BS193-1-LN(BS193-AP193)-BV193,0)</f>
        <v>0</v>
      </c>
      <c r="BX193" s="60" t="n">
        <f aca="false">AND(BM193,BW193&lt;BU193)</f>
        <v>0</v>
      </c>
      <c r="BY193" s="60" t="n">
        <f aca="false">IF(BX193,BS193,BR193)</f>
        <v>0.91158844983184</v>
      </c>
      <c r="BZ193" s="60" t="n">
        <f aca="false">IF(BX193,BV193,BT193)</f>
        <v>0.218240791233887</v>
      </c>
      <c r="CA193" s="60" t="n">
        <f aca="false">LN(BY193-AP193)</f>
        <v>-0.198812070380318</v>
      </c>
      <c r="CB193" s="60" t="n">
        <f aca="false">$E$27/AN193*(BY193-1)-CA193-BZ193*(2*AA193/AM193-$E$27/AN193)</f>
        <v>-0.107840271021729</v>
      </c>
      <c r="CC193" s="60" t="n">
        <f aca="false">$F$27/AN193*(BY193-1)-CA193-BZ193*(2*AB193/AM193-$F$27/AN193)</f>
        <v>0.198812070380318</v>
      </c>
      <c r="CD193" s="60" t="n">
        <f aca="false">$G$27/AN193*(BY193-1)-CA193-BZ193*(2*AC193/AM193-$G$27/AN193)</f>
        <v>0.198812070380318</v>
      </c>
      <c r="CE193" s="60" t="n">
        <f aca="false">$H$27/AN193*(BY193-1)-CA193-BZ193*(2*AD193/AM193-$H$27/AN193)</f>
        <v>0.198812070380318</v>
      </c>
      <c r="CF193" s="60" t="n">
        <f aca="false">$I$27/AN193*(BY193-1)-CA193-BZ193*(2*AE193/AM193-$I$27/AN193)</f>
        <v>0.198812070380318</v>
      </c>
      <c r="CG193" s="60" t="n">
        <f aca="false">$J$27/AN193*(BY193-1)-CA193-BZ193*(2*AF193/AM193-$J$27/AN193)</f>
        <v>0.198812070380318</v>
      </c>
      <c r="CH193" s="60" t="n">
        <f aca="false">$K$27/AN193*(BY193-1)-CA193-BZ193*(2*AG193/AM193-$K$27/AN193)</f>
        <v>0.198812070380318</v>
      </c>
      <c r="CI193" s="60" t="n">
        <f aca="false">$L$27/AN193*(BY193-1)-CA193-BZ193*(2*AH193/AM193-$L$27/AN193)</f>
        <v>0.198812070380318</v>
      </c>
      <c r="CJ193" s="60" t="n">
        <f aca="false">$M$27/AN193*(BY193-1)-CA193-BZ193*(2*AI193/AM193-$M$27/AN193)</f>
        <v>0.198812070380318</v>
      </c>
      <c r="CK193" s="60" t="n">
        <f aca="false">$N$27/AN193*(BY193-1)-CA193-BZ193*(2*AJ193/AM193-$N$27/AN193)</f>
        <v>0.198812070380318</v>
      </c>
      <c r="CL193" s="60" t="n">
        <f aca="false">$O$27/AN193*(BY193-1)-CA193-BZ193*(2*AK193/AM193-$O$27/AN193)</f>
        <v>0.198812070380318</v>
      </c>
      <c r="CM193" s="60" t="n">
        <f aca="false">$P$27/AN193*(BY193-1)-CA193-BZ193*(2*AL193/AM193-$P$27/AN193)</f>
        <v>0.198812070380318</v>
      </c>
      <c r="CN193" s="60" t="n">
        <f aca="false">AP193/BY193&gt;$C$22</f>
        <v>0</v>
      </c>
      <c r="CO193" s="60" t="n">
        <f aca="false">1-N193+SUMPRODUCT(B193:M193,CB193:CM193)-SUMPRODUCT(B193:M193,CB192:CM192)</f>
        <v>0</v>
      </c>
      <c r="CP193" s="60" t="n">
        <f aca="false">SUMXMY2(O193:Z193,$E$13:$P$13)</f>
        <v>0</v>
      </c>
    </row>
    <row r="194" customFormat="false" ht="15" hidden="false" customHeight="false" outlineLevel="0" collapsed="false">
      <c r="A194" s="59" t="n">
        <v>29</v>
      </c>
      <c r="B194" s="60" t="n">
        <f aca="false">$E$13*EXP(MAX(-700,MIN(700,$E$86-CB193)))</f>
        <v>1</v>
      </c>
      <c r="C194" s="60" t="n">
        <f aca="false">$F$13*EXP(MAX(-700,MIN(700,$F$86-CC193)))</f>
        <v>0</v>
      </c>
      <c r="D194" s="60" t="n">
        <f aca="false">$G$13*EXP(MAX(-700,MIN(700,$G$86-CD193)))</f>
        <v>0</v>
      </c>
      <c r="E194" s="60" t="n">
        <f aca="false">$H$13*EXP(MAX(-700,MIN(700,$H$86-CE193)))</f>
        <v>0</v>
      </c>
      <c r="F194" s="60" t="n">
        <f aca="false">$I$13*EXP(MAX(-700,MIN(700,$I$86-CF193)))</f>
        <v>0</v>
      </c>
      <c r="G194" s="60" t="n">
        <f aca="false">$J$13*EXP(MAX(-700,MIN(700,$J$86-CG193)))</f>
        <v>0</v>
      </c>
      <c r="H194" s="60" t="n">
        <f aca="false">$K$13*EXP(MAX(-700,MIN(700,$K$86-CH193)))</f>
        <v>0</v>
      </c>
      <c r="I194" s="60" t="n">
        <f aca="false">$L$13*EXP(MAX(-700,MIN(700,$L$86-CI193)))</f>
        <v>0</v>
      </c>
      <c r="J194" s="60" t="n">
        <f aca="false">$M$13*EXP(MAX(-700,MIN(700,$M$86-CJ193)))</f>
        <v>0</v>
      </c>
      <c r="K194" s="60" t="n">
        <f aca="false">$N$13*EXP(MAX(-700,MIN(700,$N$86-CK193)))</f>
        <v>0</v>
      </c>
      <c r="L194" s="60" t="n">
        <f aca="false">$O$13*EXP(MAX(-700,MIN(700,$O$86-CL193)))</f>
        <v>0</v>
      </c>
      <c r="M194" s="60" t="n">
        <f aca="false">$P$13*EXP(MAX(-700,MIN(700,$P$86-CM193)))</f>
        <v>0</v>
      </c>
      <c r="N194" s="60" t="n">
        <f aca="false">SUM(B194:M194)</f>
        <v>1</v>
      </c>
      <c r="O194" s="60" t="n">
        <f aca="false">B194/N194</f>
        <v>1</v>
      </c>
      <c r="P194" s="60" t="n">
        <f aca="false">C194/N194</f>
        <v>0</v>
      </c>
      <c r="Q194" s="60" t="n">
        <f aca="false">D194/N194</f>
        <v>0</v>
      </c>
      <c r="R194" s="60" t="n">
        <f aca="false">E194/N194</f>
        <v>0</v>
      </c>
      <c r="S194" s="60" t="n">
        <f aca="false">F194/N194</f>
        <v>0</v>
      </c>
      <c r="T194" s="60" t="n">
        <f aca="false">G194/N194</f>
        <v>0</v>
      </c>
      <c r="U194" s="60" t="n">
        <f aca="false">H194/N194</f>
        <v>0</v>
      </c>
      <c r="V194" s="60" t="n">
        <f aca="false">I194/N194</f>
        <v>0</v>
      </c>
      <c r="W194" s="60" t="n">
        <f aca="false">J194/N194</f>
        <v>0</v>
      </c>
      <c r="X194" s="60" t="n">
        <f aca="false">K194/N194</f>
        <v>0</v>
      </c>
      <c r="Y194" s="60" t="n">
        <f aca="false">L194/N194</f>
        <v>0</v>
      </c>
      <c r="Z194" s="60" t="n">
        <f aca="false">M194/N194</f>
        <v>0</v>
      </c>
      <c r="AA194" s="60" t="n">
        <f aca="false">$E$28*SUMPRODUCT($E$31:$P$31,O194:Z194,$E$28:$P$28)</f>
        <v>0.184416866619846</v>
      </c>
      <c r="AB194" s="60" t="n">
        <f aca="false">$F$28*SUMPRODUCT($E$32:$P$32,O194:Z194,$E$28:$P$28)</f>
        <v>0</v>
      </c>
      <c r="AC194" s="60" t="n">
        <f aca="false">$G$28*SUMPRODUCT($E$33:$P$33,O194:Z194,$E$28:$P$28)</f>
        <v>0</v>
      </c>
      <c r="AD194" s="60" t="n">
        <f aca="false">$H$28*SUMPRODUCT($E$34:$P$34,O194:Z194,$E$28:$P$28)</f>
        <v>0</v>
      </c>
      <c r="AE194" s="60" t="n">
        <f aca="false">$I$28*SUMPRODUCT($E$35:$P$35,O194:Z194,$E$28:$P$28)</f>
        <v>0</v>
      </c>
      <c r="AF194" s="60" t="n">
        <f aca="false">$J$28*SUMPRODUCT($E$36:$P$36,O194:Z194,$E$28:$P$28)</f>
        <v>0</v>
      </c>
      <c r="AG194" s="60" t="n">
        <f aca="false">$K$28*SUMPRODUCT($E$37:$P$37,O194:Z194,$E$28:$P$28)</f>
        <v>0</v>
      </c>
      <c r="AH194" s="60" t="n">
        <f aca="false">$L$28*SUMPRODUCT($E$38:$P$38,O194:Z194,$E$28:$P$28)</f>
        <v>0</v>
      </c>
      <c r="AI194" s="60" t="n">
        <f aca="false">$M$28*SUMPRODUCT($E$39:$P$39,O194:Z194,$E$28:$P$28)</f>
        <v>0</v>
      </c>
      <c r="AJ194" s="60" t="n">
        <f aca="false">$N$28*SUMPRODUCT($E$40:$P$40,O194:Z194,$E$28:$P$28)</f>
        <v>0</v>
      </c>
      <c r="AK194" s="60" t="n">
        <f aca="false">$O$28*SUMPRODUCT($E$41:$P$41,O194:Z194,$E$28:$P$28)</f>
        <v>0</v>
      </c>
      <c r="AL194" s="60" t="n">
        <f aca="false">$P$28*SUMPRODUCT($E$42:$P$42,O194:Z194,$E$28:$P$28)</f>
        <v>0</v>
      </c>
      <c r="AM194" s="60" t="n">
        <f aca="false">SUMPRODUCT(O194:Z194,AA194:AL194)</f>
        <v>0.184416866619846</v>
      </c>
      <c r="AN194" s="60" t="n">
        <f aca="false">SUMPRODUCT(O194:Z194,$E$27:$P$27)</f>
        <v>2.67389635063809E-005</v>
      </c>
      <c r="AO194" s="60" t="n">
        <f aca="false">AM194*$C$9/($C$10*$C$8)^2</f>
        <v>0.21776909410545</v>
      </c>
      <c r="AP194" s="60" t="n">
        <f aca="false">AN194*$C$9/($C$10*$C$8)</f>
        <v>0.0918845243259994</v>
      </c>
      <c r="AQ194" s="60" t="n">
        <f aca="false">CHOOSE($C$7,-(1+AP194),-1,-(1-AP194))</f>
        <v>-0.908115475674001</v>
      </c>
      <c r="AR194" s="60" t="n">
        <f aca="false">CHOOSE($C$7,AO194,AO194-AP194-AP194^2,AO194-3*AP194^2-2*AP194)</f>
        <v>0.00867174802160559</v>
      </c>
      <c r="AS194" s="60" t="n">
        <f aca="false">CHOOSE($C$7,-AO194*AP194,-AO194*AP194,-(AO194*AP194-AP194^2-AP194^3))</f>
        <v>-0.0107910842936637</v>
      </c>
      <c r="AT194" s="60" t="n">
        <f aca="false">AR194-AQ194^2/3</f>
        <v>-0.266219491031267</v>
      </c>
      <c r="AU194" s="60" t="n">
        <f aca="false">2*AQ194^3/27-AQ194*AR194/3+AS194</f>
        <v>-0.0636400988362784</v>
      </c>
      <c r="AV194" s="60" t="n">
        <f aca="false">AU194^2/4+AT194^3/27</f>
        <v>0.000313710901361829</v>
      </c>
      <c r="AW194" s="60" t="n">
        <f aca="false">-AU194/2-IF(AU194&gt;=0,1,-1)*SQRT(MAX(AV194,0))</f>
        <v>0.0495319352963236</v>
      </c>
      <c r="AX194" s="60" t="n">
        <f aca="false">SIGN(AW194)*ABS(AW194)^(1/3)</f>
        <v>0.367249967174439</v>
      </c>
      <c r="AY194" s="60" t="n">
        <f aca="false">IF(AX194=0,0,AX194-AT194/(3*AX194))</f>
        <v>0.60888329127384</v>
      </c>
      <c r="AZ194" s="60" t="n">
        <f aca="false">2*SQRT(MAX(-AT194,0)/3)</f>
        <v>0.595784626668918</v>
      </c>
      <c r="BA194" s="60" t="n">
        <f aca="false">ACOS(IF(AZ194=0,0,MAX(-1,MIN(1,3*AU194/(AT194*AZ194)))))</f>
        <v>0</v>
      </c>
      <c r="BB194" s="60" t="n">
        <f aca="false">AZ194*COS(BA194/3)</f>
        <v>0.595784626668918</v>
      </c>
      <c r="BC194" s="60" t="n">
        <f aca="false">IF(AV194&lt;0,BB194,AY194)-AQ194/3</f>
        <v>0.91158844983184</v>
      </c>
      <c r="BD194" s="60" t="n">
        <f aca="false">IFERROR((((BC194+AQ194)*BC194+AR194)*BC194+AS194)/((3*BC194+2*AQ194)*BC194+AR194),0)</f>
        <v>0</v>
      </c>
      <c r="BE194" s="60" t="n">
        <f aca="false">IF(ABS(BD194)&lt;0.1*ABS(BC194),BC194-BD194,BC194)</f>
        <v>0.91158844983184</v>
      </c>
      <c r="BF194" s="60" t="n">
        <f aca="false">IFERROR((((BE194+AQ194)*BE194+AR194)*BE194+AS194)/((3*BE194+2*AQ194)*BE194+AR194),0)</f>
        <v>0</v>
      </c>
      <c r="BG194" s="60" t="n">
        <f aca="false">IF(ABS(BF194)&lt;0.1*ABS(BE194),BE194-BF194,BE194)</f>
        <v>0.91158844983184</v>
      </c>
      <c r="BH194" s="60" t="n">
        <f aca="false">-AS194/BG194</f>
        <v>0.0118376711504565</v>
      </c>
      <c r="BI194" s="60" t="n">
        <f aca="false">(AR194-BH194)/BG194</f>
        <v>-0.00347297415783941</v>
      </c>
      <c r="BJ194" s="60" t="n">
        <f aca="false">BI194^2-4*BH194</f>
        <v>-0.0473386230523248</v>
      </c>
      <c r="BK194" s="60" t="n">
        <f aca="false">IF(BJ194&gt;=0,(BI194+IF(BI194&gt;=0,1,-1)*SQRT(BJ194))/2,0)</f>
        <v>0</v>
      </c>
      <c r="BL194" s="60" t="n">
        <f aca="false">IF(AND(BJ194&gt;=0,BK194&lt;&gt;0),MIN(BK194,BH194/BK194),-1)</f>
        <v>-1</v>
      </c>
      <c r="BM194" s="60" t="n">
        <f aca="false">AND(BJ194&gt;=0,BL194&gt;AP194,ABS(BG194-BL194)&gt;=0.00005*MAX(BG194,BL194))</f>
        <v>0</v>
      </c>
      <c r="BN194" s="60" t="n">
        <f aca="false">IF(BM194,IFERROR((((BL194+AQ194)*BL194+AR194)*BL194+AS194)/((3*BL194+2*AQ194)*BL194+AR194),0),0)</f>
        <v>0</v>
      </c>
      <c r="BO194" s="60" t="n">
        <f aca="false">IF(ABS(BN194)&lt;0.1*ABS(BL194),BL194-BN194,BL194)</f>
        <v>-1</v>
      </c>
      <c r="BP194" s="60" t="n">
        <f aca="false">IF(BM194,IFERROR((((BO194+AQ194)*BO194+AR194)*BO194+AS194)/((3*BO194+2*AQ194)*BO194+AR194),0),0)</f>
        <v>0</v>
      </c>
      <c r="BQ194" s="60" t="n">
        <f aca="false">IF(ABS(BP194)&lt;0.1*ABS(BO194),BO194-BP194,BO194)</f>
        <v>-1</v>
      </c>
      <c r="BR194" s="60" t="n">
        <f aca="false">IF(BM194,MAX(BG194,BQ194),BG194)</f>
        <v>0.91158844983184</v>
      </c>
      <c r="BS194" s="60" t="n">
        <f aca="false">IF(BM194,MIN(BG194,BQ194),-1)</f>
        <v>-1</v>
      </c>
      <c r="BT194" s="60" t="n">
        <f aca="false">CHOOSE($C$7,AO194/BR194,AO194/AP194*LN(1+AP194/BR194),AO194/(2*SQRT(2)*AP194)*LN((BR194+(1+SQRT(2))*AP194)/(BR194+(1-SQRT(2))*AP194)))</f>
        <v>0.218240791233887</v>
      </c>
      <c r="BU194" s="60" t="n">
        <f aca="false">BR194-1-LN(BR194-AP194)-BT194</f>
        <v>-0.107840271021729</v>
      </c>
      <c r="BV194" s="60" t="n">
        <f aca="false">IF(BM194,CHOOSE($C$7,AO194/BS194,AO194/AP194*LN(1+AP194/BS194),AO194/(2*SQRT(2)*AP194)*LN((BS194+(1+SQRT(2))*AP194)/(BS194+(1-SQRT(2))*AP194))),0)</f>
        <v>0</v>
      </c>
      <c r="BW194" s="60" t="n">
        <f aca="false">IF(BM194,BS194-1-LN(BS194-AP194)-BV194,0)</f>
        <v>0</v>
      </c>
      <c r="BX194" s="60" t="n">
        <f aca="false">AND(BM194,BW194&lt;BU194)</f>
        <v>0</v>
      </c>
      <c r="BY194" s="60" t="n">
        <f aca="false">IF(BX194,BS194,BR194)</f>
        <v>0.91158844983184</v>
      </c>
      <c r="BZ194" s="60" t="n">
        <f aca="false">IF(BX194,BV194,BT194)</f>
        <v>0.218240791233887</v>
      </c>
      <c r="CA194" s="60" t="n">
        <f aca="false">LN(BY194-AP194)</f>
        <v>-0.198812070380318</v>
      </c>
      <c r="CB194" s="60" t="n">
        <f aca="false">$E$27/AN194*(BY194-1)-CA194-BZ194*(2*AA194/AM194-$E$27/AN194)</f>
        <v>-0.107840271021729</v>
      </c>
      <c r="CC194" s="60" t="n">
        <f aca="false">$F$27/AN194*(BY194-1)-CA194-BZ194*(2*AB194/AM194-$F$27/AN194)</f>
        <v>0.198812070380318</v>
      </c>
      <c r="CD194" s="60" t="n">
        <f aca="false">$G$27/AN194*(BY194-1)-CA194-BZ194*(2*AC194/AM194-$G$27/AN194)</f>
        <v>0.198812070380318</v>
      </c>
      <c r="CE194" s="60" t="n">
        <f aca="false">$H$27/AN194*(BY194-1)-CA194-BZ194*(2*AD194/AM194-$H$27/AN194)</f>
        <v>0.198812070380318</v>
      </c>
      <c r="CF194" s="60" t="n">
        <f aca="false">$I$27/AN194*(BY194-1)-CA194-BZ194*(2*AE194/AM194-$I$27/AN194)</f>
        <v>0.198812070380318</v>
      </c>
      <c r="CG194" s="60" t="n">
        <f aca="false">$J$27/AN194*(BY194-1)-CA194-BZ194*(2*AF194/AM194-$J$27/AN194)</f>
        <v>0.198812070380318</v>
      </c>
      <c r="CH194" s="60" t="n">
        <f aca="false">$K$27/AN194*(BY194-1)-CA194-BZ194*(2*AG194/AM194-$K$27/AN194)</f>
        <v>0.198812070380318</v>
      </c>
      <c r="CI194" s="60" t="n">
        <f aca="false">$L$27/AN194*(BY194-1)-CA194-BZ194*(2*AH194/AM194-$L$27/AN194)</f>
        <v>0.198812070380318</v>
      </c>
      <c r="CJ194" s="60" t="n">
        <f aca="false">$M$27/AN194*(BY194-1)-CA194-BZ194*(2*AI194/AM194-$M$27/AN194)</f>
        <v>0.198812070380318</v>
      </c>
      <c r="CK194" s="60" t="n">
        <f aca="false">$N$27/AN194*(BY194-1)-CA194-BZ194*(2*AJ194/AM194-$N$27/AN194)</f>
        <v>0.198812070380318</v>
      </c>
      <c r="CL194" s="60" t="n">
        <f aca="false">$O$27/AN194*(BY194-1)-CA194-BZ194*(2*AK194/AM194-$O$27/AN194)</f>
        <v>0.198812070380318</v>
      </c>
      <c r="CM194" s="60" t="n">
        <f aca="false">$P$27/AN194*(BY194-1)-CA194-BZ194*(2*AL194/AM194-$P$27/AN194)</f>
        <v>0.198812070380318</v>
      </c>
      <c r="CN194" s="60" t="n">
        <f aca="false">AP194/BY194&gt;$C$22</f>
        <v>0</v>
      </c>
      <c r="CO194" s="60" t="n">
        <f aca="false">1-N194+SUMPRODUCT(B194:M194,CB194:CM194)-SUMPRODUCT(B194:M194,CB193:CM193)</f>
        <v>0</v>
      </c>
      <c r="CP194" s="60" t="n">
        <f aca="false">SUMXMY2(O194:Z194,$E$13:$P$13)</f>
        <v>0</v>
      </c>
    </row>
    <row r="195" customFormat="false" ht="15" hidden="false" customHeight="false" outlineLevel="0" collapsed="false">
      <c r="A195" s="59" t="n">
        <v>30</v>
      </c>
      <c r="B195" s="60" t="n">
        <f aca="false">$E$13*EXP(MAX(-700,MIN(700,$E$86-CB194)))</f>
        <v>1</v>
      </c>
      <c r="C195" s="60" t="n">
        <f aca="false">$F$13*EXP(MAX(-700,MIN(700,$F$86-CC194)))</f>
        <v>0</v>
      </c>
      <c r="D195" s="60" t="n">
        <f aca="false">$G$13*EXP(MAX(-700,MIN(700,$G$86-CD194)))</f>
        <v>0</v>
      </c>
      <c r="E195" s="60" t="n">
        <f aca="false">$H$13*EXP(MAX(-700,MIN(700,$H$86-CE194)))</f>
        <v>0</v>
      </c>
      <c r="F195" s="60" t="n">
        <f aca="false">$I$13*EXP(MAX(-700,MIN(700,$I$86-CF194)))</f>
        <v>0</v>
      </c>
      <c r="G195" s="60" t="n">
        <f aca="false">$J$13*EXP(MAX(-700,MIN(700,$J$86-CG194)))</f>
        <v>0</v>
      </c>
      <c r="H195" s="60" t="n">
        <f aca="false">$K$13*EXP(MAX(-700,MIN(700,$K$86-CH194)))</f>
        <v>0</v>
      </c>
      <c r="I195" s="60" t="n">
        <f aca="false">$L$13*EXP(MAX(-700,MIN(700,$L$86-CI194)))</f>
        <v>0</v>
      </c>
      <c r="J195" s="60" t="n">
        <f aca="false">$M$13*EXP(MAX(-700,MIN(700,$M$86-CJ194)))</f>
        <v>0</v>
      </c>
      <c r="K195" s="60" t="n">
        <f aca="false">$N$13*EXP(MAX(-700,MIN(700,$N$86-CK194)))</f>
        <v>0</v>
      </c>
      <c r="L195" s="60" t="n">
        <f aca="false">$O$13*EXP(MAX(-700,MIN(700,$O$86-CL194)))</f>
        <v>0</v>
      </c>
      <c r="M195" s="60" t="n">
        <f aca="false">$P$13*EXP(MAX(-700,MIN(700,$P$86-CM194)))</f>
        <v>0</v>
      </c>
      <c r="N195" s="60" t="n">
        <f aca="false">SUM(B195:M195)</f>
        <v>1</v>
      </c>
      <c r="O195" s="60" t="n">
        <f aca="false">B195/N195</f>
        <v>1</v>
      </c>
      <c r="P195" s="60" t="n">
        <f aca="false">C195/N195</f>
        <v>0</v>
      </c>
      <c r="Q195" s="60" t="n">
        <f aca="false">D195/N195</f>
        <v>0</v>
      </c>
      <c r="R195" s="60" t="n">
        <f aca="false">E195/N195</f>
        <v>0</v>
      </c>
      <c r="S195" s="60" t="n">
        <f aca="false">F195/N195</f>
        <v>0</v>
      </c>
      <c r="T195" s="60" t="n">
        <f aca="false">G195/N195</f>
        <v>0</v>
      </c>
      <c r="U195" s="60" t="n">
        <f aca="false">H195/N195</f>
        <v>0</v>
      </c>
      <c r="V195" s="60" t="n">
        <f aca="false">I195/N195</f>
        <v>0</v>
      </c>
      <c r="W195" s="60" t="n">
        <f aca="false">J195/N195</f>
        <v>0</v>
      </c>
      <c r="X195" s="60" t="n">
        <f aca="false">K195/N195</f>
        <v>0</v>
      </c>
      <c r="Y195" s="60" t="n">
        <f aca="false">L195/N195</f>
        <v>0</v>
      </c>
      <c r="Z195" s="60" t="n">
        <f aca="false">M195/N195</f>
        <v>0</v>
      </c>
      <c r="AA195" s="60" t="n">
        <f aca="false">$E$28*SUMPRODUCT($E$31:$P$31,O195:Z195,$E$28:$P$28)</f>
        <v>0.184416866619846</v>
      </c>
      <c r="AB195" s="60" t="n">
        <f aca="false">$F$28*SUMPRODUCT($E$32:$P$32,O195:Z195,$E$28:$P$28)</f>
        <v>0</v>
      </c>
      <c r="AC195" s="60" t="n">
        <f aca="false">$G$28*SUMPRODUCT($E$33:$P$33,O195:Z195,$E$28:$P$28)</f>
        <v>0</v>
      </c>
      <c r="AD195" s="60" t="n">
        <f aca="false">$H$28*SUMPRODUCT($E$34:$P$34,O195:Z195,$E$28:$P$28)</f>
        <v>0</v>
      </c>
      <c r="AE195" s="60" t="n">
        <f aca="false">$I$28*SUMPRODUCT($E$35:$P$35,O195:Z195,$E$28:$P$28)</f>
        <v>0</v>
      </c>
      <c r="AF195" s="60" t="n">
        <f aca="false">$J$28*SUMPRODUCT($E$36:$P$36,O195:Z195,$E$28:$P$28)</f>
        <v>0</v>
      </c>
      <c r="AG195" s="60" t="n">
        <f aca="false">$K$28*SUMPRODUCT($E$37:$P$37,O195:Z195,$E$28:$P$28)</f>
        <v>0</v>
      </c>
      <c r="AH195" s="60" t="n">
        <f aca="false">$L$28*SUMPRODUCT($E$38:$P$38,O195:Z195,$E$28:$P$28)</f>
        <v>0</v>
      </c>
      <c r="AI195" s="60" t="n">
        <f aca="false">$M$28*SUMPRODUCT($E$39:$P$39,O195:Z195,$E$28:$P$28)</f>
        <v>0</v>
      </c>
      <c r="AJ195" s="60" t="n">
        <f aca="false">$N$28*SUMPRODUCT($E$40:$P$40,O195:Z195,$E$28:$P$28)</f>
        <v>0</v>
      </c>
      <c r="AK195" s="60" t="n">
        <f aca="false">$O$28*SUMPRODUCT($E$41:$P$41,O195:Z195,$E$28:$P$28)</f>
        <v>0</v>
      </c>
      <c r="AL195" s="60" t="n">
        <f aca="false">$P$28*SUMPRODUCT($E$42:$P$42,O195:Z195,$E$28:$P$28)</f>
        <v>0</v>
      </c>
      <c r="AM195" s="60" t="n">
        <f aca="false">SUMPRODUCT(O195:Z195,AA195:AL195)</f>
        <v>0.184416866619846</v>
      </c>
      <c r="AN195" s="60" t="n">
        <f aca="false">SUMPRODUCT(O195:Z195,$E$27:$P$27)</f>
        <v>2.67389635063809E-005</v>
      </c>
      <c r="AO195" s="60" t="n">
        <f aca="false">AM195*$C$9/($C$10*$C$8)^2</f>
        <v>0.21776909410545</v>
      </c>
      <c r="AP195" s="60" t="n">
        <f aca="false">AN195*$C$9/($C$10*$C$8)</f>
        <v>0.0918845243259994</v>
      </c>
      <c r="AQ195" s="60" t="n">
        <f aca="false">CHOOSE($C$7,-(1+AP195),-1,-(1-AP195))</f>
        <v>-0.908115475674001</v>
      </c>
      <c r="AR195" s="60" t="n">
        <f aca="false">CHOOSE($C$7,AO195,AO195-AP195-AP195^2,AO195-3*AP195^2-2*AP195)</f>
        <v>0.00867174802160559</v>
      </c>
      <c r="AS195" s="60" t="n">
        <f aca="false">CHOOSE($C$7,-AO195*AP195,-AO195*AP195,-(AO195*AP195-AP195^2-AP195^3))</f>
        <v>-0.0107910842936637</v>
      </c>
      <c r="AT195" s="60" t="n">
        <f aca="false">AR195-AQ195^2/3</f>
        <v>-0.266219491031267</v>
      </c>
      <c r="AU195" s="60" t="n">
        <f aca="false">2*AQ195^3/27-AQ195*AR195/3+AS195</f>
        <v>-0.0636400988362784</v>
      </c>
      <c r="AV195" s="60" t="n">
        <f aca="false">AU195^2/4+AT195^3/27</f>
        <v>0.000313710901361829</v>
      </c>
      <c r="AW195" s="60" t="n">
        <f aca="false">-AU195/2-IF(AU195&gt;=0,1,-1)*SQRT(MAX(AV195,0))</f>
        <v>0.0495319352963236</v>
      </c>
      <c r="AX195" s="60" t="n">
        <f aca="false">SIGN(AW195)*ABS(AW195)^(1/3)</f>
        <v>0.367249967174439</v>
      </c>
      <c r="AY195" s="60" t="n">
        <f aca="false">IF(AX195=0,0,AX195-AT195/(3*AX195))</f>
        <v>0.60888329127384</v>
      </c>
      <c r="AZ195" s="60" t="n">
        <f aca="false">2*SQRT(MAX(-AT195,0)/3)</f>
        <v>0.595784626668918</v>
      </c>
      <c r="BA195" s="60" t="n">
        <f aca="false">ACOS(IF(AZ195=0,0,MAX(-1,MIN(1,3*AU195/(AT195*AZ195)))))</f>
        <v>0</v>
      </c>
      <c r="BB195" s="60" t="n">
        <f aca="false">AZ195*COS(BA195/3)</f>
        <v>0.595784626668918</v>
      </c>
      <c r="BC195" s="60" t="n">
        <f aca="false">IF(AV195&lt;0,BB195,AY195)-AQ195/3</f>
        <v>0.91158844983184</v>
      </c>
      <c r="BD195" s="60" t="n">
        <f aca="false">IFERROR((((BC195+AQ195)*BC195+AR195)*BC195+AS195)/((3*BC195+2*AQ195)*BC195+AR195),0)</f>
        <v>0</v>
      </c>
      <c r="BE195" s="60" t="n">
        <f aca="false">IF(ABS(BD195)&lt;0.1*ABS(BC195),BC195-BD195,BC195)</f>
        <v>0.91158844983184</v>
      </c>
      <c r="BF195" s="60" t="n">
        <f aca="false">IFERROR((((BE195+AQ195)*BE195+AR195)*BE195+AS195)/((3*BE195+2*AQ195)*BE195+AR195),0)</f>
        <v>0</v>
      </c>
      <c r="BG195" s="60" t="n">
        <f aca="false">IF(ABS(BF195)&lt;0.1*ABS(BE195),BE195-BF195,BE195)</f>
        <v>0.91158844983184</v>
      </c>
      <c r="BH195" s="60" t="n">
        <f aca="false">-AS195/BG195</f>
        <v>0.0118376711504565</v>
      </c>
      <c r="BI195" s="60" t="n">
        <f aca="false">(AR195-BH195)/BG195</f>
        <v>-0.00347297415783941</v>
      </c>
      <c r="BJ195" s="60" t="n">
        <f aca="false">BI195^2-4*BH195</f>
        <v>-0.0473386230523248</v>
      </c>
      <c r="BK195" s="60" t="n">
        <f aca="false">IF(BJ195&gt;=0,(BI195+IF(BI195&gt;=0,1,-1)*SQRT(BJ195))/2,0)</f>
        <v>0</v>
      </c>
      <c r="BL195" s="60" t="n">
        <f aca="false">IF(AND(BJ195&gt;=0,BK195&lt;&gt;0),MIN(BK195,BH195/BK195),-1)</f>
        <v>-1</v>
      </c>
      <c r="BM195" s="60" t="n">
        <f aca="false">AND(BJ195&gt;=0,BL195&gt;AP195,ABS(BG195-BL195)&gt;=0.00005*MAX(BG195,BL195))</f>
        <v>0</v>
      </c>
      <c r="BN195" s="60" t="n">
        <f aca="false">IF(BM195,IFERROR((((BL195+AQ195)*BL195+AR195)*BL195+AS195)/((3*BL195+2*AQ195)*BL195+AR195),0),0)</f>
        <v>0</v>
      </c>
      <c r="BO195" s="60" t="n">
        <f aca="false">IF(ABS(BN195)&lt;0.1*ABS(BL195),BL195-BN195,BL195)</f>
        <v>-1</v>
      </c>
      <c r="BP195" s="60" t="n">
        <f aca="false">IF(BM195,IFERROR((((BO195+AQ195)*BO195+AR195)*BO195+AS195)/((3*BO195+2*AQ195)*BO195+AR195),0),0)</f>
        <v>0</v>
      </c>
      <c r="BQ195" s="60" t="n">
        <f aca="false">IF(ABS(BP195)&lt;0.1*ABS(BO195),BO195-BP195,BO195)</f>
        <v>-1</v>
      </c>
      <c r="BR195" s="60" t="n">
        <f aca="false">IF(BM195,MAX(BG195,BQ195),BG195)</f>
        <v>0.91158844983184</v>
      </c>
      <c r="BS195" s="60" t="n">
        <f aca="false">IF(BM195,MIN(BG195,BQ195),-1)</f>
        <v>-1</v>
      </c>
      <c r="BT195" s="60" t="n">
        <f aca="false">CHOOSE($C$7,AO195/BR195,AO195/AP195*LN(1+AP195/BR195),AO195/(2*SQRT(2)*AP195)*LN((BR195+(1+SQRT(2))*AP195)/(BR195+(1-SQRT(2))*AP195)))</f>
        <v>0.218240791233887</v>
      </c>
      <c r="BU195" s="60" t="n">
        <f aca="false">BR195-1-LN(BR195-AP195)-BT195</f>
        <v>-0.107840271021729</v>
      </c>
      <c r="BV195" s="60" t="n">
        <f aca="false">IF(BM195,CHOOSE($C$7,AO195/BS195,AO195/AP195*LN(1+AP195/BS195),AO195/(2*SQRT(2)*AP195)*LN((BS195+(1+SQRT(2))*AP195)/(BS195+(1-SQRT(2))*AP195))),0)</f>
        <v>0</v>
      </c>
      <c r="BW195" s="60" t="n">
        <f aca="false">IF(BM195,BS195-1-LN(BS195-AP195)-BV195,0)</f>
        <v>0</v>
      </c>
      <c r="BX195" s="60" t="n">
        <f aca="false">AND(BM195,BW195&lt;BU195)</f>
        <v>0</v>
      </c>
      <c r="BY195" s="60" t="n">
        <f aca="false">IF(BX195,BS195,BR195)</f>
        <v>0.91158844983184</v>
      </c>
      <c r="BZ195" s="60" t="n">
        <f aca="false">IF(BX195,BV195,BT195)</f>
        <v>0.218240791233887</v>
      </c>
      <c r="CA195" s="60" t="n">
        <f aca="false">LN(BY195-AP195)</f>
        <v>-0.198812070380318</v>
      </c>
      <c r="CB195" s="60" t="n">
        <f aca="false">$E$27/AN195*(BY195-1)-CA195-BZ195*(2*AA195/AM195-$E$27/AN195)</f>
        <v>-0.107840271021729</v>
      </c>
      <c r="CC195" s="60" t="n">
        <f aca="false">$F$27/AN195*(BY195-1)-CA195-BZ195*(2*AB195/AM195-$F$27/AN195)</f>
        <v>0.198812070380318</v>
      </c>
      <c r="CD195" s="60" t="n">
        <f aca="false">$G$27/AN195*(BY195-1)-CA195-BZ195*(2*AC195/AM195-$G$27/AN195)</f>
        <v>0.198812070380318</v>
      </c>
      <c r="CE195" s="60" t="n">
        <f aca="false">$H$27/AN195*(BY195-1)-CA195-BZ195*(2*AD195/AM195-$H$27/AN195)</f>
        <v>0.198812070380318</v>
      </c>
      <c r="CF195" s="60" t="n">
        <f aca="false">$I$27/AN195*(BY195-1)-CA195-BZ195*(2*AE195/AM195-$I$27/AN195)</f>
        <v>0.198812070380318</v>
      </c>
      <c r="CG195" s="60" t="n">
        <f aca="false">$J$27/AN195*(BY195-1)-CA195-BZ195*(2*AF195/AM195-$J$27/AN195)</f>
        <v>0.198812070380318</v>
      </c>
      <c r="CH195" s="60" t="n">
        <f aca="false">$K$27/AN195*(BY195-1)-CA195-BZ195*(2*AG195/AM195-$K$27/AN195)</f>
        <v>0.198812070380318</v>
      </c>
      <c r="CI195" s="60" t="n">
        <f aca="false">$L$27/AN195*(BY195-1)-CA195-BZ195*(2*AH195/AM195-$L$27/AN195)</f>
        <v>0.198812070380318</v>
      </c>
      <c r="CJ195" s="60" t="n">
        <f aca="false">$M$27/AN195*(BY195-1)-CA195-BZ195*(2*AI195/AM195-$M$27/AN195)</f>
        <v>0.198812070380318</v>
      </c>
      <c r="CK195" s="60" t="n">
        <f aca="false">$N$27/AN195*(BY195-1)-CA195-BZ195*(2*AJ195/AM195-$N$27/AN195)</f>
        <v>0.198812070380318</v>
      </c>
      <c r="CL195" s="60" t="n">
        <f aca="false">$O$27/AN195*(BY195-1)-CA195-BZ195*(2*AK195/AM195-$O$27/AN195)</f>
        <v>0.198812070380318</v>
      </c>
      <c r="CM195" s="60" t="n">
        <f aca="false">$P$27/AN195*(BY195-1)-CA195-BZ195*(2*AL195/AM195-$P$27/AN195)</f>
        <v>0.198812070380318</v>
      </c>
      <c r="CN195" s="60" t="n">
        <f aca="false">AP195/BY195&gt;$C$22</f>
        <v>0</v>
      </c>
      <c r="CO195" s="60" t="n">
        <f aca="false">1-N195+SUMPRODUCT(B195:M195,CB195:CM195)-SUMPRODUCT(B195:M195,CB194:CM194)</f>
        <v>0</v>
      </c>
      <c r="CP195" s="60" t="n">
        <f aca="false">SUMXMY2(O195:Z195,$E$13:$P$13)</f>
        <v>0</v>
      </c>
    </row>
    <row r="196" customFormat="false" ht="15" hidden="false" customHeight="false" outlineLevel="0" collapsed="false">
      <c r="A196" s="59" t="n">
        <v>31</v>
      </c>
      <c r="B196" s="60" t="n">
        <f aca="false">$E$13*EXP(MAX(-700,MIN(700,$E$86-CB195)))</f>
        <v>1</v>
      </c>
      <c r="C196" s="60" t="n">
        <f aca="false">$F$13*EXP(MAX(-700,MIN(700,$F$86-CC195)))</f>
        <v>0</v>
      </c>
      <c r="D196" s="60" t="n">
        <f aca="false">$G$13*EXP(MAX(-700,MIN(700,$G$86-CD195)))</f>
        <v>0</v>
      </c>
      <c r="E196" s="60" t="n">
        <f aca="false">$H$13*EXP(MAX(-700,MIN(700,$H$86-CE195)))</f>
        <v>0</v>
      </c>
      <c r="F196" s="60" t="n">
        <f aca="false">$I$13*EXP(MAX(-700,MIN(700,$I$86-CF195)))</f>
        <v>0</v>
      </c>
      <c r="G196" s="60" t="n">
        <f aca="false">$J$13*EXP(MAX(-700,MIN(700,$J$86-CG195)))</f>
        <v>0</v>
      </c>
      <c r="H196" s="60" t="n">
        <f aca="false">$K$13*EXP(MAX(-700,MIN(700,$K$86-CH195)))</f>
        <v>0</v>
      </c>
      <c r="I196" s="60" t="n">
        <f aca="false">$L$13*EXP(MAX(-700,MIN(700,$L$86-CI195)))</f>
        <v>0</v>
      </c>
      <c r="J196" s="60" t="n">
        <f aca="false">$M$13*EXP(MAX(-700,MIN(700,$M$86-CJ195)))</f>
        <v>0</v>
      </c>
      <c r="K196" s="60" t="n">
        <f aca="false">$N$13*EXP(MAX(-700,MIN(700,$N$86-CK195)))</f>
        <v>0</v>
      </c>
      <c r="L196" s="60" t="n">
        <f aca="false">$O$13*EXP(MAX(-700,MIN(700,$O$86-CL195)))</f>
        <v>0</v>
      </c>
      <c r="M196" s="60" t="n">
        <f aca="false">$P$13*EXP(MAX(-700,MIN(700,$P$86-CM195)))</f>
        <v>0</v>
      </c>
      <c r="N196" s="60" t="n">
        <f aca="false">SUM(B196:M196)</f>
        <v>1</v>
      </c>
      <c r="O196" s="60" t="n">
        <f aca="false">B196/N196</f>
        <v>1</v>
      </c>
      <c r="P196" s="60" t="n">
        <f aca="false">C196/N196</f>
        <v>0</v>
      </c>
      <c r="Q196" s="60" t="n">
        <f aca="false">D196/N196</f>
        <v>0</v>
      </c>
      <c r="R196" s="60" t="n">
        <f aca="false">E196/N196</f>
        <v>0</v>
      </c>
      <c r="S196" s="60" t="n">
        <f aca="false">F196/N196</f>
        <v>0</v>
      </c>
      <c r="T196" s="60" t="n">
        <f aca="false">G196/N196</f>
        <v>0</v>
      </c>
      <c r="U196" s="60" t="n">
        <f aca="false">H196/N196</f>
        <v>0</v>
      </c>
      <c r="V196" s="60" t="n">
        <f aca="false">I196/N196</f>
        <v>0</v>
      </c>
      <c r="W196" s="60" t="n">
        <f aca="false">J196/N196</f>
        <v>0</v>
      </c>
      <c r="X196" s="60" t="n">
        <f aca="false">K196/N196</f>
        <v>0</v>
      </c>
      <c r="Y196" s="60" t="n">
        <f aca="false">L196/N196</f>
        <v>0</v>
      </c>
      <c r="Z196" s="60" t="n">
        <f aca="false">M196/N196</f>
        <v>0</v>
      </c>
      <c r="AA196" s="60" t="n">
        <f aca="false">$E$28*SUMPRODUCT($E$31:$P$31,O196:Z196,$E$28:$P$28)</f>
        <v>0.184416866619846</v>
      </c>
      <c r="AB196" s="60" t="n">
        <f aca="false">$F$28*SUMPRODUCT($E$32:$P$32,O196:Z196,$E$28:$P$28)</f>
        <v>0</v>
      </c>
      <c r="AC196" s="60" t="n">
        <f aca="false">$G$28*SUMPRODUCT($E$33:$P$33,O196:Z196,$E$28:$P$28)</f>
        <v>0</v>
      </c>
      <c r="AD196" s="60" t="n">
        <f aca="false">$H$28*SUMPRODUCT($E$34:$P$34,O196:Z196,$E$28:$P$28)</f>
        <v>0</v>
      </c>
      <c r="AE196" s="60" t="n">
        <f aca="false">$I$28*SUMPRODUCT($E$35:$P$35,O196:Z196,$E$28:$P$28)</f>
        <v>0</v>
      </c>
      <c r="AF196" s="60" t="n">
        <f aca="false">$J$28*SUMPRODUCT($E$36:$P$36,O196:Z196,$E$28:$P$28)</f>
        <v>0</v>
      </c>
      <c r="AG196" s="60" t="n">
        <f aca="false">$K$28*SUMPRODUCT($E$37:$P$37,O196:Z196,$E$28:$P$28)</f>
        <v>0</v>
      </c>
      <c r="AH196" s="60" t="n">
        <f aca="false">$L$28*SUMPRODUCT($E$38:$P$38,O196:Z196,$E$28:$P$28)</f>
        <v>0</v>
      </c>
      <c r="AI196" s="60" t="n">
        <f aca="false">$M$28*SUMPRODUCT($E$39:$P$39,O196:Z196,$E$28:$P$28)</f>
        <v>0</v>
      </c>
      <c r="AJ196" s="60" t="n">
        <f aca="false">$N$28*SUMPRODUCT($E$40:$P$40,O196:Z196,$E$28:$P$28)</f>
        <v>0</v>
      </c>
      <c r="AK196" s="60" t="n">
        <f aca="false">$O$28*SUMPRODUCT($E$41:$P$41,O196:Z196,$E$28:$P$28)</f>
        <v>0</v>
      </c>
      <c r="AL196" s="60" t="n">
        <f aca="false">$P$28*SUMPRODUCT($E$42:$P$42,O196:Z196,$E$28:$P$28)</f>
        <v>0</v>
      </c>
      <c r="AM196" s="60" t="n">
        <f aca="false">SUMPRODUCT(O196:Z196,AA196:AL196)</f>
        <v>0.184416866619846</v>
      </c>
      <c r="AN196" s="60" t="n">
        <f aca="false">SUMPRODUCT(O196:Z196,$E$27:$P$27)</f>
        <v>2.67389635063809E-005</v>
      </c>
      <c r="AO196" s="60" t="n">
        <f aca="false">AM196*$C$9/($C$10*$C$8)^2</f>
        <v>0.21776909410545</v>
      </c>
      <c r="AP196" s="60" t="n">
        <f aca="false">AN196*$C$9/($C$10*$C$8)</f>
        <v>0.0918845243259994</v>
      </c>
      <c r="AQ196" s="60" t="n">
        <f aca="false">CHOOSE($C$7,-(1+AP196),-1,-(1-AP196))</f>
        <v>-0.908115475674001</v>
      </c>
      <c r="AR196" s="60" t="n">
        <f aca="false">CHOOSE($C$7,AO196,AO196-AP196-AP196^2,AO196-3*AP196^2-2*AP196)</f>
        <v>0.00867174802160559</v>
      </c>
      <c r="AS196" s="60" t="n">
        <f aca="false">CHOOSE($C$7,-AO196*AP196,-AO196*AP196,-(AO196*AP196-AP196^2-AP196^3))</f>
        <v>-0.0107910842936637</v>
      </c>
      <c r="AT196" s="60" t="n">
        <f aca="false">AR196-AQ196^2/3</f>
        <v>-0.266219491031267</v>
      </c>
      <c r="AU196" s="60" t="n">
        <f aca="false">2*AQ196^3/27-AQ196*AR196/3+AS196</f>
        <v>-0.0636400988362784</v>
      </c>
      <c r="AV196" s="60" t="n">
        <f aca="false">AU196^2/4+AT196^3/27</f>
        <v>0.000313710901361829</v>
      </c>
      <c r="AW196" s="60" t="n">
        <f aca="false">-AU196/2-IF(AU196&gt;=0,1,-1)*SQRT(MAX(AV196,0))</f>
        <v>0.0495319352963236</v>
      </c>
      <c r="AX196" s="60" t="n">
        <f aca="false">SIGN(AW196)*ABS(AW196)^(1/3)</f>
        <v>0.367249967174439</v>
      </c>
      <c r="AY196" s="60" t="n">
        <f aca="false">IF(AX196=0,0,AX196-AT196/(3*AX196))</f>
        <v>0.60888329127384</v>
      </c>
      <c r="AZ196" s="60" t="n">
        <f aca="false">2*SQRT(MAX(-AT196,0)/3)</f>
        <v>0.595784626668918</v>
      </c>
      <c r="BA196" s="60" t="n">
        <f aca="false">ACOS(IF(AZ196=0,0,MAX(-1,MIN(1,3*AU196/(AT196*AZ196)))))</f>
        <v>0</v>
      </c>
      <c r="BB196" s="60" t="n">
        <f aca="false">AZ196*COS(BA196/3)</f>
        <v>0.595784626668918</v>
      </c>
      <c r="BC196" s="60" t="n">
        <f aca="false">IF(AV196&lt;0,BB196,AY196)-AQ196/3</f>
        <v>0.91158844983184</v>
      </c>
      <c r="BD196" s="60" t="n">
        <f aca="false">IFERROR((((BC196+AQ196)*BC196+AR196)*BC196+AS196)/((3*BC196+2*AQ196)*BC196+AR196),0)</f>
        <v>0</v>
      </c>
      <c r="BE196" s="60" t="n">
        <f aca="false">IF(ABS(BD196)&lt;0.1*ABS(BC196),BC196-BD196,BC196)</f>
        <v>0.91158844983184</v>
      </c>
      <c r="BF196" s="60" t="n">
        <f aca="false">IFERROR((((BE196+AQ196)*BE196+AR196)*BE196+AS196)/((3*BE196+2*AQ196)*BE196+AR196),0)</f>
        <v>0</v>
      </c>
      <c r="BG196" s="60" t="n">
        <f aca="false">IF(ABS(BF196)&lt;0.1*ABS(BE196),BE196-BF196,BE196)</f>
        <v>0.91158844983184</v>
      </c>
      <c r="BH196" s="60" t="n">
        <f aca="false">-AS196/BG196</f>
        <v>0.0118376711504565</v>
      </c>
      <c r="BI196" s="60" t="n">
        <f aca="false">(AR196-BH196)/BG196</f>
        <v>-0.00347297415783941</v>
      </c>
      <c r="BJ196" s="60" t="n">
        <f aca="false">BI196^2-4*BH196</f>
        <v>-0.0473386230523248</v>
      </c>
      <c r="BK196" s="60" t="n">
        <f aca="false">IF(BJ196&gt;=0,(BI196+IF(BI196&gt;=0,1,-1)*SQRT(BJ196))/2,0)</f>
        <v>0</v>
      </c>
      <c r="BL196" s="60" t="n">
        <f aca="false">IF(AND(BJ196&gt;=0,BK196&lt;&gt;0),MIN(BK196,BH196/BK196),-1)</f>
        <v>-1</v>
      </c>
      <c r="BM196" s="60" t="n">
        <f aca="false">AND(BJ196&gt;=0,BL196&gt;AP196,ABS(BG196-BL196)&gt;=0.00005*MAX(BG196,BL196))</f>
        <v>0</v>
      </c>
      <c r="BN196" s="60" t="n">
        <f aca="false">IF(BM196,IFERROR((((BL196+AQ196)*BL196+AR196)*BL196+AS196)/((3*BL196+2*AQ196)*BL196+AR196),0),0)</f>
        <v>0</v>
      </c>
      <c r="BO196" s="60" t="n">
        <f aca="false">IF(ABS(BN196)&lt;0.1*ABS(BL196),BL196-BN196,BL196)</f>
        <v>-1</v>
      </c>
      <c r="BP196" s="60" t="n">
        <f aca="false">IF(BM196,IFERROR((((BO196+AQ196)*BO196+AR196)*BO196+AS196)/((3*BO196+2*AQ196)*BO196+AR196),0),0)</f>
        <v>0</v>
      </c>
      <c r="BQ196" s="60" t="n">
        <f aca="false">IF(ABS(BP196)&lt;0.1*ABS(BO196),BO196-BP196,BO196)</f>
        <v>-1</v>
      </c>
      <c r="BR196" s="60" t="n">
        <f aca="false">IF(BM196,MAX(BG196,BQ196),BG196)</f>
        <v>0.91158844983184</v>
      </c>
      <c r="BS196" s="60" t="n">
        <f aca="false">IF(BM196,MIN(BG196,BQ196),-1)</f>
        <v>-1</v>
      </c>
      <c r="BT196" s="60" t="n">
        <f aca="false">CHOOSE($C$7,AO196/BR196,AO196/AP196*LN(1+AP196/BR196),AO196/(2*SQRT(2)*AP196)*LN((BR196+(1+SQRT(2))*AP196)/(BR196+(1-SQRT(2))*AP196)))</f>
        <v>0.218240791233887</v>
      </c>
      <c r="BU196" s="60" t="n">
        <f aca="false">BR196-1-LN(BR196-AP196)-BT196</f>
        <v>-0.107840271021729</v>
      </c>
      <c r="BV196" s="60" t="n">
        <f aca="false">IF(BM196,CHOOSE($C$7,AO196/BS196,AO196/AP196*LN(1+AP196/BS196),AO196/(2*SQRT(2)*AP196)*LN((BS196+(1+SQRT(2))*AP196)/(BS196+(1-SQRT(2))*AP196))),0)</f>
        <v>0</v>
      </c>
      <c r="BW196" s="60" t="n">
        <f aca="false">IF(BM196,BS196-1-LN(BS196-AP196)-BV196,0)</f>
        <v>0</v>
      </c>
      <c r="BX196" s="60" t="n">
        <f aca="false">AND(BM196,BW196&lt;BU196)</f>
        <v>0</v>
      </c>
      <c r="BY196" s="60" t="n">
        <f aca="false">IF(BX196,BS196,BR196)</f>
        <v>0.91158844983184</v>
      </c>
      <c r="BZ196" s="60" t="n">
        <f aca="false">IF(BX196,BV196,BT196)</f>
        <v>0.218240791233887</v>
      </c>
      <c r="CA196" s="60" t="n">
        <f aca="false">LN(BY196-AP196)</f>
        <v>-0.198812070380318</v>
      </c>
      <c r="CB196" s="60" t="n">
        <f aca="false">$E$27/AN196*(BY196-1)-CA196-BZ196*(2*AA196/AM196-$E$27/AN196)</f>
        <v>-0.107840271021729</v>
      </c>
      <c r="CC196" s="60" t="n">
        <f aca="false">$F$27/AN196*(BY196-1)-CA196-BZ196*(2*AB196/AM196-$F$27/AN196)</f>
        <v>0.198812070380318</v>
      </c>
      <c r="CD196" s="60" t="n">
        <f aca="false">$G$27/AN196*(BY196-1)-CA196-BZ196*(2*AC196/AM196-$G$27/AN196)</f>
        <v>0.198812070380318</v>
      </c>
      <c r="CE196" s="60" t="n">
        <f aca="false">$H$27/AN196*(BY196-1)-CA196-BZ196*(2*AD196/AM196-$H$27/AN196)</f>
        <v>0.198812070380318</v>
      </c>
      <c r="CF196" s="60" t="n">
        <f aca="false">$I$27/AN196*(BY196-1)-CA196-BZ196*(2*AE196/AM196-$I$27/AN196)</f>
        <v>0.198812070380318</v>
      </c>
      <c r="CG196" s="60" t="n">
        <f aca="false">$J$27/AN196*(BY196-1)-CA196-BZ196*(2*AF196/AM196-$J$27/AN196)</f>
        <v>0.198812070380318</v>
      </c>
      <c r="CH196" s="60" t="n">
        <f aca="false">$K$27/AN196*(BY196-1)-CA196-BZ196*(2*AG196/AM196-$K$27/AN196)</f>
        <v>0.198812070380318</v>
      </c>
      <c r="CI196" s="60" t="n">
        <f aca="false">$L$27/AN196*(BY196-1)-CA196-BZ196*(2*AH196/AM196-$L$27/AN196)</f>
        <v>0.198812070380318</v>
      </c>
      <c r="CJ196" s="60" t="n">
        <f aca="false">$M$27/AN196*(BY196-1)-CA196-BZ196*(2*AI196/AM196-$M$27/AN196)</f>
        <v>0.198812070380318</v>
      </c>
      <c r="CK196" s="60" t="n">
        <f aca="false">$N$27/AN196*(BY196-1)-CA196-BZ196*(2*AJ196/AM196-$N$27/AN196)</f>
        <v>0.198812070380318</v>
      </c>
      <c r="CL196" s="60" t="n">
        <f aca="false">$O$27/AN196*(BY196-1)-CA196-BZ196*(2*AK196/AM196-$O$27/AN196)</f>
        <v>0.198812070380318</v>
      </c>
      <c r="CM196" s="60" t="n">
        <f aca="false">$P$27/AN196*(BY196-1)-CA196-BZ196*(2*AL196/AM196-$P$27/AN196)</f>
        <v>0.198812070380318</v>
      </c>
      <c r="CN196" s="60" t="n">
        <f aca="false">AP196/BY196&gt;$C$22</f>
        <v>0</v>
      </c>
      <c r="CO196" s="60" t="n">
        <f aca="false">1-N196+SUMPRODUCT(B196:M196,CB196:CM196)-SUMPRODUCT(B196:M196,CB195:CM195)</f>
        <v>0</v>
      </c>
      <c r="CP196" s="60" t="n">
        <f aca="false">SUMXMY2(O196:Z196,$E$13:$P$13)</f>
        <v>0</v>
      </c>
    </row>
    <row r="197" customFormat="false" ht="15" hidden="false" customHeight="false" outlineLevel="0" collapsed="false">
      <c r="A197" s="59" t="n">
        <v>32</v>
      </c>
      <c r="B197" s="60" t="n">
        <f aca="false">$E$13*EXP(MAX(-700,MIN(700,$E$86-CB196)))</f>
        <v>1</v>
      </c>
      <c r="C197" s="60" t="n">
        <f aca="false">$F$13*EXP(MAX(-700,MIN(700,$F$86-CC196)))</f>
        <v>0</v>
      </c>
      <c r="D197" s="60" t="n">
        <f aca="false">$G$13*EXP(MAX(-700,MIN(700,$G$86-CD196)))</f>
        <v>0</v>
      </c>
      <c r="E197" s="60" t="n">
        <f aca="false">$H$13*EXP(MAX(-700,MIN(700,$H$86-CE196)))</f>
        <v>0</v>
      </c>
      <c r="F197" s="60" t="n">
        <f aca="false">$I$13*EXP(MAX(-700,MIN(700,$I$86-CF196)))</f>
        <v>0</v>
      </c>
      <c r="G197" s="60" t="n">
        <f aca="false">$J$13*EXP(MAX(-700,MIN(700,$J$86-CG196)))</f>
        <v>0</v>
      </c>
      <c r="H197" s="60" t="n">
        <f aca="false">$K$13*EXP(MAX(-700,MIN(700,$K$86-CH196)))</f>
        <v>0</v>
      </c>
      <c r="I197" s="60" t="n">
        <f aca="false">$L$13*EXP(MAX(-700,MIN(700,$L$86-CI196)))</f>
        <v>0</v>
      </c>
      <c r="J197" s="60" t="n">
        <f aca="false">$M$13*EXP(MAX(-700,MIN(700,$M$86-CJ196)))</f>
        <v>0</v>
      </c>
      <c r="K197" s="60" t="n">
        <f aca="false">$N$13*EXP(MAX(-700,MIN(700,$N$86-CK196)))</f>
        <v>0</v>
      </c>
      <c r="L197" s="60" t="n">
        <f aca="false">$O$13*EXP(MAX(-700,MIN(700,$O$86-CL196)))</f>
        <v>0</v>
      </c>
      <c r="M197" s="60" t="n">
        <f aca="false">$P$13*EXP(MAX(-700,MIN(700,$P$86-CM196)))</f>
        <v>0</v>
      </c>
      <c r="N197" s="60" t="n">
        <f aca="false">SUM(B197:M197)</f>
        <v>1</v>
      </c>
      <c r="O197" s="60" t="n">
        <f aca="false">B197/N197</f>
        <v>1</v>
      </c>
      <c r="P197" s="60" t="n">
        <f aca="false">C197/N197</f>
        <v>0</v>
      </c>
      <c r="Q197" s="60" t="n">
        <f aca="false">D197/N197</f>
        <v>0</v>
      </c>
      <c r="R197" s="60" t="n">
        <f aca="false">E197/N197</f>
        <v>0</v>
      </c>
      <c r="S197" s="60" t="n">
        <f aca="false">F197/N197</f>
        <v>0</v>
      </c>
      <c r="T197" s="60" t="n">
        <f aca="false">G197/N197</f>
        <v>0</v>
      </c>
      <c r="U197" s="60" t="n">
        <f aca="false">H197/N197</f>
        <v>0</v>
      </c>
      <c r="V197" s="60" t="n">
        <f aca="false">I197/N197</f>
        <v>0</v>
      </c>
      <c r="W197" s="60" t="n">
        <f aca="false">J197/N197</f>
        <v>0</v>
      </c>
      <c r="X197" s="60" t="n">
        <f aca="false">K197/N197</f>
        <v>0</v>
      </c>
      <c r="Y197" s="60" t="n">
        <f aca="false">L197/N197</f>
        <v>0</v>
      </c>
      <c r="Z197" s="60" t="n">
        <f aca="false">M197/N197</f>
        <v>0</v>
      </c>
      <c r="AA197" s="60" t="n">
        <f aca="false">$E$28*SUMPRODUCT($E$31:$P$31,O197:Z197,$E$28:$P$28)</f>
        <v>0.184416866619846</v>
      </c>
      <c r="AB197" s="60" t="n">
        <f aca="false">$F$28*SUMPRODUCT($E$32:$P$32,O197:Z197,$E$28:$P$28)</f>
        <v>0</v>
      </c>
      <c r="AC197" s="60" t="n">
        <f aca="false">$G$28*SUMPRODUCT($E$33:$P$33,O197:Z197,$E$28:$P$28)</f>
        <v>0</v>
      </c>
      <c r="AD197" s="60" t="n">
        <f aca="false">$H$28*SUMPRODUCT($E$34:$P$34,O197:Z197,$E$28:$P$28)</f>
        <v>0</v>
      </c>
      <c r="AE197" s="60" t="n">
        <f aca="false">$I$28*SUMPRODUCT($E$35:$P$35,O197:Z197,$E$28:$P$28)</f>
        <v>0</v>
      </c>
      <c r="AF197" s="60" t="n">
        <f aca="false">$J$28*SUMPRODUCT($E$36:$P$36,O197:Z197,$E$28:$P$28)</f>
        <v>0</v>
      </c>
      <c r="AG197" s="60" t="n">
        <f aca="false">$K$28*SUMPRODUCT($E$37:$P$37,O197:Z197,$E$28:$P$28)</f>
        <v>0</v>
      </c>
      <c r="AH197" s="60" t="n">
        <f aca="false">$L$28*SUMPRODUCT($E$38:$P$38,O197:Z197,$E$28:$P$28)</f>
        <v>0</v>
      </c>
      <c r="AI197" s="60" t="n">
        <f aca="false">$M$28*SUMPRODUCT($E$39:$P$39,O197:Z197,$E$28:$P$28)</f>
        <v>0</v>
      </c>
      <c r="AJ197" s="60" t="n">
        <f aca="false">$N$28*SUMPRODUCT($E$40:$P$40,O197:Z197,$E$28:$P$28)</f>
        <v>0</v>
      </c>
      <c r="AK197" s="60" t="n">
        <f aca="false">$O$28*SUMPRODUCT($E$41:$P$41,O197:Z197,$E$28:$P$28)</f>
        <v>0</v>
      </c>
      <c r="AL197" s="60" t="n">
        <f aca="false">$P$28*SUMPRODUCT($E$42:$P$42,O197:Z197,$E$28:$P$28)</f>
        <v>0</v>
      </c>
      <c r="AM197" s="60" t="n">
        <f aca="false">SUMPRODUCT(O197:Z197,AA197:AL197)</f>
        <v>0.184416866619846</v>
      </c>
      <c r="AN197" s="60" t="n">
        <f aca="false">SUMPRODUCT(O197:Z197,$E$27:$P$27)</f>
        <v>2.67389635063809E-005</v>
      </c>
      <c r="AO197" s="60" t="n">
        <f aca="false">AM197*$C$9/($C$10*$C$8)^2</f>
        <v>0.21776909410545</v>
      </c>
      <c r="AP197" s="60" t="n">
        <f aca="false">AN197*$C$9/($C$10*$C$8)</f>
        <v>0.0918845243259994</v>
      </c>
      <c r="AQ197" s="60" t="n">
        <f aca="false">CHOOSE($C$7,-(1+AP197),-1,-(1-AP197))</f>
        <v>-0.908115475674001</v>
      </c>
      <c r="AR197" s="60" t="n">
        <f aca="false">CHOOSE($C$7,AO197,AO197-AP197-AP197^2,AO197-3*AP197^2-2*AP197)</f>
        <v>0.00867174802160559</v>
      </c>
      <c r="AS197" s="60" t="n">
        <f aca="false">CHOOSE($C$7,-AO197*AP197,-AO197*AP197,-(AO197*AP197-AP197^2-AP197^3))</f>
        <v>-0.0107910842936637</v>
      </c>
      <c r="AT197" s="60" t="n">
        <f aca="false">AR197-AQ197^2/3</f>
        <v>-0.266219491031267</v>
      </c>
      <c r="AU197" s="60" t="n">
        <f aca="false">2*AQ197^3/27-AQ197*AR197/3+AS197</f>
        <v>-0.0636400988362784</v>
      </c>
      <c r="AV197" s="60" t="n">
        <f aca="false">AU197^2/4+AT197^3/27</f>
        <v>0.000313710901361829</v>
      </c>
      <c r="AW197" s="60" t="n">
        <f aca="false">-AU197/2-IF(AU197&gt;=0,1,-1)*SQRT(MAX(AV197,0))</f>
        <v>0.0495319352963236</v>
      </c>
      <c r="AX197" s="60" t="n">
        <f aca="false">SIGN(AW197)*ABS(AW197)^(1/3)</f>
        <v>0.367249967174439</v>
      </c>
      <c r="AY197" s="60" t="n">
        <f aca="false">IF(AX197=0,0,AX197-AT197/(3*AX197))</f>
        <v>0.60888329127384</v>
      </c>
      <c r="AZ197" s="60" t="n">
        <f aca="false">2*SQRT(MAX(-AT197,0)/3)</f>
        <v>0.595784626668918</v>
      </c>
      <c r="BA197" s="60" t="n">
        <f aca="false">ACOS(IF(AZ197=0,0,MAX(-1,MIN(1,3*AU197/(AT197*AZ197)))))</f>
        <v>0</v>
      </c>
      <c r="BB197" s="60" t="n">
        <f aca="false">AZ197*COS(BA197/3)</f>
        <v>0.595784626668918</v>
      </c>
      <c r="BC197" s="60" t="n">
        <f aca="false">IF(AV197&lt;0,BB197,AY197)-AQ197/3</f>
        <v>0.91158844983184</v>
      </c>
      <c r="BD197" s="60" t="n">
        <f aca="false">IFERROR((((BC197+AQ197)*BC197+AR197)*BC197+AS197)/((3*BC197+2*AQ197)*BC197+AR197),0)</f>
        <v>0</v>
      </c>
      <c r="BE197" s="60" t="n">
        <f aca="false">IF(ABS(BD197)&lt;0.1*ABS(BC197),BC197-BD197,BC197)</f>
        <v>0.91158844983184</v>
      </c>
      <c r="BF197" s="60" t="n">
        <f aca="false">IFERROR((((BE197+AQ197)*BE197+AR197)*BE197+AS197)/((3*BE197+2*AQ197)*BE197+AR197),0)</f>
        <v>0</v>
      </c>
      <c r="BG197" s="60" t="n">
        <f aca="false">IF(ABS(BF197)&lt;0.1*ABS(BE197),BE197-BF197,BE197)</f>
        <v>0.91158844983184</v>
      </c>
      <c r="BH197" s="60" t="n">
        <f aca="false">-AS197/BG197</f>
        <v>0.0118376711504565</v>
      </c>
      <c r="BI197" s="60" t="n">
        <f aca="false">(AR197-BH197)/BG197</f>
        <v>-0.00347297415783941</v>
      </c>
      <c r="BJ197" s="60" t="n">
        <f aca="false">BI197^2-4*BH197</f>
        <v>-0.0473386230523248</v>
      </c>
      <c r="BK197" s="60" t="n">
        <f aca="false">IF(BJ197&gt;=0,(BI197+IF(BI197&gt;=0,1,-1)*SQRT(BJ197))/2,0)</f>
        <v>0</v>
      </c>
      <c r="BL197" s="60" t="n">
        <f aca="false">IF(AND(BJ197&gt;=0,BK197&lt;&gt;0),MIN(BK197,BH197/BK197),-1)</f>
        <v>-1</v>
      </c>
      <c r="BM197" s="60" t="n">
        <f aca="false">AND(BJ197&gt;=0,BL197&gt;AP197,ABS(BG197-BL197)&gt;=0.00005*MAX(BG197,BL197))</f>
        <v>0</v>
      </c>
      <c r="BN197" s="60" t="n">
        <f aca="false">IF(BM197,IFERROR((((BL197+AQ197)*BL197+AR197)*BL197+AS197)/((3*BL197+2*AQ197)*BL197+AR197),0),0)</f>
        <v>0</v>
      </c>
      <c r="BO197" s="60" t="n">
        <f aca="false">IF(ABS(BN197)&lt;0.1*ABS(BL197),BL197-BN197,BL197)</f>
        <v>-1</v>
      </c>
      <c r="BP197" s="60" t="n">
        <f aca="false">IF(BM197,IFERROR((((BO197+AQ197)*BO197+AR197)*BO197+AS197)/((3*BO197+2*AQ197)*BO197+AR197),0),0)</f>
        <v>0</v>
      </c>
      <c r="BQ197" s="60" t="n">
        <f aca="false">IF(ABS(BP197)&lt;0.1*ABS(BO197),BO197-BP197,BO197)</f>
        <v>-1</v>
      </c>
      <c r="BR197" s="60" t="n">
        <f aca="false">IF(BM197,MAX(BG197,BQ197),BG197)</f>
        <v>0.91158844983184</v>
      </c>
      <c r="BS197" s="60" t="n">
        <f aca="false">IF(BM197,MIN(BG197,BQ197),-1)</f>
        <v>-1</v>
      </c>
      <c r="BT197" s="60" t="n">
        <f aca="false">CHOOSE($C$7,AO197/BR197,AO197/AP197*LN(1+AP197/BR197),AO197/(2*SQRT(2)*AP197)*LN((BR197+(1+SQRT(2))*AP197)/(BR197+(1-SQRT(2))*AP197)))</f>
        <v>0.218240791233887</v>
      </c>
      <c r="BU197" s="60" t="n">
        <f aca="false">BR197-1-LN(BR197-AP197)-BT197</f>
        <v>-0.107840271021729</v>
      </c>
      <c r="BV197" s="60" t="n">
        <f aca="false">IF(BM197,CHOOSE($C$7,AO197/BS197,AO197/AP197*LN(1+AP197/BS197),AO197/(2*SQRT(2)*AP197)*LN((BS197+(1+SQRT(2))*AP197)/(BS197+(1-SQRT(2))*AP197))),0)</f>
        <v>0</v>
      </c>
      <c r="BW197" s="60" t="n">
        <f aca="false">IF(BM197,BS197-1-LN(BS197-AP197)-BV197,0)</f>
        <v>0</v>
      </c>
      <c r="BX197" s="60" t="n">
        <f aca="false">AND(BM197,BW197&lt;BU197)</f>
        <v>0</v>
      </c>
      <c r="BY197" s="60" t="n">
        <f aca="false">IF(BX197,BS197,BR197)</f>
        <v>0.91158844983184</v>
      </c>
      <c r="BZ197" s="60" t="n">
        <f aca="false">IF(BX197,BV197,BT197)</f>
        <v>0.218240791233887</v>
      </c>
      <c r="CA197" s="60" t="n">
        <f aca="false">LN(BY197-AP197)</f>
        <v>-0.198812070380318</v>
      </c>
      <c r="CB197" s="60" t="n">
        <f aca="false">$E$27/AN197*(BY197-1)-CA197-BZ197*(2*AA197/AM197-$E$27/AN197)</f>
        <v>-0.107840271021729</v>
      </c>
      <c r="CC197" s="60" t="n">
        <f aca="false">$F$27/AN197*(BY197-1)-CA197-BZ197*(2*AB197/AM197-$F$27/AN197)</f>
        <v>0.198812070380318</v>
      </c>
      <c r="CD197" s="60" t="n">
        <f aca="false">$G$27/AN197*(BY197-1)-CA197-BZ197*(2*AC197/AM197-$G$27/AN197)</f>
        <v>0.198812070380318</v>
      </c>
      <c r="CE197" s="60" t="n">
        <f aca="false">$H$27/AN197*(BY197-1)-CA197-BZ197*(2*AD197/AM197-$H$27/AN197)</f>
        <v>0.198812070380318</v>
      </c>
      <c r="CF197" s="60" t="n">
        <f aca="false">$I$27/AN197*(BY197-1)-CA197-BZ197*(2*AE197/AM197-$I$27/AN197)</f>
        <v>0.198812070380318</v>
      </c>
      <c r="CG197" s="60" t="n">
        <f aca="false">$J$27/AN197*(BY197-1)-CA197-BZ197*(2*AF197/AM197-$J$27/AN197)</f>
        <v>0.198812070380318</v>
      </c>
      <c r="CH197" s="60" t="n">
        <f aca="false">$K$27/AN197*(BY197-1)-CA197-BZ197*(2*AG197/AM197-$K$27/AN197)</f>
        <v>0.198812070380318</v>
      </c>
      <c r="CI197" s="60" t="n">
        <f aca="false">$L$27/AN197*(BY197-1)-CA197-BZ197*(2*AH197/AM197-$L$27/AN197)</f>
        <v>0.198812070380318</v>
      </c>
      <c r="CJ197" s="60" t="n">
        <f aca="false">$M$27/AN197*(BY197-1)-CA197-BZ197*(2*AI197/AM197-$M$27/AN197)</f>
        <v>0.198812070380318</v>
      </c>
      <c r="CK197" s="60" t="n">
        <f aca="false">$N$27/AN197*(BY197-1)-CA197-BZ197*(2*AJ197/AM197-$N$27/AN197)</f>
        <v>0.198812070380318</v>
      </c>
      <c r="CL197" s="60" t="n">
        <f aca="false">$O$27/AN197*(BY197-1)-CA197-BZ197*(2*AK197/AM197-$O$27/AN197)</f>
        <v>0.198812070380318</v>
      </c>
      <c r="CM197" s="60" t="n">
        <f aca="false">$P$27/AN197*(BY197-1)-CA197-BZ197*(2*AL197/AM197-$P$27/AN197)</f>
        <v>0.198812070380318</v>
      </c>
      <c r="CN197" s="60" t="n">
        <f aca="false">AP197/BY197&gt;$C$22</f>
        <v>0</v>
      </c>
      <c r="CO197" s="60" t="n">
        <f aca="false">1-N197+SUMPRODUCT(B197:M197,CB197:CM197)-SUMPRODUCT(B197:M197,CB196:CM196)</f>
        <v>0</v>
      </c>
      <c r="CP197" s="60" t="n">
        <f aca="false">SUMXMY2(O197:Z197,$E$13:$P$13)</f>
        <v>0</v>
      </c>
    </row>
    <row r="198" customFormat="false" ht="15" hidden="false" customHeight="false" outlineLevel="0" collapsed="false">
      <c r="A198" s="59" t="n">
        <v>33</v>
      </c>
      <c r="B198" s="60" t="n">
        <f aca="false">$E$13*EXP(MAX(-700,MIN(700,$E$86-CB197)))</f>
        <v>1</v>
      </c>
      <c r="C198" s="60" t="n">
        <f aca="false">$F$13*EXP(MAX(-700,MIN(700,$F$86-CC197)))</f>
        <v>0</v>
      </c>
      <c r="D198" s="60" t="n">
        <f aca="false">$G$13*EXP(MAX(-700,MIN(700,$G$86-CD197)))</f>
        <v>0</v>
      </c>
      <c r="E198" s="60" t="n">
        <f aca="false">$H$13*EXP(MAX(-700,MIN(700,$H$86-CE197)))</f>
        <v>0</v>
      </c>
      <c r="F198" s="60" t="n">
        <f aca="false">$I$13*EXP(MAX(-700,MIN(700,$I$86-CF197)))</f>
        <v>0</v>
      </c>
      <c r="G198" s="60" t="n">
        <f aca="false">$J$13*EXP(MAX(-700,MIN(700,$J$86-CG197)))</f>
        <v>0</v>
      </c>
      <c r="H198" s="60" t="n">
        <f aca="false">$K$13*EXP(MAX(-700,MIN(700,$K$86-CH197)))</f>
        <v>0</v>
      </c>
      <c r="I198" s="60" t="n">
        <f aca="false">$L$13*EXP(MAX(-700,MIN(700,$L$86-CI197)))</f>
        <v>0</v>
      </c>
      <c r="J198" s="60" t="n">
        <f aca="false">$M$13*EXP(MAX(-700,MIN(700,$M$86-CJ197)))</f>
        <v>0</v>
      </c>
      <c r="K198" s="60" t="n">
        <f aca="false">$N$13*EXP(MAX(-700,MIN(700,$N$86-CK197)))</f>
        <v>0</v>
      </c>
      <c r="L198" s="60" t="n">
        <f aca="false">$O$13*EXP(MAX(-700,MIN(700,$O$86-CL197)))</f>
        <v>0</v>
      </c>
      <c r="M198" s="60" t="n">
        <f aca="false">$P$13*EXP(MAX(-700,MIN(700,$P$86-CM197)))</f>
        <v>0</v>
      </c>
      <c r="N198" s="60" t="n">
        <f aca="false">SUM(B198:M198)</f>
        <v>1</v>
      </c>
      <c r="O198" s="60" t="n">
        <f aca="false">B198/N198</f>
        <v>1</v>
      </c>
      <c r="P198" s="60" t="n">
        <f aca="false">C198/N198</f>
        <v>0</v>
      </c>
      <c r="Q198" s="60" t="n">
        <f aca="false">D198/N198</f>
        <v>0</v>
      </c>
      <c r="R198" s="60" t="n">
        <f aca="false">E198/N198</f>
        <v>0</v>
      </c>
      <c r="S198" s="60" t="n">
        <f aca="false">F198/N198</f>
        <v>0</v>
      </c>
      <c r="T198" s="60" t="n">
        <f aca="false">G198/N198</f>
        <v>0</v>
      </c>
      <c r="U198" s="60" t="n">
        <f aca="false">H198/N198</f>
        <v>0</v>
      </c>
      <c r="V198" s="60" t="n">
        <f aca="false">I198/N198</f>
        <v>0</v>
      </c>
      <c r="W198" s="60" t="n">
        <f aca="false">J198/N198</f>
        <v>0</v>
      </c>
      <c r="X198" s="60" t="n">
        <f aca="false">K198/N198</f>
        <v>0</v>
      </c>
      <c r="Y198" s="60" t="n">
        <f aca="false">L198/N198</f>
        <v>0</v>
      </c>
      <c r="Z198" s="60" t="n">
        <f aca="false">M198/N198</f>
        <v>0</v>
      </c>
      <c r="AA198" s="60" t="n">
        <f aca="false">$E$28*SUMPRODUCT($E$31:$P$31,O198:Z198,$E$28:$P$28)</f>
        <v>0.184416866619846</v>
      </c>
      <c r="AB198" s="60" t="n">
        <f aca="false">$F$28*SUMPRODUCT($E$32:$P$32,O198:Z198,$E$28:$P$28)</f>
        <v>0</v>
      </c>
      <c r="AC198" s="60" t="n">
        <f aca="false">$G$28*SUMPRODUCT($E$33:$P$33,O198:Z198,$E$28:$P$28)</f>
        <v>0</v>
      </c>
      <c r="AD198" s="60" t="n">
        <f aca="false">$H$28*SUMPRODUCT($E$34:$P$34,O198:Z198,$E$28:$P$28)</f>
        <v>0</v>
      </c>
      <c r="AE198" s="60" t="n">
        <f aca="false">$I$28*SUMPRODUCT($E$35:$P$35,O198:Z198,$E$28:$P$28)</f>
        <v>0</v>
      </c>
      <c r="AF198" s="60" t="n">
        <f aca="false">$J$28*SUMPRODUCT($E$36:$P$36,O198:Z198,$E$28:$P$28)</f>
        <v>0</v>
      </c>
      <c r="AG198" s="60" t="n">
        <f aca="false">$K$28*SUMPRODUCT($E$37:$P$37,O198:Z198,$E$28:$P$28)</f>
        <v>0</v>
      </c>
      <c r="AH198" s="60" t="n">
        <f aca="false">$L$28*SUMPRODUCT($E$38:$P$38,O198:Z198,$E$28:$P$28)</f>
        <v>0</v>
      </c>
      <c r="AI198" s="60" t="n">
        <f aca="false">$M$28*SUMPRODUCT($E$39:$P$39,O198:Z198,$E$28:$P$28)</f>
        <v>0</v>
      </c>
      <c r="AJ198" s="60" t="n">
        <f aca="false">$N$28*SUMPRODUCT($E$40:$P$40,O198:Z198,$E$28:$P$28)</f>
        <v>0</v>
      </c>
      <c r="AK198" s="60" t="n">
        <f aca="false">$O$28*SUMPRODUCT($E$41:$P$41,O198:Z198,$E$28:$P$28)</f>
        <v>0</v>
      </c>
      <c r="AL198" s="60" t="n">
        <f aca="false">$P$28*SUMPRODUCT($E$42:$P$42,O198:Z198,$E$28:$P$28)</f>
        <v>0</v>
      </c>
      <c r="AM198" s="60" t="n">
        <f aca="false">SUMPRODUCT(O198:Z198,AA198:AL198)</f>
        <v>0.184416866619846</v>
      </c>
      <c r="AN198" s="60" t="n">
        <f aca="false">SUMPRODUCT(O198:Z198,$E$27:$P$27)</f>
        <v>2.67389635063809E-005</v>
      </c>
      <c r="AO198" s="60" t="n">
        <f aca="false">AM198*$C$9/($C$10*$C$8)^2</f>
        <v>0.21776909410545</v>
      </c>
      <c r="AP198" s="60" t="n">
        <f aca="false">AN198*$C$9/($C$10*$C$8)</f>
        <v>0.0918845243259994</v>
      </c>
      <c r="AQ198" s="60" t="n">
        <f aca="false">CHOOSE($C$7,-(1+AP198),-1,-(1-AP198))</f>
        <v>-0.908115475674001</v>
      </c>
      <c r="AR198" s="60" t="n">
        <f aca="false">CHOOSE($C$7,AO198,AO198-AP198-AP198^2,AO198-3*AP198^2-2*AP198)</f>
        <v>0.00867174802160559</v>
      </c>
      <c r="AS198" s="60" t="n">
        <f aca="false">CHOOSE($C$7,-AO198*AP198,-AO198*AP198,-(AO198*AP198-AP198^2-AP198^3))</f>
        <v>-0.0107910842936637</v>
      </c>
      <c r="AT198" s="60" t="n">
        <f aca="false">AR198-AQ198^2/3</f>
        <v>-0.266219491031267</v>
      </c>
      <c r="AU198" s="60" t="n">
        <f aca="false">2*AQ198^3/27-AQ198*AR198/3+AS198</f>
        <v>-0.0636400988362784</v>
      </c>
      <c r="AV198" s="60" t="n">
        <f aca="false">AU198^2/4+AT198^3/27</f>
        <v>0.000313710901361829</v>
      </c>
      <c r="AW198" s="60" t="n">
        <f aca="false">-AU198/2-IF(AU198&gt;=0,1,-1)*SQRT(MAX(AV198,0))</f>
        <v>0.0495319352963236</v>
      </c>
      <c r="AX198" s="60" t="n">
        <f aca="false">SIGN(AW198)*ABS(AW198)^(1/3)</f>
        <v>0.367249967174439</v>
      </c>
      <c r="AY198" s="60" t="n">
        <f aca="false">IF(AX198=0,0,AX198-AT198/(3*AX198))</f>
        <v>0.60888329127384</v>
      </c>
      <c r="AZ198" s="60" t="n">
        <f aca="false">2*SQRT(MAX(-AT198,0)/3)</f>
        <v>0.595784626668918</v>
      </c>
      <c r="BA198" s="60" t="n">
        <f aca="false">ACOS(IF(AZ198=0,0,MAX(-1,MIN(1,3*AU198/(AT198*AZ198)))))</f>
        <v>0</v>
      </c>
      <c r="BB198" s="60" t="n">
        <f aca="false">AZ198*COS(BA198/3)</f>
        <v>0.595784626668918</v>
      </c>
      <c r="BC198" s="60" t="n">
        <f aca="false">IF(AV198&lt;0,BB198,AY198)-AQ198/3</f>
        <v>0.91158844983184</v>
      </c>
      <c r="BD198" s="60" t="n">
        <f aca="false">IFERROR((((BC198+AQ198)*BC198+AR198)*BC198+AS198)/((3*BC198+2*AQ198)*BC198+AR198),0)</f>
        <v>0</v>
      </c>
      <c r="BE198" s="60" t="n">
        <f aca="false">IF(ABS(BD198)&lt;0.1*ABS(BC198),BC198-BD198,BC198)</f>
        <v>0.91158844983184</v>
      </c>
      <c r="BF198" s="60" t="n">
        <f aca="false">IFERROR((((BE198+AQ198)*BE198+AR198)*BE198+AS198)/((3*BE198+2*AQ198)*BE198+AR198),0)</f>
        <v>0</v>
      </c>
      <c r="BG198" s="60" t="n">
        <f aca="false">IF(ABS(BF198)&lt;0.1*ABS(BE198),BE198-BF198,BE198)</f>
        <v>0.91158844983184</v>
      </c>
      <c r="BH198" s="60" t="n">
        <f aca="false">-AS198/BG198</f>
        <v>0.0118376711504565</v>
      </c>
      <c r="BI198" s="60" t="n">
        <f aca="false">(AR198-BH198)/BG198</f>
        <v>-0.00347297415783941</v>
      </c>
      <c r="BJ198" s="60" t="n">
        <f aca="false">BI198^2-4*BH198</f>
        <v>-0.0473386230523248</v>
      </c>
      <c r="BK198" s="60" t="n">
        <f aca="false">IF(BJ198&gt;=0,(BI198+IF(BI198&gt;=0,1,-1)*SQRT(BJ198))/2,0)</f>
        <v>0</v>
      </c>
      <c r="BL198" s="60" t="n">
        <f aca="false">IF(AND(BJ198&gt;=0,BK198&lt;&gt;0),MIN(BK198,BH198/BK198),-1)</f>
        <v>-1</v>
      </c>
      <c r="BM198" s="60" t="n">
        <f aca="false">AND(BJ198&gt;=0,BL198&gt;AP198,ABS(BG198-BL198)&gt;=0.00005*MAX(BG198,BL198))</f>
        <v>0</v>
      </c>
      <c r="BN198" s="60" t="n">
        <f aca="false">IF(BM198,IFERROR((((BL198+AQ198)*BL198+AR198)*BL198+AS198)/((3*BL198+2*AQ198)*BL198+AR198),0),0)</f>
        <v>0</v>
      </c>
      <c r="BO198" s="60" t="n">
        <f aca="false">IF(ABS(BN198)&lt;0.1*ABS(BL198),BL198-BN198,BL198)</f>
        <v>-1</v>
      </c>
      <c r="BP198" s="60" t="n">
        <f aca="false">IF(BM198,IFERROR((((BO198+AQ198)*BO198+AR198)*BO198+AS198)/((3*BO198+2*AQ198)*BO198+AR198),0),0)</f>
        <v>0</v>
      </c>
      <c r="BQ198" s="60" t="n">
        <f aca="false">IF(ABS(BP198)&lt;0.1*ABS(BO198),BO198-BP198,BO198)</f>
        <v>-1</v>
      </c>
      <c r="BR198" s="60" t="n">
        <f aca="false">IF(BM198,MAX(BG198,BQ198),BG198)</f>
        <v>0.91158844983184</v>
      </c>
      <c r="BS198" s="60" t="n">
        <f aca="false">IF(BM198,MIN(BG198,BQ198),-1)</f>
        <v>-1</v>
      </c>
      <c r="BT198" s="60" t="n">
        <f aca="false">CHOOSE($C$7,AO198/BR198,AO198/AP198*LN(1+AP198/BR198),AO198/(2*SQRT(2)*AP198)*LN((BR198+(1+SQRT(2))*AP198)/(BR198+(1-SQRT(2))*AP198)))</f>
        <v>0.218240791233887</v>
      </c>
      <c r="BU198" s="60" t="n">
        <f aca="false">BR198-1-LN(BR198-AP198)-BT198</f>
        <v>-0.107840271021729</v>
      </c>
      <c r="BV198" s="60" t="n">
        <f aca="false">IF(BM198,CHOOSE($C$7,AO198/BS198,AO198/AP198*LN(1+AP198/BS198),AO198/(2*SQRT(2)*AP198)*LN((BS198+(1+SQRT(2))*AP198)/(BS198+(1-SQRT(2))*AP198))),0)</f>
        <v>0</v>
      </c>
      <c r="BW198" s="60" t="n">
        <f aca="false">IF(BM198,BS198-1-LN(BS198-AP198)-BV198,0)</f>
        <v>0</v>
      </c>
      <c r="BX198" s="60" t="n">
        <f aca="false">AND(BM198,BW198&lt;BU198)</f>
        <v>0</v>
      </c>
      <c r="BY198" s="60" t="n">
        <f aca="false">IF(BX198,BS198,BR198)</f>
        <v>0.91158844983184</v>
      </c>
      <c r="BZ198" s="60" t="n">
        <f aca="false">IF(BX198,BV198,BT198)</f>
        <v>0.218240791233887</v>
      </c>
      <c r="CA198" s="60" t="n">
        <f aca="false">LN(BY198-AP198)</f>
        <v>-0.198812070380318</v>
      </c>
      <c r="CB198" s="60" t="n">
        <f aca="false">$E$27/AN198*(BY198-1)-CA198-BZ198*(2*AA198/AM198-$E$27/AN198)</f>
        <v>-0.107840271021729</v>
      </c>
      <c r="CC198" s="60" t="n">
        <f aca="false">$F$27/AN198*(BY198-1)-CA198-BZ198*(2*AB198/AM198-$F$27/AN198)</f>
        <v>0.198812070380318</v>
      </c>
      <c r="CD198" s="60" t="n">
        <f aca="false">$G$27/AN198*(BY198-1)-CA198-BZ198*(2*AC198/AM198-$G$27/AN198)</f>
        <v>0.198812070380318</v>
      </c>
      <c r="CE198" s="60" t="n">
        <f aca="false">$H$27/AN198*(BY198-1)-CA198-BZ198*(2*AD198/AM198-$H$27/AN198)</f>
        <v>0.198812070380318</v>
      </c>
      <c r="CF198" s="60" t="n">
        <f aca="false">$I$27/AN198*(BY198-1)-CA198-BZ198*(2*AE198/AM198-$I$27/AN198)</f>
        <v>0.198812070380318</v>
      </c>
      <c r="CG198" s="60" t="n">
        <f aca="false">$J$27/AN198*(BY198-1)-CA198-BZ198*(2*AF198/AM198-$J$27/AN198)</f>
        <v>0.198812070380318</v>
      </c>
      <c r="CH198" s="60" t="n">
        <f aca="false">$K$27/AN198*(BY198-1)-CA198-BZ198*(2*AG198/AM198-$K$27/AN198)</f>
        <v>0.198812070380318</v>
      </c>
      <c r="CI198" s="60" t="n">
        <f aca="false">$L$27/AN198*(BY198-1)-CA198-BZ198*(2*AH198/AM198-$L$27/AN198)</f>
        <v>0.198812070380318</v>
      </c>
      <c r="CJ198" s="60" t="n">
        <f aca="false">$M$27/AN198*(BY198-1)-CA198-BZ198*(2*AI198/AM198-$M$27/AN198)</f>
        <v>0.198812070380318</v>
      </c>
      <c r="CK198" s="60" t="n">
        <f aca="false">$N$27/AN198*(BY198-1)-CA198-BZ198*(2*AJ198/AM198-$N$27/AN198)</f>
        <v>0.198812070380318</v>
      </c>
      <c r="CL198" s="60" t="n">
        <f aca="false">$O$27/AN198*(BY198-1)-CA198-BZ198*(2*AK198/AM198-$O$27/AN198)</f>
        <v>0.198812070380318</v>
      </c>
      <c r="CM198" s="60" t="n">
        <f aca="false">$P$27/AN198*(BY198-1)-CA198-BZ198*(2*AL198/AM198-$P$27/AN198)</f>
        <v>0.198812070380318</v>
      </c>
      <c r="CN198" s="60" t="n">
        <f aca="false">AP198/BY198&gt;$C$22</f>
        <v>0</v>
      </c>
      <c r="CO198" s="60" t="n">
        <f aca="false">1-N198+SUMPRODUCT(B198:M198,CB198:CM198)-SUMPRODUCT(B198:M198,CB197:CM197)</f>
        <v>0</v>
      </c>
      <c r="CP198" s="60" t="n">
        <f aca="false">SUMXMY2(O198:Z198,$E$13:$P$13)</f>
        <v>0</v>
      </c>
    </row>
    <row r="199" customFormat="false" ht="15" hidden="false" customHeight="false" outlineLevel="0" collapsed="false">
      <c r="A199" s="59" t="n">
        <v>34</v>
      </c>
      <c r="B199" s="60" t="n">
        <f aca="false">$E$13*EXP(MAX(-700,MIN(700,$E$86-CB198)))</f>
        <v>1</v>
      </c>
      <c r="C199" s="60" t="n">
        <f aca="false">$F$13*EXP(MAX(-700,MIN(700,$F$86-CC198)))</f>
        <v>0</v>
      </c>
      <c r="D199" s="60" t="n">
        <f aca="false">$G$13*EXP(MAX(-700,MIN(700,$G$86-CD198)))</f>
        <v>0</v>
      </c>
      <c r="E199" s="60" t="n">
        <f aca="false">$H$13*EXP(MAX(-700,MIN(700,$H$86-CE198)))</f>
        <v>0</v>
      </c>
      <c r="F199" s="60" t="n">
        <f aca="false">$I$13*EXP(MAX(-700,MIN(700,$I$86-CF198)))</f>
        <v>0</v>
      </c>
      <c r="G199" s="60" t="n">
        <f aca="false">$J$13*EXP(MAX(-700,MIN(700,$J$86-CG198)))</f>
        <v>0</v>
      </c>
      <c r="H199" s="60" t="n">
        <f aca="false">$K$13*EXP(MAX(-700,MIN(700,$K$86-CH198)))</f>
        <v>0</v>
      </c>
      <c r="I199" s="60" t="n">
        <f aca="false">$L$13*EXP(MAX(-700,MIN(700,$L$86-CI198)))</f>
        <v>0</v>
      </c>
      <c r="J199" s="60" t="n">
        <f aca="false">$M$13*EXP(MAX(-700,MIN(700,$M$86-CJ198)))</f>
        <v>0</v>
      </c>
      <c r="K199" s="60" t="n">
        <f aca="false">$N$13*EXP(MAX(-700,MIN(700,$N$86-CK198)))</f>
        <v>0</v>
      </c>
      <c r="L199" s="60" t="n">
        <f aca="false">$O$13*EXP(MAX(-700,MIN(700,$O$86-CL198)))</f>
        <v>0</v>
      </c>
      <c r="M199" s="60" t="n">
        <f aca="false">$P$13*EXP(MAX(-700,MIN(700,$P$86-CM198)))</f>
        <v>0</v>
      </c>
      <c r="N199" s="60" t="n">
        <f aca="false">SUM(B199:M199)</f>
        <v>1</v>
      </c>
      <c r="O199" s="60" t="n">
        <f aca="false">B199/N199</f>
        <v>1</v>
      </c>
      <c r="P199" s="60" t="n">
        <f aca="false">C199/N199</f>
        <v>0</v>
      </c>
      <c r="Q199" s="60" t="n">
        <f aca="false">D199/N199</f>
        <v>0</v>
      </c>
      <c r="R199" s="60" t="n">
        <f aca="false">E199/N199</f>
        <v>0</v>
      </c>
      <c r="S199" s="60" t="n">
        <f aca="false">F199/N199</f>
        <v>0</v>
      </c>
      <c r="T199" s="60" t="n">
        <f aca="false">G199/N199</f>
        <v>0</v>
      </c>
      <c r="U199" s="60" t="n">
        <f aca="false">H199/N199</f>
        <v>0</v>
      </c>
      <c r="V199" s="60" t="n">
        <f aca="false">I199/N199</f>
        <v>0</v>
      </c>
      <c r="W199" s="60" t="n">
        <f aca="false">J199/N199</f>
        <v>0</v>
      </c>
      <c r="X199" s="60" t="n">
        <f aca="false">K199/N199</f>
        <v>0</v>
      </c>
      <c r="Y199" s="60" t="n">
        <f aca="false">L199/N199</f>
        <v>0</v>
      </c>
      <c r="Z199" s="60" t="n">
        <f aca="false">M199/N199</f>
        <v>0</v>
      </c>
      <c r="AA199" s="60" t="n">
        <f aca="false">$E$28*SUMPRODUCT($E$31:$P$31,O199:Z199,$E$28:$P$28)</f>
        <v>0.184416866619846</v>
      </c>
      <c r="AB199" s="60" t="n">
        <f aca="false">$F$28*SUMPRODUCT($E$32:$P$32,O199:Z199,$E$28:$P$28)</f>
        <v>0</v>
      </c>
      <c r="AC199" s="60" t="n">
        <f aca="false">$G$28*SUMPRODUCT($E$33:$P$33,O199:Z199,$E$28:$P$28)</f>
        <v>0</v>
      </c>
      <c r="AD199" s="60" t="n">
        <f aca="false">$H$28*SUMPRODUCT($E$34:$P$34,O199:Z199,$E$28:$P$28)</f>
        <v>0</v>
      </c>
      <c r="AE199" s="60" t="n">
        <f aca="false">$I$28*SUMPRODUCT($E$35:$P$35,O199:Z199,$E$28:$P$28)</f>
        <v>0</v>
      </c>
      <c r="AF199" s="60" t="n">
        <f aca="false">$J$28*SUMPRODUCT($E$36:$P$36,O199:Z199,$E$28:$P$28)</f>
        <v>0</v>
      </c>
      <c r="AG199" s="60" t="n">
        <f aca="false">$K$28*SUMPRODUCT($E$37:$P$37,O199:Z199,$E$28:$P$28)</f>
        <v>0</v>
      </c>
      <c r="AH199" s="60" t="n">
        <f aca="false">$L$28*SUMPRODUCT($E$38:$P$38,O199:Z199,$E$28:$P$28)</f>
        <v>0</v>
      </c>
      <c r="AI199" s="60" t="n">
        <f aca="false">$M$28*SUMPRODUCT($E$39:$P$39,O199:Z199,$E$28:$P$28)</f>
        <v>0</v>
      </c>
      <c r="AJ199" s="60" t="n">
        <f aca="false">$N$28*SUMPRODUCT($E$40:$P$40,O199:Z199,$E$28:$P$28)</f>
        <v>0</v>
      </c>
      <c r="AK199" s="60" t="n">
        <f aca="false">$O$28*SUMPRODUCT($E$41:$P$41,O199:Z199,$E$28:$P$28)</f>
        <v>0</v>
      </c>
      <c r="AL199" s="60" t="n">
        <f aca="false">$P$28*SUMPRODUCT($E$42:$P$42,O199:Z199,$E$28:$P$28)</f>
        <v>0</v>
      </c>
      <c r="AM199" s="60" t="n">
        <f aca="false">SUMPRODUCT(O199:Z199,AA199:AL199)</f>
        <v>0.184416866619846</v>
      </c>
      <c r="AN199" s="60" t="n">
        <f aca="false">SUMPRODUCT(O199:Z199,$E$27:$P$27)</f>
        <v>2.67389635063809E-005</v>
      </c>
      <c r="AO199" s="60" t="n">
        <f aca="false">AM199*$C$9/($C$10*$C$8)^2</f>
        <v>0.21776909410545</v>
      </c>
      <c r="AP199" s="60" t="n">
        <f aca="false">AN199*$C$9/($C$10*$C$8)</f>
        <v>0.0918845243259994</v>
      </c>
      <c r="AQ199" s="60" t="n">
        <f aca="false">CHOOSE($C$7,-(1+AP199),-1,-(1-AP199))</f>
        <v>-0.908115475674001</v>
      </c>
      <c r="AR199" s="60" t="n">
        <f aca="false">CHOOSE($C$7,AO199,AO199-AP199-AP199^2,AO199-3*AP199^2-2*AP199)</f>
        <v>0.00867174802160559</v>
      </c>
      <c r="AS199" s="60" t="n">
        <f aca="false">CHOOSE($C$7,-AO199*AP199,-AO199*AP199,-(AO199*AP199-AP199^2-AP199^3))</f>
        <v>-0.0107910842936637</v>
      </c>
      <c r="AT199" s="60" t="n">
        <f aca="false">AR199-AQ199^2/3</f>
        <v>-0.266219491031267</v>
      </c>
      <c r="AU199" s="60" t="n">
        <f aca="false">2*AQ199^3/27-AQ199*AR199/3+AS199</f>
        <v>-0.0636400988362784</v>
      </c>
      <c r="AV199" s="60" t="n">
        <f aca="false">AU199^2/4+AT199^3/27</f>
        <v>0.000313710901361829</v>
      </c>
      <c r="AW199" s="60" t="n">
        <f aca="false">-AU199/2-IF(AU199&gt;=0,1,-1)*SQRT(MAX(AV199,0))</f>
        <v>0.0495319352963236</v>
      </c>
      <c r="AX199" s="60" t="n">
        <f aca="false">SIGN(AW199)*ABS(AW199)^(1/3)</f>
        <v>0.367249967174439</v>
      </c>
      <c r="AY199" s="60" t="n">
        <f aca="false">IF(AX199=0,0,AX199-AT199/(3*AX199))</f>
        <v>0.60888329127384</v>
      </c>
      <c r="AZ199" s="60" t="n">
        <f aca="false">2*SQRT(MAX(-AT199,0)/3)</f>
        <v>0.595784626668918</v>
      </c>
      <c r="BA199" s="60" t="n">
        <f aca="false">ACOS(IF(AZ199=0,0,MAX(-1,MIN(1,3*AU199/(AT199*AZ199)))))</f>
        <v>0</v>
      </c>
      <c r="BB199" s="60" t="n">
        <f aca="false">AZ199*COS(BA199/3)</f>
        <v>0.595784626668918</v>
      </c>
      <c r="BC199" s="60" t="n">
        <f aca="false">IF(AV199&lt;0,BB199,AY199)-AQ199/3</f>
        <v>0.91158844983184</v>
      </c>
      <c r="BD199" s="60" t="n">
        <f aca="false">IFERROR((((BC199+AQ199)*BC199+AR199)*BC199+AS199)/((3*BC199+2*AQ199)*BC199+AR199),0)</f>
        <v>0</v>
      </c>
      <c r="BE199" s="60" t="n">
        <f aca="false">IF(ABS(BD199)&lt;0.1*ABS(BC199),BC199-BD199,BC199)</f>
        <v>0.91158844983184</v>
      </c>
      <c r="BF199" s="60" t="n">
        <f aca="false">IFERROR((((BE199+AQ199)*BE199+AR199)*BE199+AS199)/((3*BE199+2*AQ199)*BE199+AR199),0)</f>
        <v>0</v>
      </c>
      <c r="BG199" s="60" t="n">
        <f aca="false">IF(ABS(BF199)&lt;0.1*ABS(BE199),BE199-BF199,BE199)</f>
        <v>0.91158844983184</v>
      </c>
      <c r="BH199" s="60" t="n">
        <f aca="false">-AS199/BG199</f>
        <v>0.0118376711504565</v>
      </c>
      <c r="BI199" s="60" t="n">
        <f aca="false">(AR199-BH199)/BG199</f>
        <v>-0.00347297415783941</v>
      </c>
      <c r="BJ199" s="60" t="n">
        <f aca="false">BI199^2-4*BH199</f>
        <v>-0.0473386230523248</v>
      </c>
      <c r="BK199" s="60" t="n">
        <f aca="false">IF(BJ199&gt;=0,(BI199+IF(BI199&gt;=0,1,-1)*SQRT(BJ199))/2,0)</f>
        <v>0</v>
      </c>
      <c r="BL199" s="60" t="n">
        <f aca="false">IF(AND(BJ199&gt;=0,BK199&lt;&gt;0),MIN(BK199,BH199/BK199),-1)</f>
        <v>-1</v>
      </c>
      <c r="BM199" s="60" t="n">
        <f aca="false">AND(BJ199&gt;=0,BL199&gt;AP199,ABS(BG199-BL199)&gt;=0.00005*MAX(BG199,BL199))</f>
        <v>0</v>
      </c>
      <c r="BN199" s="60" t="n">
        <f aca="false">IF(BM199,IFERROR((((BL199+AQ199)*BL199+AR199)*BL199+AS199)/((3*BL199+2*AQ199)*BL199+AR199),0),0)</f>
        <v>0</v>
      </c>
      <c r="BO199" s="60" t="n">
        <f aca="false">IF(ABS(BN199)&lt;0.1*ABS(BL199),BL199-BN199,BL199)</f>
        <v>-1</v>
      </c>
      <c r="BP199" s="60" t="n">
        <f aca="false">IF(BM199,IFERROR((((BO199+AQ199)*BO199+AR199)*BO199+AS199)/((3*BO199+2*AQ199)*BO199+AR199),0),0)</f>
        <v>0</v>
      </c>
      <c r="BQ199" s="60" t="n">
        <f aca="false">IF(ABS(BP199)&lt;0.1*ABS(BO199),BO199-BP199,BO199)</f>
        <v>-1</v>
      </c>
      <c r="BR199" s="60" t="n">
        <f aca="false">IF(BM199,MAX(BG199,BQ199),BG199)</f>
        <v>0.91158844983184</v>
      </c>
      <c r="BS199" s="60" t="n">
        <f aca="false">IF(BM199,MIN(BG199,BQ199),-1)</f>
        <v>-1</v>
      </c>
      <c r="BT199" s="60" t="n">
        <f aca="false">CHOOSE($C$7,AO199/BR199,AO199/AP199*LN(1+AP199/BR199),AO199/(2*SQRT(2)*AP199)*LN((BR199+(1+SQRT(2))*AP199)/(BR199+(1-SQRT(2))*AP199)))</f>
        <v>0.218240791233887</v>
      </c>
      <c r="BU199" s="60" t="n">
        <f aca="false">BR199-1-LN(BR199-AP199)-BT199</f>
        <v>-0.107840271021729</v>
      </c>
      <c r="BV199" s="60" t="n">
        <f aca="false">IF(BM199,CHOOSE($C$7,AO199/BS199,AO199/AP199*LN(1+AP199/BS199),AO199/(2*SQRT(2)*AP199)*LN((BS199+(1+SQRT(2))*AP199)/(BS199+(1-SQRT(2))*AP199))),0)</f>
        <v>0</v>
      </c>
      <c r="BW199" s="60" t="n">
        <f aca="false">IF(BM199,BS199-1-LN(BS199-AP199)-BV199,0)</f>
        <v>0</v>
      </c>
      <c r="BX199" s="60" t="n">
        <f aca="false">AND(BM199,BW199&lt;BU199)</f>
        <v>0</v>
      </c>
      <c r="BY199" s="60" t="n">
        <f aca="false">IF(BX199,BS199,BR199)</f>
        <v>0.91158844983184</v>
      </c>
      <c r="BZ199" s="60" t="n">
        <f aca="false">IF(BX199,BV199,BT199)</f>
        <v>0.218240791233887</v>
      </c>
      <c r="CA199" s="60" t="n">
        <f aca="false">LN(BY199-AP199)</f>
        <v>-0.198812070380318</v>
      </c>
      <c r="CB199" s="60" t="n">
        <f aca="false">$E$27/AN199*(BY199-1)-CA199-BZ199*(2*AA199/AM199-$E$27/AN199)</f>
        <v>-0.107840271021729</v>
      </c>
      <c r="CC199" s="60" t="n">
        <f aca="false">$F$27/AN199*(BY199-1)-CA199-BZ199*(2*AB199/AM199-$F$27/AN199)</f>
        <v>0.198812070380318</v>
      </c>
      <c r="CD199" s="60" t="n">
        <f aca="false">$G$27/AN199*(BY199-1)-CA199-BZ199*(2*AC199/AM199-$G$27/AN199)</f>
        <v>0.198812070380318</v>
      </c>
      <c r="CE199" s="60" t="n">
        <f aca="false">$H$27/AN199*(BY199-1)-CA199-BZ199*(2*AD199/AM199-$H$27/AN199)</f>
        <v>0.198812070380318</v>
      </c>
      <c r="CF199" s="60" t="n">
        <f aca="false">$I$27/AN199*(BY199-1)-CA199-BZ199*(2*AE199/AM199-$I$27/AN199)</f>
        <v>0.198812070380318</v>
      </c>
      <c r="CG199" s="60" t="n">
        <f aca="false">$J$27/AN199*(BY199-1)-CA199-BZ199*(2*AF199/AM199-$J$27/AN199)</f>
        <v>0.198812070380318</v>
      </c>
      <c r="CH199" s="60" t="n">
        <f aca="false">$K$27/AN199*(BY199-1)-CA199-BZ199*(2*AG199/AM199-$K$27/AN199)</f>
        <v>0.198812070380318</v>
      </c>
      <c r="CI199" s="60" t="n">
        <f aca="false">$L$27/AN199*(BY199-1)-CA199-BZ199*(2*AH199/AM199-$L$27/AN199)</f>
        <v>0.198812070380318</v>
      </c>
      <c r="CJ199" s="60" t="n">
        <f aca="false">$M$27/AN199*(BY199-1)-CA199-BZ199*(2*AI199/AM199-$M$27/AN199)</f>
        <v>0.198812070380318</v>
      </c>
      <c r="CK199" s="60" t="n">
        <f aca="false">$N$27/AN199*(BY199-1)-CA199-BZ199*(2*AJ199/AM199-$N$27/AN199)</f>
        <v>0.198812070380318</v>
      </c>
      <c r="CL199" s="60" t="n">
        <f aca="false">$O$27/AN199*(BY199-1)-CA199-BZ199*(2*AK199/AM199-$O$27/AN199)</f>
        <v>0.198812070380318</v>
      </c>
      <c r="CM199" s="60" t="n">
        <f aca="false">$P$27/AN199*(BY199-1)-CA199-BZ199*(2*AL199/AM199-$P$27/AN199)</f>
        <v>0.198812070380318</v>
      </c>
      <c r="CN199" s="60" t="n">
        <f aca="false">AP199/BY199&gt;$C$22</f>
        <v>0</v>
      </c>
      <c r="CO199" s="60" t="n">
        <f aca="false">1-N199+SUMPRODUCT(B199:M199,CB199:CM199)-SUMPRODUCT(B199:M199,CB198:CM198)</f>
        <v>0</v>
      </c>
      <c r="CP199" s="60" t="n">
        <f aca="false">SUMXMY2(O199:Z199,$E$13:$P$13)</f>
        <v>0</v>
      </c>
    </row>
    <row r="200" customFormat="false" ht="15" hidden="false" customHeight="false" outlineLevel="0" collapsed="false">
      <c r="A200" s="59" t="n">
        <v>35</v>
      </c>
      <c r="B200" s="60" t="n">
        <f aca="false">$E$13*EXP(MAX(-700,MIN(700,$E$86-CB199)))</f>
        <v>1</v>
      </c>
      <c r="C200" s="60" t="n">
        <f aca="false">$F$13*EXP(MAX(-700,MIN(700,$F$86-CC199)))</f>
        <v>0</v>
      </c>
      <c r="D200" s="60" t="n">
        <f aca="false">$G$13*EXP(MAX(-700,MIN(700,$G$86-CD199)))</f>
        <v>0</v>
      </c>
      <c r="E200" s="60" t="n">
        <f aca="false">$H$13*EXP(MAX(-700,MIN(700,$H$86-CE199)))</f>
        <v>0</v>
      </c>
      <c r="F200" s="60" t="n">
        <f aca="false">$I$13*EXP(MAX(-700,MIN(700,$I$86-CF199)))</f>
        <v>0</v>
      </c>
      <c r="G200" s="60" t="n">
        <f aca="false">$J$13*EXP(MAX(-700,MIN(700,$J$86-CG199)))</f>
        <v>0</v>
      </c>
      <c r="H200" s="60" t="n">
        <f aca="false">$K$13*EXP(MAX(-700,MIN(700,$K$86-CH199)))</f>
        <v>0</v>
      </c>
      <c r="I200" s="60" t="n">
        <f aca="false">$L$13*EXP(MAX(-700,MIN(700,$L$86-CI199)))</f>
        <v>0</v>
      </c>
      <c r="J200" s="60" t="n">
        <f aca="false">$M$13*EXP(MAX(-700,MIN(700,$M$86-CJ199)))</f>
        <v>0</v>
      </c>
      <c r="K200" s="60" t="n">
        <f aca="false">$N$13*EXP(MAX(-700,MIN(700,$N$86-CK199)))</f>
        <v>0</v>
      </c>
      <c r="L200" s="60" t="n">
        <f aca="false">$O$13*EXP(MAX(-700,MIN(700,$O$86-CL199)))</f>
        <v>0</v>
      </c>
      <c r="M200" s="60" t="n">
        <f aca="false">$P$13*EXP(MAX(-700,MIN(700,$P$86-CM199)))</f>
        <v>0</v>
      </c>
      <c r="N200" s="60" t="n">
        <f aca="false">SUM(B200:M200)</f>
        <v>1</v>
      </c>
      <c r="O200" s="60" t="n">
        <f aca="false">B200/N200</f>
        <v>1</v>
      </c>
      <c r="P200" s="60" t="n">
        <f aca="false">C200/N200</f>
        <v>0</v>
      </c>
      <c r="Q200" s="60" t="n">
        <f aca="false">D200/N200</f>
        <v>0</v>
      </c>
      <c r="R200" s="60" t="n">
        <f aca="false">E200/N200</f>
        <v>0</v>
      </c>
      <c r="S200" s="60" t="n">
        <f aca="false">F200/N200</f>
        <v>0</v>
      </c>
      <c r="T200" s="60" t="n">
        <f aca="false">G200/N200</f>
        <v>0</v>
      </c>
      <c r="U200" s="60" t="n">
        <f aca="false">H200/N200</f>
        <v>0</v>
      </c>
      <c r="V200" s="60" t="n">
        <f aca="false">I200/N200</f>
        <v>0</v>
      </c>
      <c r="W200" s="60" t="n">
        <f aca="false">J200/N200</f>
        <v>0</v>
      </c>
      <c r="X200" s="60" t="n">
        <f aca="false">K200/N200</f>
        <v>0</v>
      </c>
      <c r="Y200" s="60" t="n">
        <f aca="false">L200/N200</f>
        <v>0</v>
      </c>
      <c r="Z200" s="60" t="n">
        <f aca="false">M200/N200</f>
        <v>0</v>
      </c>
      <c r="AA200" s="60" t="n">
        <f aca="false">$E$28*SUMPRODUCT($E$31:$P$31,O200:Z200,$E$28:$P$28)</f>
        <v>0.184416866619846</v>
      </c>
      <c r="AB200" s="60" t="n">
        <f aca="false">$F$28*SUMPRODUCT($E$32:$P$32,O200:Z200,$E$28:$P$28)</f>
        <v>0</v>
      </c>
      <c r="AC200" s="60" t="n">
        <f aca="false">$G$28*SUMPRODUCT($E$33:$P$33,O200:Z200,$E$28:$P$28)</f>
        <v>0</v>
      </c>
      <c r="AD200" s="60" t="n">
        <f aca="false">$H$28*SUMPRODUCT($E$34:$P$34,O200:Z200,$E$28:$P$28)</f>
        <v>0</v>
      </c>
      <c r="AE200" s="60" t="n">
        <f aca="false">$I$28*SUMPRODUCT($E$35:$P$35,O200:Z200,$E$28:$P$28)</f>
        <v>0</v>
      </c>
      <c r="AF200" s="60" t="n">
        <f aca="false">$J$28*SUMPRODUCT($E$36:$P$36,O200:Z200,$E$28:$P$28)</f>
        <v>0</v>
      </c>
      <c r="AG200" s="60" t="n">
        <f aca="false">$K$28*SUMPRODUCT($E$37:$P$37,O200:Z200,$E$28:$P$28)</f>
        <v>0</v>
      </c>
      <c r="AH200" s="60" t="n">
        <f aca="false">$L$28*SUMPRODUCT($E$38:$P$38,O200:Z200,$E$28:$P$28)</f>
        <v>0</v>
      </c>
      <c r="AI200" s="60" t="n">
        <f aca="false">$M$28*SUMPRODUCT($E$39:$P$39,O200:Z200,$E$28:$P$28)</f>
        <v>0</v>
      </c>
      <c r="AJ200" s="60" t="n">
        <f aca="false">$N$28*SUMPRODUCT($E$40:$P$40,O200:Z200,$E$28:$P$28)</f>
        <v>0</v>
      </c>
      <c r="AK200" s="60" t="n">
        <f aca="false">$O$28*SUMPRODUCT($E$41:$P$41,O200:Z200,$E$28:$P$28)</f>
        <v>0</v>
      </c>
      <c r="AL200" s="60" t="n">
        <f aca="false">$P$28*SUMPRODUCT($E$42:$P$42,O200:Z200,$E$28:$P$28)</f>
        <v>0</v>
      </c>
      <c r="AM200" s="60" t="n">
        <f aca="false">SUMPRODUCT(O200:Z200,AA200:AL200)</f>
        <v>0.184416866619846</v>
      </c>
      <c r="AN200" s="60" t="n">
        <f aca="false">SUMPRODUCT(O200:Z200,$E$27:$P$27)</f>
        <v>2.67389635063809E-005</v>
      </c>
      <c r="AO200" s="60" t="n">
        <f aca="false">AM200*$C$9/($C$10*$C$8)^2</f>
        <v>0.21776909410545</v>
      </c>
      <c r="AP200" s="60" t="n">
        <f aca="false">AN200*$C$9/($C$10*$C$8)</f>
        <v>0.0918845243259994</v>
      </c>
      <c r="AQ200" s="60" t="n">
        <f aca="false">CHOOSE($C$7,-(1+AP200),-1,-(1-AP200))</f>
        <v>-0.908115475674001</v>
      </c>
      <c r="AR200" s="60" t="n">
        <f aca="false">CHOOSE($C$7,AO200,AO200-AP200-AP200^2,AO200-3*AP200^2-2*AP200)</f>
        <v>0.00867174802160559</v>
      </c>
      <c r="AS200" s="60" t="n">
        <f aca="false">CHOOSE($C$7,-AO200*AP200,-AO200*AP200,-(AO200*AP200-AP200^2-AP200^3))</f>
        <v>-0.0107910842936637</v>
      </c>
      <c r="AT200" s="60" t="n">
        <f aca="false">AR200-AQ200^2/3</f>
        <v>-0.266219491031267</v>
      </c>
      <c r="AU200" s="60" t="n">
        <f aca="false">2*AQ200^3/27-AQ200*AR200/3+AS200</f>
        <v>-0.0636400988362784</v>
      </c>
      <c r="AV200" s="60" t="n">
        <f aca="false">AU200^2/4+AT200^3/27</f>
        <v>0.000313710901361829</v>
      </c>
      <c r="AW200" s="60" t="n">
        <f aca="false">-AU200/2-IF(AU200&gt;=0,1,-1)*SQRT(MAX(AV200,0))</f>
        <v>0.0495319352963236</v>
      </c>
      <c r="AX200" s="60" t="n">
        <f aca="false">SIGN(AW200)*ABS(AW200)^(1/3)</f>
        <v>0.367249967174439</v>
      </c>
      <c r="AY200" s="60" t="n">
        <f aca="false">IF(AX200=0,0,AX200-AT200/(3*AX200))</f>
        <v>0.60888329127384</v>
      </c>
      <c r="AZ200" s="60" t="n">
        <f aca="false">2*SQRT(MAX(-AT200,0)/3)</f>
        <v>0.595784626668918</v>
      </c>
      <c r="BA200" s="60" t="n">
        <f aca="false">ACOS(IF(AZ200=0,0,MAX(-1,MIN(1,3*AU200/(AT200*AZ200)))))</f>
        <v>0</v>
      </c>
      <c r="BB200" s="60" t="n">
        <f aca="false">AZ200*COS(BA200/3)</f>
        <v>0.595784626668918</v>
      </c>
      <c r="BC200" s="60" t="n">
        <f aca="false">IF(AV200&lt;0,BB200,AY200)-AQ200/3</f>
        <v>0.91158844983184</v>
      </c>
      <c r="BD200" s="60" t="n">
        <f aca="false">IFERROR((((BC200+AQ200)*BC200+AR200)*BC200+AS200)/((3*BC200+2*AQ200)*BC200+AR200),0)</f>
        <v>0</v>
      </c>
      <c r="BE200" s="60" t="n">
        <f aca="false">IF(ABS(BD200)&lt;0.1*ABS(BC200),BC200-BD200,BC200)</f>
        <v>0.91158844983184</v>
      </c>
      <c r="BF200" s="60" t="n">
        <f aca="false">IFERROR((((BE200+AQ200)*BE200+AR200)*BE200+AS200)/((3*BE200+2*AQ200)*BE200+AR200),0)</f>
        <v>0</v>
      </c>
      <c r="BG200" s="60" t="n">
        <f aca="false">IF(ABS(BF200)&lt;0.1*ABS(BE200),BE200-BF200,BE200)</f>
        <v>0.91158844983184</v>
      </c>
      <c r="BH200" s="60" t="n">
        <f aca="false">-AS200/BG200</f>
        <v>0.0118376711504565</v>
      </c>
      <c r="BI200" s="60" t="n">
        <f aca="false">(AR200-BH200)/BG200</f>
        <v>-0.00347297415783941</v>
      </c>
      <c r="BJ200" s="60" t="n">
        <f aca="false">BI200^2-4*BH200</f>
        <v>-0.0473386230523248</v>
      </c>
      <c r="BK200" s="60" t="n">
        <f aca="false">IF(BJ200&gt;=0,(BI200+IF(BI200&gt;=0,1,-1)*SQRT(BJ200))/2,0)</f>
        <v>0</v>
      </c>
      <c r="BL200" s="60" t="n">
        <f aca="false">IF(AND(BJ200&gt;=0,BK200&lt;&gt;0),MIN(BK200,BH200/BK200),-1)</f>
        <v>-1</v>
      </c>
      <c r="BM200" s="60" t="n">
        <f aca="false">AND(BJ200&gt;=0,BL200&gt;AP200,ABS(BG200-BL200)&gt;=0.00005*MAX(BG200,BL200))</f>
        <v>0</v>
      </c>
      <c r="BN200" s="60" t="n">
        <f aca="false">IF(BM200,IFERROR((((BL200+AQ200)*BL200+AR200)*BL200+AS200)/((3*BL200+2*AQ200)*BL200+AR200),0),0)</f>
        <v>0</v>
      </c>
      <c r="BO200" s="60" t="n">
        <f aca="false">IF(ABS(BN200)&lt;0.1*ABS(BL200),BL200-BN200,BL200)</f>
        <v>-1</v>
      </c>
      <c r="BP200" s="60" t="n">
        <f aca="false">IF(BM200,IFERROR((((BO200+AQ200)*BO200+AR200)*BO200+AS200)/((3*BO200+2*AQ200)*BO200+AR200),0),0)</f>
        <v>0</v>
      </c>
      <c r="BQ200" s="60" t="n">
        <f aca="false">IF(ABS(BP200)&lt;0.1*ABS(BO200),BO200-BP200,BO200)</f>
        <v>-1</v>
      </c>
      <c r="BR200" s="60" t="n">
        <f aca="false">IF(BM200,MAX(BG200,BQ200),BG200)</f>
        <v>0.91158844983184</v>
      </c>
      <c r="BS200" s="60" t="n">
        <f aca="false">IF(BM200,MIN(BG200,BQ200),-1)</f>
        <v>-1</v>
      </c>
      <c r="BT200" s="60" t="n">
        <f aca="false">CHOOSE($C$7,AO200/BR200,AO200/AP200*LN(1+AP200/BR200),AO200/(2*SQRT(2)*AP200)*LN((BR200+(1+SQRT(2))*AP200)/(BR200+(1-SQRT(2))*AP200)))</f>
        <v>0.218240791233887</v>
      </c>
      <c r="BU200" s="60" t="n">
        <f aca="false">BR200-1-LN(BR200-AP200)-BT200</f>
        <v>-0.107840271021729</v>
      </c>
      <c r="BV200" s="60" t="n">
        <f aca="false">IF(BM200,CHOOSE($C$7,AO200/BS200,AO200/AP200*LN(1+AP200/BS200),AO200/(2*SQRT(2)*AP200)*LN((BS200+(1+SQRT(2))*AP200)/(BS200+(1-SQRT(2))*AP200))),0)</f>
        <v>0</v>
      </c>
      <c r="BW200" s="60" t="n">
        <f aca="false">IF(BM200,BS200-1-LN(BS200-AP200)-BV200,0)</f>
        <v>0</v>
      </c>
      <c r="BX200" s="60" t="n">
        <f aca="false">AND(BM200,BW200&lt;BU200)</f>
        <v>0</v>
      </c>
      <c r="BY200" s="60" t="n">
        <f aca="false">IF(BX200,BS200,BR200)</f>
        <v>0.91158844983184</v>
      </c>
      <c r="BZ200" s="60" t="n">
        <f aca="false">IF(BX200,BV200,BT200)</f>
        <v>0.218240791233887</v>
      </c>
      <c r="CA200" s="60" t="n">
        <f aca="false">LN(BY200-AP200)</f>
        <v>-0.198812070380318</v>
      </c>
      <c r="CB200" s="60" t="n">
        <f aca="false">$E$27/AN200*(BY200-1)-CA200-BZ200*(2*AA200/AM200-$E$27/AN200)</f>
        <v>-0.107840271021729</v>
      </c>
      <c r="CC200" s="60" t="n">
        <f aca="false">$F$27/AN200*(BY200-1)-CA200-BZ200*(2*AB200/AM200-$F$27/AN200)</f>
        <v>0.198812070380318</v>
      </c>
      <c r="CD200" s="60" t="n">
        <f aca="false">$G$27/AN200*(BY200-1)-CA200-BZ200*(2*AC200/AM200-$G$27/AN200)</f>
        <v>0.198812070380318</v>
      </c>
      <c r="CE200" s="60" t="n">
        <f aca="false">$H$27/AN200*(BY200-1)-CA200-BZ200*(2*AD200/AM200-$H$27/AN200)</f>
        <v>0.198812070380318</v>
      </c>
      <c r="CF200" s="60" t="n">
        <f aca="false">$I$27/AN200*(BY200-1)-CA200-BZ200*(2*AE200/AM200-$I$27/AN200)</f>
        <v>0.198812070380318</v>
      </c>
      <c r="CG200" s="60" t="n">
        <f aca="false">$J$27/AN200*(BY200-1)-CA200-BZ200*(2*AF200/AM200-$J$27/AN200)</f>
        <v>0.198812070380318</v>
      </c>
      <c r="CH200" s="60" t="n">
        <f aca="false">$K$27/AN200*(BY200-1)-CA200-BZ200*(2*AG200/AM200-$K$27/AN200)</f>
        <v>0.198812070380318</v>
      </c>
      <c r="CI200" s="60" t="n">
        <f aca="false">$L$27/AN200*(BY200-1)-CA200-BZ200*(2*AH200/AM200-$L$27/AN200)</f>
        <v>0.198812070380318</v>
      </c>
      <c r="CJ200" s="60" t="n">
        <f aca="false">$M$27/AN200*(BY200-1)-CA200-BZ200*(2*AI200/AM200-$M$27/AN200)</f>
        <v>0.198812070380318</v>
      </c>
      <c r="CK200" s="60" t="n">
        <f aca="false">$N$27/AN200*(BY200-1)-CA200-BZ200*(2*AJ200/AM200-$N$27/AN200)</f>
        <v>0.198812070380318</v>
      </c>
      <c r="CL200" s="60" t="n">
        <f aca="false">$O$27/AN200*(BY200-1)-CA200-BZ200*(2*AK200/AM200-$O$27/AN200)</f>
        <v>0.198812070380318</v>
      </c>
      <c r="CM200" s="60" t="n">
        <f aca="false">$P$27/AN200*(BY200-1)-CA200-BZ200*(2*AL200/AM200-$P$27/AN200)</f>
        <v>0.198812070380318</v>
      </c>
      <c r="CN200" s="60" t="n">
        <f aca="false">AP200/BY200&gt;$C$22</f>
        <v>0</v>
      </c>
      <c r="CO200" s="60" t="n">
        <f aca="false">1-N200+SUMPRODUCT(B200:M200,CB200:CM200)-SUMPRODUCT(B200:M200,CB199:CM199)</f>
        <v>0</v>
      </c>
      <c r="CP200" s="60" t="n">
        <f aca="false">SUMXMY2(O200:Z200,$E$13:$P$13)</f>
        <v>0</v>
      </c>
    </row>
    <row r="201" customFormat="false" ht="15" hidden="false" customHeight="false" outlineLevel="0" collapsed="false">
      <c r="A201" s="59" t="n">
        <v>36</v>
      </c>
      <c r="B201" s="60" t="n">
        <f aca="false">$E$13*EXP(MAX(-700,MIN(700,$E$86-CB200)))</f>
        <v>1</v>
      </c>
      <c r="C201" s="60" t="n">
        <f aca="false">$F$13*EXP(MAX(-700,MIN(700,$F$86-CC200)))</f>
        <v>0</v>
      </c>
      <c r="D201" s="60" t="n">
        <f aca="false">$G$13*EXP(MAX(-700,MIN(700,$G$86-CD200)))</f>
        <v>0</v>
      </c>
      <c r="E201" s="60" t="n">
        <f aca="false">$H$13*EXP(MAX(-700,MIN(700,$H$86-CE200)))</f>
        <v>0</v>
      </c>
      <c r="F201" s="60" t="n">
        <f aca="false">$I$13*EXP(MAX(-700,MIN(700,$I$86-CF200)))</f>
        <v>0</v>
      </c>
      <c r="G201" s="60" t="n">
        <f aca="false">$J$13*EXP(MAX(-700,MIN(700,$J$86-CG200)))</f>
        <v>0</v>
      </c>
      <c r="H201" s="60" t="n">
        <f aca="false">$K$13*EXP(MAX(-700,MIN(700,$K$86-CH200)))</f>
        <v>0</v>
      </c>
      <c r="I201" s="60" t="n">
        <f aca="false">$L$13*EXP(MAX(-700,MIN(700,$L$86-CI200)))</f>
        <v>0</v>
      </c>
      <c r="J201" s="60" t="n">
        <f aca="false">$M$13*EXP(MAX(-700,MIN(700,$M$86-CJ200)))</f>
        <v>0</v>
      </c>
      <c r="K201" s="60" t="n">
        <f aca="false">$N$13*EXP(MAX(-700,MIN(700,$N$86-CK200)))</f>
        <v>0</v>
      </c>
      <c r="L201" s="60" t="n">
        <f aca="false">$O$13*EXP(MAX(-700,MIN(700,$O$86-CL200)))</f>
        <v>0</v>
      </c>
      <c r="M201" s="60" t="n">
        <f aca="false">$P$13*EXP(MAX(-700,MIN(700,$P$86-CM200)))</f>
        <v>0</v>
      </c>
      <c r="N201" s="60" t="n">
        <f aca="false">SUM(B201:M201)</f>
        <v>1</v>
      </c>
      <c r="O201" s="60" t="n">
        <f aca="false">B201/N201</f>
        <v>1</v>
      </c>
      <c r="P201" s="60" t="n">
        <f aca="false">C201/N201</f>
        <v>0</v>
      </c>
      <c r="Q201" s="60" t="n">
        <f aca="false">D201/N201</f>
        <v>0</v>
      </c>
      <c r="R201" s="60" t="n">
        <f aca="false">E201/N201</f>
        <v>0</v>
      </c>
      <c r="S201" s="60" t="n">
        <f aca="false">F201/N201</f>
        <v>0</v>
      </c>
      <c r="T201" s="60" t="n">
        <f aca="false">G201/N201</f>
        <v>0</v>
      </c>
      <c r="U201" s="60" t="n">
        <f aca="false">H201/N201</f>
        <v>0</v>
      </c>
      <c r="V201" s="60" t="n">
        <f aca="false">I201/N201</f>
        <v>0</v>
      </c>
      <c r="W201" s="60" t="n">
        <f aca="false">J201/N201</f>
        <v>0</v>
      </c>
      <c r="X201" s="60" t="n">
        <f aca="false">K201/N201</f>
        <v>0</v>
      </c>
      <c r="Y201" s="60" t="n">
        <f aca="false">L201/N201</f>
        <v>0</v>
      </c>
      <c r="Z201" s="60" t="n">
        <f aca="false">M201/N201</f>
        <v>0</v>
      </c>
      <c r="AA201" s="60" t="n">
        <f aca="false">$E$28*SUMPRODUCT($E$31:$P$31,O201:Z201,$E$28:$P$28)</f>
        <v>0.184416866619846</v>
      </c>
      <c r="AB201" s="60" t="n">
        <f aca="false">$F$28*SUMPRODUCT($E$32:$P$32,O201:Z201,$E$28:$P$28)</f>
        <v>0</v>
      </c>
      <c r="AC201" s="60" t="n">
        <f aca="false">$G$28*SUMPRODUCT($E$33:$P$33,O201:Z201,$E$28:$P$28)</f>
        <v>0</v>
      </c>
      <c r="AD201" s="60" t="n">
        <f aca="false">$H$28*SUMPRODUCT($E$34:$P$34,O201:Z201,$E$28:$P$28)</f>
        <v>0</v>
      </c>
      <c r="AE201" s="60" t="n">
        <f aca="false">$I$28*SUMPRODUCT($E$35:$P$35,O201:Z201,$E$28:$P$28)</f>
        <v>0</v>
      </c>
      <c r="AF201" s="60" t="n">
        <f aca="false">$J$28*SUMPRODUCT($E$36:$P$36,O201:Z201,$E$28:$P$28)</f>
        <v>0</v>
      </c>
      <c r="AG201" s="60" t="n">
        <f aca="false">$K$28*SUMPRODUCT($E$37:$P$37,O201:Z201,$E$28:$P$28)</f>
        <v>0</v>
      </c>
      <c r="AH201" s="60" t="n">
        <f aca="false">$L$28*SUMPRODUCT($E$38:$P$38,O201:Z201,$E$28:$P$28)</f>
        <v>0</v>
      </c>
      <c r="AI201" s="60" t="n">
        <f aca="false">$M$28*SUMPRODUCT($E$39:$P$39,O201:Z201,$E$28:$P$28)</f>
        <v>0</v>
      </c>
      <c r="AJ201" s="60" t="n">
        <f aca="false">$N$28*SUMPRODUCT($E$40:$P$40,O201:Z201,$E$28:$P$28)</f>
        <v>0</v>
      </c>
      <c r="AK201" s="60" t="n">
        <f aca="false">$O$28*SUMPRODUCT($E$41:$P$41,O201:Z201,$E$28:$P$28)</f>
        <v>0</v>
      </c>
      <c r="AL201" s="60" t="n">
        <f aca="false">$P$28*SUMPRODUCT($E$42:$P$42,O201:Z201,$E$28:$P$28)</f>
        <v>0</v>
      </c>
      <c r="AM201" s="60" t="n">
        <f aca="false">SUMPRODUCT(O201:Z201,AA201:AL201)</f>
        <v>0.184416866619846</v>
      </c>
      <c r="AN201" s="60" t="n">
        <f aca="false">SUMPRODUCT(O201:Z201,$E$27:$P$27)</f>
        <v>2.67389635063809E-005</v>
      </c>
      <c r="AO201" s="60" t="n">
        <f aca="false">AM201*$C$9/($C$10*$C$8)^2</f>
        <v>0.21776909410545</v>
      </c>
      <c r="AP201" s="60" t="n">
        <f aca="false">AN201*$C$9/($C$10*$C$8)</f>
        <v>0.0918845243259994</v>
      </c>
      <c r="AQ201" s="60" t="n">
        <f aca="false">CHOOSE($C$7,-(1+AP201),-1,-(1-AP201))</f>
        <v>-0.908115475674001</v>
      </c>
      <c r="AR201" s="60" t="n">
        <f aca="false">CHOOSE($C$7,AO201,AO201-AP201-AP201^2,AO201-3*AP201^2-2*AP201)</f>
        <v>0.00867174802160559</v>
      </c>
      <c r="AS201" s="60" t="n">
        <f aca="false">CHOOSE($C$7,-AO201*AP201,-AO201*AP201,-(AO201*AP201-AP201^2-AP201^3))</f>
        <v>-0.0107910842936637</v>
      </c>
      <c r="AT201" s="60" t="n">
        <f aca="false">AR201-AQ201^2/3</f>
        <v>-0.266219491031267</v>
      </c>
      <c r="AU201" s="60" t="n">
        <f aca="false">2*AQ201^3/27-AQ201*AR201/3+AS201</f>
        <v>-0.0636400988362784</v>
      </c>
      <c r="AV201" s="60" t="n">
        <f aca="false">AU201^2/4+AT201^3/27</f>
        <v>0.000313710901361829</v>
      </c>
      <c r="AW201" s="60" t="n">
        <f aca="false">-AU201/2-IF(AU201&gt;=0,1,-1)*SQRT(MAX(AV201,0))</f>
        <v>0.0495319352963236</v>
      </c>
      <c r="AX201" s="60" t="n">
        <f aca="false">SIGN(AW201)*ABS(AW201)^(1/3)</f>
        <v>0.367249967174439</v>
      </c>
      <c r="AY201" s="60" t="n">
        <f aca="false">IF(AX201=0,0,AX201-AT201/(3*AX201))</f>
        <v>0.60888329127384</v>
      </c>
      <c r="AZ201" s="60" t="n">
        <f aca="false">2*SQRT(MAX(-AT201,0)/3)</f>
        <v>0.595784626668918</v>
      </c>
      <c r="BA201" s="60" t="n">
        <f aca="false">ACOS(IF(AZ201=0,0,MAX(-1,MIN(1,3*AU201/(AT201*AZ201)))))</f>
        <v>0</v>
      </c>
      <c r="BB201" s="60" t="n">
        <f aca="false">AZ201*COS(BA201/3)</f>
        <v>0.595784626668918</v>
      </c>
      <c r="BC201" s="60" t="n">
        <f aca="false">IF(AV201&lt;0,BB201,AY201)-AQ201/3</f>
        <v>0.91158844983184</v>
      </c>
      <c r="BD201" s="60" t="n">
        <f aca="false">IFERROR((((BC201+AQ201)*BC201+AR201)*BC201+AS201)/((3*BC201+2*AQ201)*BC201+AR201),0)</f>
        <v>0</v>
      </c>
      <c r="BE201" s="60" t="n">
        <f aca="false">IF(ABS(BD201)&lt;0.1*ABS(BC201),BC201-BD201,BC201)</f>
        <v>0.91158844983184</v>
      </c>
      <c r="BF201" s="60" t="n">
        <f aca="false">IFERROR((((BE201+AQ201)*BE201+AR201)*BE201+AS201)/((3*BE201+2*AQ201)*BE201+AR201),0)</f>
        <v>0</v>
      </c>
      <c r="BG201" s="60" t="n">
        <f aca="false">IF(ABS(BF201)&lt;0.1*ABS(BE201),BE201-BF201,BE201)</f>
        <v>0.91158844983184</v>
      </c>
      <c r="BH201" s="60" t="n">
        <f aca="false">-AS201/BG201</f>
        <v>0.0118376711504565</v>
      </c>
      <c r="BI201" s="60" t="n">
        <f aca="false">(AR201-BH201)/BG201</f>
        <v>-0.00347297415783941</v>
      </c>
      <c r="BJ201" s="60" t="n">
        <f aca="false">BI201^2-4*BH201</f>
        <v>-0.0473386230523248</v>
      </c>
      <c r="BK201" s="60" t="n">
        <f aca="false">IF(BJ201&gt;=0,(BI201+IF(BI201&gt;=0,1,-1)*SQRT(BJ201))/2,0)</f>
        <v>0</v>
      </c>
      <c r="BL201" s="60" t="n">
        <f aca="false">IF(AND(BJ201&gt;=0,BK201&lt;&gt;0),MIN(BK201,BH201/BK201),-1)</f>
        <v>-1</v>
      </c>
      <c r="BM201" s="60" t="n">
        <f aca="false">AND(BJ201&gt;=0,BL201&gt;AP201,ABS(BG201-BL201)&gt;=0.00005*MAX(BG201,BL201))</f>
        <v>0</v>
      </c>
      <c r="BN201" s="60" t="n">
        <f aca="false">IF(BM201,IFERROR((((BL201+AQ201)*BL201+AR201)*BL201+AS201)/((3*BL201+2*AQ201)*BL201+AR201),0),0)</f>
        <v>0</v>
      </c>
      <c r="BO201" s="60" t="n">
        <f aca="false">IF(ABS(BN201)&lt;0.1*ABS(BL201),BL201-BN201,BL201)</f>
        <v>-1</v>
      </c>
      <c r="BP201" s="60" t="n">
        <f aca="false">IF(BM201,IFERROR((((BO201+AQ201)*BO201+AR201)*BO201+AS201)/((3*BO201+2*AQ201)*BO201+AR201),0),0)</f>
        <v>0</v>
      </c>
      <c r="BQ201" s="60" t="n">
        <f aca="false">IF(ABS(BP201)&lt;0.1*ABS(BO201),BO201-BP201,BO201)</f>
        <v>-1</v>
      </c>
      <c r="BR201" s="60" t="n">
        <f aca="false">IF(BM201,MAX(BG201,BQ201),BG201)</f>
        <v>0.91158844983184</v>
      </c>
      <c r="BS201" s="60" t="n">
        <f aca="false">IF(BM201,MIN(BG201,BQ201),-1)</f>
        <v>-1</v>
      </c>
      <c r="BT201" s="60" t="n">
        <f aca="false">CHOOSE($C$7,AO201/BR201,AO201/AP201*LN(1+AP201/BR201),AO201/(2*SQRT(2)*AP201)*LN((BR201+(1+SQRT(2))*AP201)/(BR201+(1-SQRT(2))*AP201)))</f>
        <v>0.218240791233887</v>
      </c>
      <c r="BU201" s="60" t="n">
        <f aca="false">BR201-1-LN(BR201-AP201)-BT201</f>
        <v>-0.107840271021729</v>
      </c>
      <c r="BV201" s="60" t="n">
        <f aca="false">IF(BM201,CHOOSE($C$7,AO201/BS201,AO201/AP201*LN(1+AP201/BS201),AO201/(2*SQRT(2)*AP201)*LN((BS201+(1+SQRT(2))*AP201)/(BS201+(1-SQRT(2))*AP201))),0)</f>
        <v>0</v>
      </c>
      <c r="BW201" s="60" t="n">
        <f aca="false">IF(BM201,BS201-1-LN(BS201-AP201)-BV201,0)</f>
        <v>0</v>
      </c>
      <c r="BX201" s="60" t="n">
        <f aca="false">AND(BM201,BW201&lt;BU201)</f>
        <v>0</v>
      </c>
      <c r="BY201" s="60" t="n">
        <f aca="false">IF(BX201,BS201,BR201)</f>
        <v>0.91158844983184</v>
      </c>
      <c r="BZ201" s="60" t="n">
        <f aca="false">IF(BX201,BV201,BT201)</f>
        <v>0.218240791233887</v>
      </c>
      <c r="CA201" s="60" t="n">
        <f aca="false">LN(BY201-AP201)</f>
        <v>-0.198812070380318</v>
      </c>
      <c r="CB201" s="60" t="n">
        <f aca="false">$E$27/AN201*(BY201-1)-CA201-BZ201*(2*AA201/AM201-$E$27/AN201)</f>
        <v>-0.107840271021729</v>
      </c>
      <c r="CC201" s="60" t="n">
        <f aca="false">$F$27/AN201*(BY201-1)-CA201-BZ201*(2*AB201/AM201-$F$27/AN201)</f>
        <v>0.198812070380318</v>
      </c>
      <c r="CD201" s="60" t="n">
        <f aca="false">$G$27/AN201*(BY201-1)-CA201-BZ201*(2*AC201/AM201-$G$27/AN201)</f>
        <v>0.198812070380318</v>
      </c>
      <c r="CE201" s="60" t="n">
        <f aca="false">$H$27/AN201*(BY201-1)-CA201-BZ201*(2*AD201/AM201-$H$27/AN201)</f>
        <v>0.198812070380318</v>
      </c>
      <c r="CF201" s="60" t="n">
        <f aca="false">$I$27/AN201*(BY201-1)-CA201-BZ201*(2*AE201/AM201-$I$27/AN201)</f>
        <v>0.198812070380318</v>
      </c>
      <c r="CG201" s="60" t="n">
        <f aca="false">$J$27/AN201*(BY201-1)-CA201-BZ201*(2*AF201/AM201-$J$27/AN201)</f>
        <v>0.198812070380318</v>
      </c>
      <c r="CH201" s="60" t="n">
        <f aca="false">$K$27/AN201*(BY201-1)-CA201-BZ201*(2*AG201/AM201-$K$27/AN201)</f>
        <v>0.198812070380318</v>
      </c>
      <c r="CI201" s="60" t="n">
        <f aca="false">$L$27/AN201*(BY201-1)-CA201-BZ201*(2*AH201/AM201-$L$27/AN201)</f>
        <v>0.198812070380318</v>
      </c>
      <c r="CJ201" s="60" t="n">
        <f aca="false">$M$27/AN201*(BY201-1)-CA201-BZ201*(2*AI201/AM201-$M$27/AN201)</f>
        <v>0.198812070380318</v>
      </c>
      <c r="CK201" s="60" t="n">
        <f aca="false">$N$27/AN201*(BY201-1)-CA201-BZ201*(2*AJ201/AM201-$N$27/AN201)</f>
        <v>0.198812070380318</v>
      </c>
      <c r="CL201" s="60" t="n">
        <f aca="false">$O$27/AN201*(BY201-1)-CA201-BZ201*(2*AK201/AM201-$O$27/AN201)</f>
        <v>0.198812070380318</v>
      </c>
      <c r="CM201" s="60" t="n">
        <f aca="false">$P$27/AN201*(BY201-1)-CA201-BZ201*(2*AL201/AM201-$P$27/AN201)</f>
        <v>0.198812070380318</v>
      </c>
      <c r="CN201" s="60" t="n">
        <f aca="false">AP201/BY201&gt;$C$22</f>
        <v>0</v>
      </c>
      <c r="CO201" s="60" t="n">
        <f aca="false">1-N201+SUMPRODUCT(B201:M201,CB201:CM201)-SUMPRODUCT(B201:M201,CB200:CM200)</f>
        <v>0</v>
      </c>
      <c r="CP201" s="60" t="n">
        <f aca="false">SUMXMY2(O201:Z201,$E$13:$P$13)</f>
        <v>0</v>
      </c>
    </row>
    <row r="202" customFormat="false" ht="15" hidden="false" customHeight="false" outlineLevel="0" collapsed="false">
      <c r="A202" s="59" t="n">
        <v>37</v>
      </c>
      <c r="B202" s="60" t="n">
        <f aca="false">$E$13*EXP(MAX(-700,MIN(700,$E$86-CB201)))</f>
        <v>1</v>
      </c>
      <c r="C202" s="60" t="n">
        <f aca="false">$F$13*EXP(MAX(-700,MIN(700,$F$86-CC201)))</f>
        <v>0</v>
      </c>
      <c r="D202" s="60" t="n">
        <f aca="false">$G$13*EXP(MAX(-700,MIN(700,$G$86-CD201)))</f>
        <v>0</v>
      </c>
      <c r="E202" s="60" t="n">
        <f aca="false">$H$13*EXP(MAX(-700,MIN(700,$H$86-CE201)))</f>
        <v>0</v>
      </c>
      <c r="F202" s="60" t="n">
        <f aca="false">$I$13*EXP(MAX(-700,MIN(700,$I$86-CF201)))</f>
        <v>0</v>
      </c>
      <c r="G202" s="60" t="n">
        <f aca="false">$J$13*EXP(MAX(-700,MIN(700,$J$86-CG201)))</f>
        <v>0</v>
      </c>
      <c r="H202" s="60" t="n">
        <f aca="false">$K$13*EXP(MAX(-700,MIN(700,$K$86-CH201)))</f>
        <v>0</v>
      </c>
      <c r="I202" s="60" t="n">
        <f aca="false">$L$13*EXP(MAX(-700,MIN(700,$L$86-CI201)))</f>
        <v>0</v>
      </c>
      <c r="J202" s="60" t="n">
        <f aca="false">$M$13*EXP(MAX(-700,MIN(700,$M$86-CJ201)))</f>
        <v>0</v>
      </c>
      <c r="K202" s="60" t="n">
        <f aca="false">$N$13*EXP(MAX(-700,MIN(700,$N$86-CK201)))</f>
        <v>0</v>
      </c>
      <c r="L202" s="60" t="n">
        <f aca="false">$O$13*EXP(MAX(-700,MIN(700,$O$86-CL201)))</f>
        <v>0</v>
      </c>
      <c r="M202" s="60" t="n">
        <f aca="false">$P$13*EXP(MAX(-700,MIN(700,$P$86-CM201)))</f>
        <v>0</v>
      </c>
      <c r="N202" s="60" t="n">
        <f aca="false">SUM(B202:M202)</f>
        <v>1</v>
      </c>
      <c r="O202" s="60" t="n">
        <f aca="false">B202/N202</f>
        <v>1</v>
      </c>
      <c r="P202" s="60" t="n">
        <f aca="false">C202/N202</f>
        <v>0</v>
      </c>
      <c r="Q202" s="60" t="n">
        <f aca="false">D202/N202</f>
        <v>0</v>
      </c>
      <c r="R202" s="60" t="n">
        <f aca="false">E202/N202</f>
        <v>0</v>
      </c>
      <c r="S202" s="60" t="n">
        <f aca="false">F202/N202</f>
        <v>0</v>
      </c>
      <c r="T202" s="60" t="n">
        <f aca="false">G202/N202</f>
        <v>0</v>
      </c>
      <c r="U202" s="60" t="n">
        <f aca="false">H202/N202</f>
        <v>0</v>
      </c>
      <c r="V202" s="60" t="n">
        <f aca="false">I202/N202</f>
        <v>0</v>
      </c>
      <c r="W202" s="60" t="n">
        <f aca="false">J202/N202</f>
        <v>0</v>
      </c>
      <c r="X202" s="60" t="n">
        <f aca="false">K202/N202</f>
        <v>0</v>
      </c>
      <c r="Y202" s="60" t="n">
        <f aca="false">L202/N202</f>
        <v>0</v>
      </c>
      <c r="Z202" s="60" t="n">
        <f aca="false">M202/N202</f>
        <v>0</v>
      </c>
      <c r="AA202" s="60" t="n">
        <f aca="false">$E$28*SUMPRODUCT($E$31:$P$31,O202:Z202,$E$28:$P$28)</f>
        <v>0.184416866619846</v>
      </c>
      <c r="AB202" s="60" t="n">
        <f aca="false">$F$28*SUMPRODUCT($E$32:$P$32,O202:Z202,$E$28:$P$28)</f>
        <v>0</v>
      </c>
      <c r="AC202" s="60" t="n">
        <f aca="false">$G$28*SUMPRODUCT($E$33:$P$33,O202:Z202,$E$28:$P$28)</f>
        <v>0</v>
      </c>
      <c r="AD202" s="60" t="n">
        <f aca="false">$H$28*SUMPRODUCT($E$34:$P$34,O202:Z202,$E$28:$P$28)</f>
        <v>0</v>
      </c>
      <c r="AE202" s="60" t="n">
        <f aca="false">$I$28*SUMPRODUCT($E$35:$P$35,O202:Z202,$E$28:$P$28)</f>
        <v>0</v>
      </c>
      <c r="AF202" s="60" t="n">
        <f aca="false">$J$28*SUMPRODUCT($E$36:$P$36,O202:Z202,$E$28:$P$28)</f>
        <v>0</v>
      </c>
      <c r="AG202" s="60" t="n">
        <f aca="false">$K$28*SUMPRODUCT($E$37:$P$37,O202:Z202,$E$28:$P$28)</f>
        <v>0</v>
      </c>
      <c r="AH202" s="60" t="n">
        <f aca="false">$L$28*SUMPRODUCT($E$38:$P$38,O202:Z202,$E$28:$P$28)</f>
        <v>0</v>
      </c>
      <c r="AI202" s="60" t="n">
        <f aca="false">$M$28*SUMPRODUCT($E$39:$P$39,O202:Z202,$E$28:$P$28)</f>
        <v>0</v>
      </c>
      <c r="AJ202" s="60" t="n">
        <f aca="false">$N$28*SUMPRODUCT($E$40:$P$40,O202:Z202,$E$28:$P$28)</f>
        <v>0</v>
      </c>
      <c r="AK202" s="60" t="n">
        <f aca="false">$O$28*SUMPRODUCT($E$41:$P$41,O202:Z202,$E$28:$P$28)</f>
        <v>0</v>
      </c>
      <c r="AL202" s="60" t="n">
        <f aca="false">$P$28*SUMPRODUCT($E$42:$P$42,O202:Z202,$E$28:$P$28)</f>
        <v>0</v>
      </c>
      <c r="AM202" s="60" t="n">
        <f aca="false">SUMPRODUCT(O202:Z202,AA202:AL202)</f>
        <v>0.184416866619846</v>
      </c>
      <c r="AN202" s="60" t="n">
        <f aca="false">SUMPRODUCT(O202:Z202,$E$27:$P$27)</f>
        <v>2.67389635063809E-005</v>
      </c>
      <c r="AO202" s="60" t="n">
        <f aca="false">AM202*$C$9/($C$10*$C$8)^2</f>
        <v>0.21776909410545</v>
      </c>
      <c r="AP202" s="60" t="n">
        <f aca="false">AN202*$C$9/($C$10*$C$8)</f>
        <v>0.0918845243259994</v>
      </c>
      <c r="AQ202" s="60" t="n">
        <f aca="false">CHOOSE($C$7,-(1+AP202),-1,-(1-AP202))</f>
        <v>-0.908115475674001</v>
      </c>
      <c r="AR202" s="60" t="n">
        <f aca="false">CHOOSE($C$7,AO202,AO202-AP202-AP202^2,AO202-3*AP202^2-2*AP202)</f>
        <v>0.00867174802160559</v>
      </c>
      <c r="AS202" s="60" t="n">
        <f aca="false">CHOOSE($C$7,-AO202*AP202,-AO202*AP202,-(AO202*AP202-AP202^2-AP202^3))</f>
        <v>-0.0107910842936637</v>
      </c>
      <c r="AT202" s="60" t="n">
        <f aca="false">AR202-AQ202^2/3</f>
        <v>-0.266219491031267</v>
      </c>
      <c r="AU202" s="60" t="n">
        <f aca="false">2*AQ202^3/27-AQ202*AR202/3+AS202</f>
        <v>-0.0636400988362784</v>
      </c>
      <c r="AV202" s="60" t="n">
        <f aca="false">AU202^2/4+AT202^3/27</f>
        <v>0.000313710901361829</v>
      </c>
      <c r="AW202" s="60" t="n">
        <f aca="false">-AU202/2-IF(AU202&gt;=0,1,-1)*SQRT(MAX(AV202,0))</f>
        <v>0.0495319352963236</v>
      </c>
      <c r="AX202" s="60" t="n">
        <f aca="false">SIGN(AW202)*ABS(AW202)^(1/3)</f>
        <v>0.367249967174439</v>
      </c>
      <c r="AY202" s="60" t="n">
        <f aca="false">IF(AX202=0,0,AX202-AT202/(3*AX202))</f>
        <v>0.60888329127384</v>
      </c>
      <c r="AZ202" s="60" t="n">
        <f aca="false">2*SQRT(MAX(-AT202,0)/3)</f>
        <v>0.595784626668918</v>
      </c>
      <c r="BA202" s="60" t="n">
        <f aca="false">ACOS(IF(AZ202=0,0,MAX(-1,MIN(1,3*AU202/(AT202*AZ202)))))</f>
        <v>0</v>
      </c>
      <c r="BB202" s="60" t="n">
        <f aca="false">AZ202*COS(BA202/3)</f>
        <v>0.595784626668918</v>
      </c>
      <c r="BC202" s="60" t="n">
        <f aca="false">IF(AV202&lt;0,BB202,AY202)-AQ202/3</f>
        <v>0.91158844983184</v>
      </c>
      <c r="BD202" s="60" t="n">
        <f aca="false">IFERROR((((BC202+AQ202)*BC202+AR202)*BC202+AS202)/((3*BC202+2*AQ202)*BC202+AR202),0)</f>
        <v>0</v>
      </c>
      <c r="BE202" s="60" t="n">
        <f aca="false">IF(ABS(BD202)&lt;0.1*ABS(BC202),BC202-BD202,BC202)</f>
        <v>0.91158844983184</v>
      </c>
      <c r="BF202" s="60" t="n">
        <f aca="false">IFERROR((((BE202+AQ202)*BE202+AR202)*BE202+AS202)/((3*BE202+2*AQ202)*BE202+AR202),0)</f>
        <v>0</v>
      </c>
      <c r="BG202" s="60" t="n">
        <f aca="false">IF(ABS(BF202)&lt;0.1*ABS(BE202),BE202-BF202,BE202)</f>
        <v>0.91158844983184</v>
      </c>
      <c r="BH202" s="60" t="n">
        <f aca="false">-AS202/BG202</f>
        <v>0.0118376711504565</v>
      </c>
      <c r="BI202" s="60" t="n">
        <f aca="false">(AR202-BH202)/BG202</f>
        <v>-0.00347297415783941</v>
      </c>
      <c r="BJ202" s="60" t="n">
        <f aca="false">BI202^2-4*BH202</f>
        <v>-0.0473386230523248</v>
      </c>
      <c r="BK202" s="60" t="n">
        <f aca="false">IF(BJ202&gt;=0,(BI202+IF(BI202&gt;=0,1,-1)*SQRT(BJ202))/2,0)</f>
        <v>0</v>
      </c>
      <c r="BL202" s="60" t="n">
        <f aca="false">IF(AND(BJ202&gt;=0,BK202&lt;&gt;0),MIN(BK202,BH202/BK202),-1)</f>
        <v>-1</v>
      </c>
      <c r="BM202" s="60" t="n">
        <f aca="false">AND(BJ202&gt;=0,BL202&gt;AP202,ABS(BG202-BL202)&gt;=0.00005*MAX(BG202,BL202))</f>
        <v>0</v>
      </c>
      <c r="BN202" s="60" t="n">
        <f aca="false">IF(BM202,IFERROR((((BL202+AQ202)*BL202+AR202)*BL202+AS202)/((3*BL202+2*AQ202)*BL202+AR202),0),0)</f>
        <v>0</v>
      </c>
      <c r="BO202" s="60" t="n">
        <f aca="false">IF(ABS(BN202)&lt;0.1*ABS(BL202),BL202-BN202,BL202)</f>
        <v>-1</v>
      </c>
      <c r="BP202" s="60" t="n">
        <f aca="false">IF(BM202,IFERROR((((BO202+AQ202)*BO202+AR202)*BO202+AS202)/((3*BO202+2*AQ202)*BO202+AR202),0),0)</f>
        <v>0</v>
      </c>
      <c r="BQ202" s="60" t="n">
        <f aca="false">IF(ABS(BP202)&lt;0.1*ABS(BO202),BO202-BP202,BO202)</f>
        <v>-1</v>
      </c>
      <c r="BR202" s="60" t="n">
        <f aca="false">IF(BM202,MAX(BG202,BQ202),BG202)</f>
        <v>0.91158844983184</v>
      </c>
      <c r="BS202" s="60" t="n">
        <f aca="false">IF(BM202,MIN(BG202,BQ202),-1)</f>
        <v>-1</v>
      </c>
      <c r="BT202" s="60" t="n">
        <f aca="false">CHOOSE($C$7,AO202/BR202,AO202/AP202*LN(1+AP202/BR202),AO202/(2*SQRT(2)*AP202)*LN((BR202+(1+SQRT(2))*AP202)/(BR202+(1-SQRT(2))*AP202)))</f>
        <v>0.218240791233887</v>
      </c>
      <c r="BU202" s="60" t="n">
        <f aca="false">BR202-1-LN(BR202-AP202)-BT202</f>
        <v>-0.107840271021729</v>
      </c>
      <c r="BV202" s="60" t="n">
        <f aca="false">IF(BM202,CHOOSE($C$7,AO202/BS202,AO202/AP202*LN(1+AP202/BS202),AO202/(2*SQRT(2)*AP202)*LN((BS202+(1+SQRT(2))*AP202)/(BS202+(1-SQRT(2))*AP202))),0)</f>
        <v>0</v>
      </c>
      <c r="BW202" s="60" t="n">
        <f aca="false">IF(BM202,BS202-1-LN(BS202-AP202)-BV202,0)</f>
        <v>0</v>
      </c>
      <c r="BX202" s="60" t="n">
        <f aca="false">AND(BM202,BW202&lt;BU202)</f>
        <v>0</v>
      </c>
      <c r="BY202" s="60" t="n">
        <f aca="false">IF(BX202,BS202,BR202)</f>
        <v>0.91158844983184</v>
      </c>
      <c r="BZ202" s="60" t="n">
        <f aca="false">IF(BX202,BV202,BT202)</f>
        <v>0.218240791233887</v>
      </c>
      <c r="CA202" s="60" t="n">
        <f aca="false">LN(BY202-AP202)</f>
        <v>-0.198812070380318</v>
      </c>
      <c r="CB202" s="60" t="n">
        <f aca="false">$E$27/AN202*(BY202-1)-CA202-BZ202*(2*AA202/AM202-$E$27/AN202)</f>
        <v>-0.107840271021729</v>
      </c>
      <c r="CC202" s="60" t="n">
        <f aca="false">$F$27/AN202*(BY202-1)-CA202-BZ202*(2*AB202/AM202-$F$27/AN202)</f>
        <v>0.198812070380318</v>
      </c>
      <c r="CD202" s="60" t="n">
        <f aca="false">$G$27/AN202*(BY202-1)-CA202-BZ202*(2*AC202/AM202-$G$27/AN202)</f>
        <v>0.198812070380318</v>
      </c>
      <c r="CE202" s="60" t="n">
        <f aca="false">$H$27/AN202*(BY202-1)-CA202-BZ202*(2*AD202/AM202-$H$27/AN202)</f>
        <v>0.198812070380318</v>
      </c>
      <c r="CF202" s="60" t="n">
        <f aca="false">$I$27/AN202*(BY202-1)-CA202-BZ202*(2*AE202/AM202-$I$27/AN202)</f>
        <v>0.198812070380318</v>
      </c>
      <c r="CG202" s="60" t="n">
        <f aca="false">$J$27/AN202*(BY202-1)-CA202-BZ202*(2*AF202/AM202-$J$27/AN202)</f>
        <v>0.198812070380318</v>
      </c>
      <c r="CH202" s="60" t="n">
        <f aca="false">$K$27/AN202*(BY202-1)-CA202-BZ202*(2*AG202/AM202-$K$27/AN202)</f>
        <v>0.198812070380318</v>
      </c>
      <c r="CI202" s="60" t="n">
        <f aca="false">$L$27/AN202*(BY202-1)-CA202-BZ202*(2*AH202/AM202-$L$27/AN202)</f>
        <v>0.198812070380318</v>
      </c>
      <c r="CJ202" s="60" t="n">
        <f aca="false">$M$27/AN202*(BY202-1)-CA202-BZ202*(2*AI202/AM202-$M$27/AN202)</f>
        <v>0.198812070380318</v>
      </c>
      <c r="CK202" s="60" t="n">
        <f aca="false">$N$27/AN202*(BY202-1)-CA202-BZ202*(2*AJ202/AM202-$N$27/AN202)</f>
        <v>0.198812070380318</v>
      </c>
      <c r="CL202" s="60" t="n">
        <f aca="false">$O$27/AN202*(BY202-1)-CA202-BZ202*(2*AK202/AM202-$O$27/AN202)</f>
        <v>0.198812070380318</v>
      </c>
      <c r="CM202" s="60" t="n">
        <f aca="false">$P$27/AN202*(BY202-1)-CA202-BZ202*(2*AL202/AM202-$P$27/AN202)</f>
        <v>0.198812070380318</v>
      </c>
      <c r="CN202" s="60" t="n">
        <f aca="false">AP202/BY202&gt;$C$22</f>
        <v>0</v>
      </c>
      <c r="CO202" s="60" t="n">
        <f aca="false">1-N202+SUMPRODUCT(B202:M202,CB202:CM202)-SUMPRODUCT(B202:M202,CB201:CM201)</f>
        <v>0</v>
      </c>
      <c r="CP202" s="60" t="n">
        <f aca="false">SUMXMY2(O202:Z202,$E$13:$P$13)</f>
        <v>0</v>
      </c>
    </row>
    <row r="203" customFormat="false" ht="15" hidden="false" customHeight="false" outlineLevel="0" collapsed="false">
      <c r="A203" s="59" t="n">
        <v>38</v>
      </c>
      <c r="B203" s="60" t="n">
        <f aca="false">$E$13*EXP(MAX(-700,MIN(700,$E$86-CB202)))</f>
        <v>1</v>
      </c>
      <c r="C203" s="60" t="n">
        <f aca="false">$F$13*EXP(MAX(-700,MIN(700,$F$86-CC202)))</f>
        <v>0</v>
      </c>
      <c r="D203" s="60" t="n">
        <f aca="false">$G$13*EXP(MAX(-700,MIN(700,$G$86-CD202)))</f>
        <v>0</v>
      </c>
      <c r="E203" s="60" t="n">
        <f aca="false">$H$13*EXP(MAX(-700,MIN(700,$H$86-CE202)))</f>
        <v>0</v>
      </c>
      <c r="F203" s="60" t="n">
        <f aca="false">$I$13*EXP(MAX(-700,MIN(700,$I$86-CF202)))</f>
        <v>0</v>
      </c>
      <c r="G203" s="60" t="n">
        <f aca="false">$J$13*EXP(MAX(-700,MIN(700,$J$86-CG202)))</f>
        <v>0</v>
      </c>
      <c r="H203" s="60" t="n">
        <f aca="false">$K$13*EXP(MAX(-700,MIN(700,$K$86-CH202)))</f>
        <v>0</v>
      </c>
      <c r="I203" s="60" t="n">
        <f aca="false">$L$13*EXP(MAX(-700,MIN(700,$L$86-CI202)))</f>
        <v>0</v>
      </c>
      <c r="J203" s="60" t="n">
        <f aca="false">$M$13*EXP(MAX(-700,MIN(700,$M$86-CJ202)))</f>
        <v>0</v>
      </c>
      <c r="K203" s="60" t="n">
        <f aca="false">$N$13*EXP(MAX(-700,MIN(700,$N$86-CK202)))</f>
        <v>0</v>
      </c>
      <c r="L203" s="60" t="n">
        <f aca="false">$O$13*EXP(MAX(-700,MIN(700,$O$86-CL202)))</f>
        <v>0</v>
      </c>
      <c r="M203" s="60" t="n">
        <f aca="false">$P$13*EXP(MAX(-700,MIN(700,$P$86-CM202)))</f>
        <v>0</v>
      </c>
      <c r="N203" s="60" t="n">
        <f aca="false">SUM(B203:M203)</f>
        <v>1</v>
      </c>
      <c r="O203" s="60" t="n">
        <f aca="false">B203/N203</f>
        <v>1</v>
      </c>
      <c r="P203" s="60" t="n">
        <f aca="false">C203/N203</f>
        <v>0</v>
      </c>
      <c r="Q203" s="60" t="n">
        <f aca="false">D203/N203</f>
        <v>0</v>
      </c>
      <c r="R203" s="60" t="n">
        <f aca="false">E203/N203</f>
        <v>0</v>
      </c>
      <c r="S203" s="60" t="n">
        <f aca="false">F203/N203</f>
        <v>0</v>
      </c>
      <c r="T203" s="60" t="n">
        <f aca="false">G203/N203</f>
        <v>0</v>
      </c>
      <c r="U203" s="60" t="n">
        <f aca="false">H203/N203</f>
        <v>0</v>
      </c>
      <c r="V203" s="60" t="n">
        <f aca="false">I203/N203</f>
        <v>0</v>
      </c>
      <c r="W203" s="60" t="n">
        <f aca="false">J203/N203</f>
        <v>0</v>
      </c>
      <c r="X203" s="60" t="n">
        <f aca="false">K203/N203</f>
        <v>0</v>
      </c>
      <c r="Y203" s="60" t="n">
        <f aca="false">L203/N203</f>
        <v>0</v>
      </c>
      <c r="Z203" s="60" t="n">
        <f aca="false">M203/N203</f>
        <v>0</v>
      </c>
      <c r="AA203" s="60" t="n">
        <f aca="false">$E$28*SUMPRODUCT($E$31:$P$31,O203:Z203,$E$28:$P$28)</f>
        <v>0.184416866619846</v>
      </c>
      <c r="AB203" s="60" t="n">
        <f aca="false">$F$28*SUMPRODUCT($E$32:$P$32,O203:Z203,$E$28:$P$28)</f>
        <v>0</v>
      </c>
      <c r="AC203" s="60" t="n">
        <f aca="false">$G$28*SUMPRODUCT($E$33:$P$33,O203:Z203,$E$28:$P$28)</f>
        <v>0</v>
      </c>
      <c r="AD203" s="60" t="n">
        <f aca="false">$H$28*SUMPRODUCT($E$34:$P$34,O203:Z203,$E$28:$P$28)</f>
        <v>0</v>
      </c>
      <c r="AE203" s="60" t="n">
        <f aca="false">$I$28*SUMPRODUCT($E$35:$P$35,O203:Z203,$E$28:$P$28)</f>
        <v>0</v>
      </c>
      <c r="AF203" s="60" t="n">
        <f aca="false">$J$28*SUMPRODUCT($E$36:$P$36,O203:Z203,$E$28:$P$28)</f>
        <v>0</v>
      </c>
      <c r="AG203" s="60" t="n">
        <f aca="false">$K$28*SUMPRODUCT($E$37:$P$37,O203:Z203,$E$28:$P$28)</f>
        <v>0</v>
      </c>
      <c r="AH203" s="60" t="n">
        <f aca="false">$L$28*SUMPRODUCT($E$38:$P$38,O203:Z203,$E$28:$P$28)</f>
        <v>0</v>
      </c>
      <c r="AI203" s="60" t="n">
        <f aca="false">$M$28*SUMPRODUCT($E$39:$P$39,O203:Z203,$E$28:$P$28)</f>
        <v>0</v>
      </c>
      <c r="AJ203" s="60" t="n">
        <f aca="false">$N$28*SUMPRODUCT($E$40:$P$40,O203:Z203,$E$28:$P$28)</f>
        <v>0</v>
      </c>
      <c r="AK203" s="60" t="n">
        <f aca="false">$O$28*SUMPRODUCT($E$41:$P$41,O203:Z203,$E$28:$P$28)</f>
        <v>0</v>
      </c>
      <c r="AL203" s="60" t="n">
        <f aca="false">$P$28*SUMPRODUCT($E$42:$P$42,O203:Z203,$E$28:$P$28)</f>
        <v>0</v>
      </c>
      <c r="AM203" s="60" t="n">
        <f aca="false">SUMPRODUCT(O203:Z203,AA203:AL203)</f>
        <v>0.184416866619846</v>
      </c>
      <c r="AN203" s="60" t="n">
        <f aca="false">SUMPRODUCT(O203:Z203,$E$27:$P$27)</f>
        <v>2.67389635063809E-005</v>
      </c>
      <c r="AO203" s="60" t="n">
        <f aca="false">AM203*$C$9/($C$10*$C$8)^2</f>
        <v>0.21776909410545</v>
      </c>
      <c r="AP203" s="60" t="n">
        <f aca="false">AN203*$C$9/($C$10*$C$8)</f>
        <v>0.0918845243259994</v>
      </c>
      <c r="AQ203" s="60" t="n">
        <f aca="false">CHOOSE($C$7,-(1+AP203),-1,-(1-AP203))</f>
        <v>-0.908115475674001</v>
      </c>
      <c r="AR203" s="60" t="n">
        <f aca="false">CHOOSE($C$7,AO203,AO203-AP203-AP203^2,AO203-3*AP203^2-2*AP203)</f>
        <v>0.00867174802160559</v>
      </c>
      <c r="AS203" s="60" t="n">
        <f aca="false">CHOOSE($C$7,-AO203*AP203,-AO203*AP203,-(AO203*AP203-AP203^2-AP203^3))</f>
        <v>-0.0107910842936637</v>
      </c>
      <c r="AT203" s="60" t="n">
        <f aca="false">AR203-AQ203^2/3</f>
        <v>-0.266219491031267</v>
      </c>
      <c r="AU203" s="60" t="n">
        <f aca="false">2*AQ203^3/27-AQ203*AR203/3+AS203</f>
        <v>-0.0636400988362784</v>
      </c>
      <c r="AV203" s="60" t="n">
        <f aca="false">AU203^2/4+AT203^3/27</f>
        <v>0.000313710901361829</v>
      </c>
      <c r="AW203" s="60" t="n">
        <f aca="false">-AU203/2-IF(AU203&gt;=0,1,-1)*SQRT(MAX(AV203,0))</f>
        <v>0.0495319352963236</v>
      </c>
      <c r="AX203" s="60" t="n">
        <f aca="false">SIGN(AW203)*ABS(AW203)^(1/3)</f>
        <v>0.367249967174439</v>
      </c>
      <c r="AY203" s="60" t="n">
        <f aca="false">IF(AX203=0,0,AX203-AT203/(3*AX203))</f>
        <v>0.60888329127384</v>
      </c>
      <c r="AZ203" s="60" t="n">
        <f aca="false">2*SQRT(MAX(-AT203,0)/3)</f>
        <v>0.595784626668918</v>
      </c>
      <c r="BA203" s="60" t="n">
        <f aca="false">ACOS(IF(AZ203=0,0,MAX(-1,MIN(1,3*AU203/(AT203*AZ203)))))</f>
        <v>0</v>
      </c>
      <c r="BB203" s="60" t="n">
        <f aca="false">AZ203*COS(BA203/3)</f>
        <v>0.595784626668918</v>
      </c>
      <c r="BC203" s="60" t="n">
        <f aca="false">IF(AV203&lt;0,BB203,AY203)-AQ203/3</f>
        <v>0.91158844983184</v>
      </c>
      <c r="BD203" s="60" t="n">
        <f aca="false">IFERROR((((BC203+AQ203)*BC203+AR203)*BC203+AS203)/((3*BC203+2*AQ203)*BC203+AR203),0)</f>
        <v>0</v>
      </c>
      <c r="BE203" s="60" t="n">
        <f aca="false">IF(ABS(BD203)&lt;0.1*ABS(BC203),BC203-BD203,BC203)</f>
        <v>0.91158844983184</v>
      </c>
      <c r="BF203" s="60" t="n">
        <f aca="false">IFERROR((((BE203+AQ203)*BE203+AR203)*BE203+AS203)/((3*BE203+2*AQ203)*BE203+AR203),0)</f>
        <v>0</v>
      </c>
      <c r="BG203" s="60" t="n">
        <f aca="false">IF(ABS(BF203)&lt;0.1*ABS(BE203),BE203-BF203,BE203)</f>
        <v>0.91158844983184</v>
      </c>
      <c r="BH203" s="60" t="n">
        <f aca="false">-AS203/BG203</f>
        <v>0.0118376711504565</v>
      </c>
      <c r="BI203" s="60" t="n">
        <f aca="false">(AR203-BH203)/BG203</f>
        <v>-0.00347297415783941</v>
      </c>
      <c r="BJ203" s="60" t="n">
        <f aca="false">BI203^2-4*BH203</f>
        <v>-0.0473386230523248</v>
      </c>
      <c r="BK203" s="60" t="n">
        <f aca="false">IF(BJ203&gt;=0,(BI203+IF(BI203&gt;=0,1,-1)*SQRT(BJ203))/2,0)</f>
        <v>0</v>
      </c>
      <c r="BL203" s="60" t="n">
        <f aca="false">IF(AND(BJ203&gt;=0,BK203&lt;&gt;0),MIN(BK203,BH203/BK203),-1)</f>
        <v>-1</v>
      </c>
      <c r="BM203" s="60" t="n">
        <f aca="false">AND(BJ203&gt;=0,BL203&gt;AP203,ABS(BG203-BL203)&gt;=0.00005*MAX(BG203,BL203))</f>
        <v>0</v>
      </c>
      <c r="BN203" s="60" t="n">
        <f aca="false">IF(BM203,IFERROR((((BL203+AQ203)*BL203+AR203)*BL203+AS203)/((3*BL203+2*AQ203)*BL203+AR203),0),0)</f>
        <v>0</v>
      </c>
      <c r="BO203" s="60" t="n">
        <f aca="false">IF(ABS(BN203)&lt;0.1*ABS(BL203),BL203-BN203,BL203)</f>
        <v>-1</v>
      </c>
      <c r="BP203" s="60" t="n">
        <f aca="false">IF(BM203,IFERROR((((BO203+AQ203)*BO203+AR203)*BO203+AS203)/((3*BO203+2*AQ203)*BO203+AR203),0),0)</f>
        <v>0</v>
      </c>
      <c r="BQ203" s="60" t="n">
        <f aca="false">IF(ABS(BP203)&lt;0.1*ABS(BO203),BO203-BP203,BO203)</f>
        <v>-1</v>
      </c>
      <c r="BR203" s="60" t="n">
        <f aca="false">IF(BM203,MAX(BG203,BQ203),BG203)</f>
        <v>0.91158844983184</v>
      </c>
      <c r="BS203" s="60" t="n">
        <f aca="false">IF(BM203,MIN(BG203,BQ203),-1)</f>
        <v>-1</v>
      </c>
      <c r="BT203" s="60" t="n">
        <f aca="false">CHOOSE($C$7,AO203/BR203,AO203/AP203*LN(1+AP203/BR203),AO203/(2*SQRT(2)*AP203)*LN((BR203+(1+SQRT(2))*AP203)/(BR203+(1-SQRT(2))*AP203)))</f>
        <v>0.218240791233887</v>
      </c>
      <c r="BU203" s="60" t="n">
        <f aca="false">BR203-1-LN(BR203-AP203)-BT203</f>
        <v>-0.107840271021729</v>
      </c>
      <c r="BV203" s="60" t="n">
        <f aca="false">IF(BM203,CHOOSE($C$7,AO203/BS203,AO203/AP203*LN(1+AP203/BS203),AO203/(2*SQRT(2)*AP203)*LN((BS203+(1+SQRT(2))*AP203)/(BS203+(1-SQRT(2))*AP203))),0)</f>
        <v>0</v>
      </c>
      <c r="BW203" s="60" t="n">
        <f aca="false">IF(BM203,BS203-1-LN(BS203-AP203)-BV203,0)</f>
        <v>0</v>
      </c>
      <c r="BX203" s="60" t="n">
        <f aca="false">AND(BM203,BW203&lt;BU203)</f>
        <v>0</v>
      </c>
      <c r="BY203" s="60" t="n">
        <f aca="false">IF(BX203,BS203,BR203)</f>
        <v>0.91158844983184</v>
      </c>
      <c r="BZ203" s="60" t="n">
        <f aca="false">IF(BX203,BV203,BT203)</f>
        <v>0.218240791233887</v>
      </c>
      <c r="CA203" s="60" t="n">
        <f aca="false">LN(BY203-AP203)</f>
        <v>-0.198812070380318</v>
      </c>
      <c r="CB203" s="60" t="n">
        <f aca="false">$E$27/AN203*(BY203-1)-CA203-BZ203*(2*AA203/AM203-$E$27/AN203)</f>
        <v>-0.107840271021729</v>
      </c>
      <c r="CC203" s="60" t="n">
        <f aca="false">$F$27/AN203*(BY203-1)-CA203-BZ203*(2*AB203/AM203-$F$27/AN203)</f>
        <v>0.198812070380318</v>
      </c>
      <c r="CD203" s="60" t="n">
        <f aca="false">$G$27/AN203*(BY203-1)-CA203-BZ203*(2*AC203/AM203-$G$27/AN203)</f>
        <v>0.198812070380318</v>
      </c>
      <c r="CE203" s="60" t="n">
        <f aca="false">$H$27/AN203*(BY203-1)-CA203-BZ203*(2*AD203/AM203-$H$27/AN203)</f>
        <v>0.198812070380318</v>
      </c>
      <c r="CF203" s="60" t="n">
        <f aca="false">$I$27/AN203*(BY203-1)-CA203-BZ203*(2*AE203/AM203-$I$27/AN203)</f>
        <v>0.198812070380318</v>
      </c>
      <c r="CG203" s="60" t="n">
        <f aca="false">$J$27/AN203*(BY203-1)-CA203-BZ203*(2*AF203/AM203-$J$27/AN203)</f>
        <v>0.198812070380318</v>
      </c>
      <c r="CH203" s="60" t="n">
        <f aca="false">$K$27/AN203*(BY203-1)-CA203-BZ203*(2*AG203/AM203-$K$27/AN203)</f>
        <v>0.198812070380318</v>
      </c>
      <c r="CI203" s="60" t="n">
        <f aca="false">$L$27/AN203*(BY203-1)-CA203-BZ203*(2*AH203/AM203-$L$27/AN203)</f>
        <v>0.198812070380318</v>
      </c>
      <c r="CJ203" s="60" t="n">
        <f aca="false">$M$27/AN203*(BY203-1)-CA203-BZ203*(2*AI203/AM203-$M$27/AN203)</f>
        <v>0.198812070380318</v>
      </c>
      <c r="CK203" s="60" t="n">
        <f aca="false">$N$27/AN203*(BY203-1)-CA203-BZ203*(2*AJ203/AM203-$N$27/AN203)</f>
        <v>0.198812070380318</v>
      </c>
      <c r="CL203" s="60" t="n">
        <f aca="false">$O$27/AN203*(BY203-1)-CA203-BZ203*(2*AK203/AM203-$O$27/AN203)</f>
        <v>0.198812070380318</v>
      </c>
      <c r="CM203" s="60" t="n">
        <f aca="false">$P$27/AN203*(BY203-1)-CA203-BZ203*(2*AL203/AM203-$P$27/AN203)</f>
        <v>0.198812070380318</v>
      </c>
      <c r="CN203" s="60" t="n">
        <f aca="false">AP203/BY203&gt;$C$22</f>
        <v>0</v>
      </c>
      <c r="CO203" s="60" t="n">
        <f aca="false">1-N203+SUMPRODUCT(B203:M203,CB203:CM203)-SUMPRODUCT(B203:M203,CB202:CM202)</f>
        <v>0</v>
      </c>
      <c r="CP203" s="60" t="n">
        <f aca="false">SUMXMY2(O203:Z203,$E$13:$P$13)</f>
        <v>0</v>
      </c>
    </row>
    <row r="204" customFormat="false" ht="15" hidden="false" customHeight="false" outlineLevel="0" collapsed="false">
      <c r="A204" s="59" t="n">
        <v>39</v>
      </c>
      <c r="B204" s="60" t="n">
        <f aca="false">$E$13*EXP(MAX(-700,MIN(700,$E$86-CB203)))</f>
        <v>1</v>
      </c>
      <c r="C204" s="60" t="n">
        <f aca="false">$F$13*EXP(MAX(-700,MIN(700,$F$86-CC203)))</f>
        <v>0</v>
      </c>
      <c r="D204" s="60" t="n">
        <f aca="false">$G$13*EXP(MAX(-700,MIN(700,$G$86-CD203)))</f>
        <v>0</v>
      </c>
      <c r="E204" s="60" t="n">
        <f aca="false">$H$13*EXP(MAX(-700,MIN(700,$H$86-CE203)))</f>
        <v>0</v>
      </c>
      <c r="F204" s="60" t="n">
        <f aca="false">$I$13*EXP(MAX(-700,MIN(700,$I$86-CF203)))</f>
        <v>0</v>
      </c>
      <c r="G204" s="60" t="n">
        <f aca="false">$J$13*EXP(MAX(-700,MIN(700,$J$86-CG203)))</f>
        <v>0</v>
      </c>
      <c r="H204" s="60" t="n">
        <f aca="false">$K$13*EXP(MAX(-700,MIN(700,$K$86-CH203)))</f>
        <v>0</v>
      </c>
      <c r="I204" s="60" t="n">
        <f aca="false">$L$13*EXP(MAX(-700,MIN(700,$L$86-CI203)))</f>
        <v>0</v>
      </c>
      <c r="J204" s="60" t="n">
        <f aca="false">$M$13*EXP(MAX(-700,MIN(700,$M$86-CJ203)))</f>
        <v>0</v>
      </c>
      <c r="K204" s="60" t="n">
        <f aca="false">$N$13*EXP(MAX(-700,MIN(700,$N$86-CK203)))</f>
        <v>0</v>
      </c>
      <c r="L204" s="60" t="n">
        <f aca="false">$O$13*EXP(MAX(-700,MIN(700,$O$86-CL203)))</f>
        <v>0</v>
      </c>
      <c r="M204" s="60" t="n">
        <f aca="false">$P$13*EXP(MAX(-700,MIN(700,$P$86-CM203)))</f>
        <v>0</v>
      </c>
      <c r="N204" s="60" t="n">
        <f aca="false">SUM(B204:M204)</f>
        <v>1</v>
      </c>
      <c r="O204" s="60" t="n">
        <f aca="false">B204/N204</f>
        <v>1</v>
      </c>
      <c r="P204" s="60" t="n">
        <f aca="false">C204/N204</f>
        <v>0</v>
      </c>
      <c r="Q204" s="60" t="n">
        <f aca="false">D204/N204</f>
        <v>0</v>
      </c>
      <c r="R204" s="60" t="n">
        <f aca="false">E204/N204</f>
        <v>0</v>
      </c>
      <c r="S204" s="60" t="n">
        <f aca="false">F204/N204</f>
        <v>0</v>
      </c>
      <c r="T204" s="60" t="n">
        <f aca="false">G204/N204</f>
        <v>0</v>
      </c>
      <c r="U204" s="60" t="n">
        <f aca="false">H204/N204</f>
        <v>0</v>
      </c>
      <c r="V204" s="60" t="n">
        <f aca="false">I204/N204</f>
        <v>0</v>
      </c>
      <c r="W204" s="60" t="n">
        <f aca="false">J204/N204</f>
        <v>0</v>
      </c>
      <c r="X204" s="60" t="n">
        <f aca="false">K204/N204</f>
        <v>0</v>
      </c>
      <c r="Y204" s="60" t="n">
        <f aca="false">L204/N204</f>
        <v>0</v>
      </c>
      <c r="Z204" s="60" t="n">
        <f aca="false">M204/N204</f>
        <v>0</v>
      </c>
      <c r="AA204" s="60" t="n">
        <f aca="false">$E$28*SUMPRODUCT($E$31:$P$31,O204:Z204,$E$28:$P$28)</f>
        <v>0.184416866619846</v>
      </c>
      <c r="AB204" s="60" t="n">
        <f aca="false">$F$28*SUMPRODUCT($E$32:$P$32,O204:Z204,$E$28:$P$28)</f>
        <v>0</v>
      </c>
      <c r="AC204" s="60" t="n">
        <f aca="false">$G$28*SUMPRODUCT($E$33:$P$33,O204:Z204,$E$28:$P$28)</f>
        <v>0</v>
      </c>
      <c r="AD204" s="60" t="n">
        <f aca="false">$H$28*SUMPRODUCT($E$34:$P$34,O204:Z204,$E$28:$P$28)</f>
        <v>0</v>
      </c>
      <c r="AE204" s="60" t="n">
        <f aca="false">$I$28*SUMPRODUCT($E$35:$P$35,O204:Z204,$E$28:$P$28)</f>
        <v>0</v>
      </c>
      <c r="AF204" s="60" t="n">
        <f aca="false">$J$28*SUMPRODUCT($E$36:$P$36,O204:Z204,$E$28:$P$28)</f>
        <v>0</v>
      </c>
      <c r="AG204" s="60" t="n">
        <f aca="false">$K$28*SUMPRODUCT($E$37:$P$37,O204:Z204,$E$28:$P$28)</f>
        <v>0</v>
      </c>
      <c r="AH204" s="60" t="n">
        <f aca="false">$L$28*SUMPRODUCT($E$38:$P$38,O204:Z204,$E$28:$P$28)</f>
        <v>0</v>
      </c>
      <c r="AI204" s="60" t="n">
        <f aca="false">$M$28*SUMPRODUCT($E$39:$P$39,O204:Z204,$E$28:$P$28)</f>
        <v>0</v>
      </c>
      <c r="AJ204" s="60" t="n">
        <f aca="false">$N$28*SUMPRODUCT($E$40:$P$40,O204:Z204,$E$28:$P$28)</f>
        <v>0</v>
      </c>
      <c r="AK204" s="60" t="n">
        <f aca="false">$O$28*SUMPRODUCT($E$41:$P$41,O204:Z204,$E$28:$P$28)</f>
        <v>0</v>
      </c>
      <c r="AL204" s="60" t="n">
        <f aca="false">$P$28*SUMPRODUCT($E$42:$P$42,O204:Z204,$E$28:$P$28)</f>
        <v>0</v>
      </c>
      <c r="AM204" s="60" t="n">
        <f aca="false">SUMPRODUCT(O204:Z204,AA204:AL204)</f>
        <v>0.184416866619846</v>
      </c>
      <c r="AN204" s="60" t="n">
        <f aca="false">SUMPRODUCT(O204:Z204,$E$27:$P$27)</f>
        <v>2.67389635063809E-005</v>
      </c>
      <c r="AO204" s="60" t="n">
        <f aca="false">AM204*$C$9/($C$10*$C$8)^2</f>
        <v>0.21776909410545</v>
      </c>
      <c r="AP204" s="60" t="n">
        <f aca="false">AN204*$C$9/($C$10*$C$8)</f>
        <v>0.0918845243259994</v>
      </c>
      <c r="AQ204" s="60" t="n">
        <f aca="false">CHOOSE($C$7,-(1+AP204),-1,-(1-AP204))</f>
        <v>-0.908115475674001</v>
      </c>
      <c r="AR204" s="60" t="n">
        <f aca="false">CHOOSE($C$7,AO204,AO204-AP204-AP204^2,AO204-3*AP204^2-2*AP204)</f>
        <v>0.00867174802160559</v>
      </c>
      <c r="AS204" s="60" t="n">
        <f aca="false">CHOOSE($C$7,-AO204*AP204,-AO204*AP204,-(AO204*AP204-AP204^2-AP204^3))</f>
        <v>-0.0107910842936637</v>
      </c>
      <c r="AT204" s="60" t="n">
        <f aca="false">AR204-AQ204^2/3</f>
        <v>-0.266219491031267</v>
      </c>
      <c r="AU204" s="60" t="n">
        <f aca="false">2*AQ204^3/27-AQ204*AR204/3+AS204</f>
        <v>-0.0636400988362784</v>
      </c>
      <c r="AV204" s="60" t="n">
        <f aca="false">AU204^2/4+AT204^3/27</f>
        <v>0.000313710901361829</v>
      </c>
      <c r="AW204" s="60" t="n">
        <f aca="false">-AU204/2-IF(AU204&gt;=0,1,-1)*SQRT(MAX(AV204,0))</f>
        <v>0.0495319352963236</v>
      </c>
      <c r="AX204" s="60" t="n">
        <f aca="false">SIGN(AW204)*ABS(AW204)^(1/3)</f>
        <v>0.367249967174439</v>
      </c>
      <c r="AY204" s="60" t="n">
        <f aca="false">IF(AX204=0,0,AX204-AT204/(3*AX204))</f>
        <v>0.60888329127384</v>
      </c>
      <c r="AZ204" s="60" t="n">
        <f aca="false">2*SQRT(MAX(-AT204,0)/3)</f>
        <v>0.595784626668918</v>
      </c>
      <c r="BA204" s="60" t="n">
        <f aca="false">ACOS(IF(AZ204=0,0,MAX(-1,MIN(1,3*AU204/(AT204*AZ204)))))</f>
        <v>0</v>
      </c>
      <c r="BB204" s="60" t="n">
        <f aca="false">AZ204*COS(BA204/3)</f>
        <v>0.595784626668918</v>
      </c>
      <c r="BC204" s="60" t="n">
        <f aca="false">IF(AV204&lt;0,BB204,AY204)-AQ204/3</f>
        <v>0.91158844983184</v>
      </c>
      <c r="BD204" s="60" t="n">
        <f aca="false">IFERROR((((BC204+AQ204)*BC204+AR204)*BC204+AS204)/((3*BC204+2*AQ204)*BC204+AR204),0)</f>
        <v>0</v>
      </c>
      <c r="BE204" s="60" t="n">
        <f aca="false">IF(ABS(BD204)&lt;0.1*ABS(BC204),BC204-BD204,BC204)</f>
        <v>0.91158844983184</v>
      </c>
      <c r="BF204" s="60" t="n">
        <f aca="false">IFERROR((((BE204+AQ204)*BE204+AR204)*BE204+AS204)/((3*BE204+2*AQ204)*BE204+AR204),0)</f>
        <v>0</v>
      </c>
      <c r="BG204" s="60" t="n">
        <f aca="false">IF(ABS(BF204)&lt;0.1*ABS(BE204),BE204-BF204,BE204)</f>
        <v>0.91158844983184</v>
      </c>
      <c r="BH204" s="60" t="n">
        <f aca="false">-AS204/BG204</f>
        <v>0.0118376711504565</v>
      </c>
      <c r="BI204" s="60" t="n">
        <f aca="false">(AR204-BH204)/BG204</f>
        <v>-0.00347297415783941</v>
      </c>
      <c r="BJ204" s="60" t="n">
        <f aca="false">BI204^2-4*BH204</f>
        <v>-0.0473386230523248</v>
      </c>
      <c r="BK204" s="60" t="n">
        <f aca="false">IF(BJ204&gt;=0,(BI204+IF(BI204&gt;=0,1,-1)*SQRT(BJ204))/2,0)</f>
        <v>0</v>
      </c>
      <c r="BL204" s="60" t="n">
        <f aca="false">IF(AND(BJ204&gt;=0,BK204&lt;&gt;0),MIN(BK204,BH204/BK204),-1)</f>
        <v>-1</v>
      </c>
      <c r="BM204" s="60" t="n">
        <f aca="false">AND(BJ204&gt;=0,BL204&gt;AP204,ABS(BG204-BL204)&gt;=0.00005*MAX(BG204,BL204))</f>
        <v>0</v>
      </c>
      <c r="BN204" s="60" t="n">
        <f aca="false">IF(BM204,IFERROR((((BL204+AQ204)*BL204+AR204)*BL204+AS204)/((3*BL204+2*AQ204)*BL204+AR204),0),0)</f>
        <v>0</v>
      </c>
      <c r="BO204" s="60" t="n">
        <f aca="false">IF(ABS(BN204)&lt;0.1*ABS(BL204),BL204-BN204,BL204)</f>
        <v>-1</v>
      </c>
      <c r="BP204" s="60" t="n">
        <f aca="false">IF(BM204,IFERROR((((BO204+AQ204)*BO204+AR204)*BO204+AS204)/((3*BO204+2*AQ204)*BO204+AR204),0),0)</f>
        <v>0</v>
      </c>
      <c r="BQ204" s="60" t="n">
        <f aca="false">IF(ABS(BP204)&lt;0.1*ABS(BO204),BO204-BP204,BO204)</f>
        <v>-1</v>
      </c>
      <c r="BR204" s="60" t="n">
        <f aca="false">IF(BM204,MAX(BG204,BQ204),BG204)</f>
        <v>0.91158844983184</v>
      </c>
      <c r="BS204" s="60" t="n">
        <f aca="false">IF(BM204,MIN(BG204,BQ204),-1)</f>
        <v>-1</v>
      </c>
      <c r="BT204" s="60" t="n">
        <f aca="false">CHOOSE($C$7,AO204/BR204,AO204/AP204*LN(1+AP204/BR204),AO204/(2*SQRT(2)*AP204)*LN((BR204+(1+SQRT(2))*AP204)/(BR204+(1-SQRT(2))*AP204)))</f>
        <v>0.218240791233887</v>
      </c>
      <c r="BU204" s="60" t="n">
        <f aca="false">BR204-1-LN(BR204-AP204)-BT204</f>
        <v>-0.107840271021729</v>
      </c>
      <c r="BV204" s="60" t="n">
        <f aca="false">IF(BM204,CHOOSE($C$7,AO204/BS204,AO204/AP204*LN(1+AP204/BS204),AO204/(2*SQRT(2)*AP204)*LN((BS204+(1+SQRT(2))*AP204)/(BS204+(1-SQRT(2))*AP204))),0)</f>
        <v>0</v>
      </c>
      <c r="BW204" s="60" t="n">
        <f aca="false">IF(BM204,BS204-1-LN(BS204-AP204)-BV204,0)</f>
        <v>0</v>
      </c>
      <c r="BX204" s="60" t="n">
        <f aca="false">AND(BM204,BW204&lt;BU204)</f>
        <v>0</v>
      </c>
      <c r="BY204" s="60" t="n">
        <f aca="false">IF(BX204,BS204,BR204)</f>
        <v>0.91158844983184</v>
      </c>
      <c r="BZ204" s="60" t="n">
        <f aca="false">IF(BX204,BV204,BT204)</f>
        <v>0.218240791233887</v>
      </c>
      <c r="CA204" s="60" t="n">
        <f aca="false">LN(BY204-AP204)</f>
        <v>-0.198812070380318</v>
      </c>
      <c r="CB204" s="60" t="n">
        <f aca="false">$E$27/AN204*(BY204-1)-CA204-BZ204*(2*AA204/AM204-$E$27/AN204)</f>
        <v>-0.107840271021729</v>
      </c>
      <c r="CC204" s="60" t="n">
        <f aca="false">$F$27/AN204*(BY204-1)-CA204-BZ204*(2*AB204/AM204-$F$27/AN204)</f>
        <v>0.198812070380318</v>
      </c>
      <c r="CD204" s="60" t="n">
        <f aca="false">$G$27/AN204*(BY204-1)-CA204-BZ204*(2*AC204/AM204-$G$27/AN204)</f>
        <v>0.198812070380318</v>
      </c>
      <c r="CE204" s="60" t="n">
        <f aca="false">$H$27/AN204*(BY204-1)-CA204-BZ204*(2*AD204/AM204-$H$27/AN204)</f>
        <v>0.198812070380318</v>
      </c>
      <c r="CF204" s="60" t="n">
        <f aca="false">$I$27/AN204*(BY204-1)-CA204-BZ204*(2*AE204/AM204-$I$27/AN204)</f>
        <v>0.198812070380318</v>
      </c>
      <c r="CG204" s="60" t="n">
        <f aca="false">$J$27/AN204*(BY204-1)-CA204-BZ204*(2*AF204/AM204-$J$27/AN204)</f>
        <v>0.198812070380318</v>
      </c>
      <c r="CH204" s="60" t="n">
        <f aca="false">$K$27/AN204*(BY204-1)-CA204-BZ204*(2*AG204/AM204-$K$27/AN204)</f>
        <v>0.198812070380318</v>
      </c>
      <c r="CI204" s="60" t="n">
        <f aca="false">$L$27/AN204*(BY204-1)-CA204-BZ204*(2*AH204/AM204-$L$27/AN204)</f>
        <v>0.198812070380318</v>
      </c>
      <c r="CJ204" s="60" t="n">
        <f aca="false">$M$27/AN204*(BY204-1)-CA204-BZ204*(2*AI204/AM204-$M$27/AN204)</f>
        <v>0.198812070380318</v>
      </c>
      <c r="CK204" s="60" t="n">
        <f aca="false">$N$27/AN204*(BY204-1)-CA204-BZ204*(2*AJ204/AM204-$N$27/AN204)</f>
        <v>0.198812070380318</v>
      </c>
      <c r="CL204" s="60" t="n">
        <f aca="false">$O$27/AN204*(BY204-1)-CA204-BZ204*(2*AK204/AM204-$O$27/AN204)</f>
        <v>0.198812070380318</v>
      </c>
      <c r="CM204" s="60" t="n">
        <f aca="false">$P$27/AN204*(BY204-1)-CA204-BZ204*(2*AL204/AM204-$P$27/AN204)</f>
        <v>0.198812070380318</v>
      </c>
      <c r="CN204" s="60" t="n">
        <f aca="false">AP204/BY204&gt;$C$22</f>
        <v>0</v>
      </c>
      <c r="CO204" s="60" t="n">
        <f aca="false">1-N204+SUMPRODUCT(B204:M204,CB204:CM204)-SUMPRODUCT(B204:M204,CB203:CM203)</f>
        <v>0</v>
      </c>
      <c r="CP204" s="60" t="n">
        <f aca="false">SUMXMY2(O204:Z204,$E$13:$P$13)</f>
        <v>0</v>
      </c>
    </row>
    <row r="205" customFormat="false" ht="15" hidden="false" customHeight="false" outlineLevel="0" collapsed="false">
      <c r="A205" s="59" t="n">
        <v>40</v>
      </c>
      <c r="B205" s="60" t="n">
        <f aca="false">$E$13*EXP(MAX(-700,MIN(700,$E$86-CB204)))</f>
        <v>1</v>
      </c>
      <c r="C205" s="60" t="n">
        <f aca="false">$F$13*EXP(MAX(-700,MIN(700,$F$86-CC204)))</f>
        <v>0</v>
      </c>
      <c r="D205" s="60" t="n">
        <f aca="false">$G$13*EXP(MAX(-700,MIN(700,$G$86-CD204)))</f>
        <v>0</v>
      </c>
      <c r="E205" s="60" t="n">
        <f aca="false">$H$13*EXP(MAX(-700,MIN(700,$H$86-CE204)))</f>
        <v>0</v>
      </c>
      <c r="F205" s="60" t="n">
        <f aca="false">$I$13*EXP(MAX(-700,MIN(700,$I$86-CF204)))</f>
        <v>0</v>
      </c>
      <c r="G205" s="60" t="n">
        <f aca="false">$J$13*EXP(MAX(-700,MIN(700,$J$86-CG204)))</f>
        <v>0</v>
      </c>
      <c r="H205" s="60" t="n">
        <f aca="false">$K$13*EXP(MAX(-700,MIN(700,$K$86-CH204)))</f>
        <v>0</v>
      </c>
      <c r="I205" s="60" t="n">
        <f aca="false">$L$13*EXP(MAX(-700,MIN(700,$L$86-CI204)))</f>
        <v>0</v>
      </c>
      <c r="J205" s="60" t="n">
        <f aca="false">$M$13*EXP(MAX(-700,MIN(700,$M$86-CJ204)))</f>
        <v>0</v>
      </c>
      <c r="K205" s="60" t="n">
        <f aca="false">$N$13*EXP(MAX(-700,MIN(700,$N$86-CK204)))</f>
        <v>0</v>
      </c>
      <c r="L205" s="60" t="n">
        <f aca="false">$O$13*EXP(MAX(-700,MIN(700,$O$86-CL204)))</f>
        <v>0</v>
      </c>
      <c r="M205" s="60" t="n">
        <f aca="false">$P$13*EXP(MAX(-700,MIN(700,$P$86-CM204)))</f>
        <v>0</v>
      </c>
      <c r="N205" s="60" t="n">
        <f aca="false">SUM(B205:M205)</f>
        <v>1</v>
      </c>
      <c r="O205" s="60" t="n">
        <f aca="false">B205/N205</f>
        <v>1</v>
      </c>
      <c r="P205" s="60" t="n">
        <f aca="false">C205/N205</f>
        <v>0</v>
      </c>
      <c r="Q205" s="60" t="n">
        <f aca="false">D205/N205</f>
        <v>0</v>
      </c>
      <c r="R205" s="60" t="n">
        <f aca="false">E205/N205</f>
        <v>0</v>
      </c>
      <c r="S205" s="60" t="n">
        <f aca="false">F205/N205</f>
        <v>0</v>
      </c>
      <c r="T205" s="60" t="n">
        <f aca="false">G205/N205</f>
        <v>0</v>
      </c>
      <c r="U205" s="60" t="n">
        <f aca="false">H205/N205</f>
        <v>0</v>
      </c>
      <c r="V205" s="60" t="n">
        <f aca="false">I205/N205</f>
        <v>0</v>
      </c>
      <c r="W205" s="60" t="n">
        <f aca="false">J205/N205</f>
        <v>0</v>
      </c>
      <c r="X205" s="60" t="n">
        <f aca="false">K205/N205</f>
        <v>0</v>
      </c>
      <c r="Y205" s="60" t="n">
        <f aca="false">L205/N205</f>
        <v>0</v>
      </c>
      <c r="Z205" s="60" t="n">
        <f aca="false">M205/N205</f>
        <v>0</v>
      </c>
      <c r="AA205" s="60" t="n">
        <f aca="false">$E$28*SUMPRODUCT($E$31:$P$31,O205:Z205,$E$28:$P$28)</f>
        <v>0.184416866619846</v>
      </c>
      <c r="AB205" s="60" t="n">
        <f aca="false">$F$28*SUMPRODUCT($E$32:$P$32,O205:Z205,$E$28:$P$28)</f>
        <v>0</v>
      </c>
      <c r="AC205" s="60" t="n">
        <f aca="false">$G$28*SUMPRODUCT($E$33:$P$33,O205:Z205,$E$28:$P$28)</f>
        <v>0</v>
      </c>
      <c r="AD205" s="60" t="n">
        <f aca="false">$H$28*SUMPRODUCT($E$34:$P$34,O205:Z205,$E$28:$P$28)</f>
        <v>0</v>
      </c>
      <c r="AE205" s="60" t="n">
        <f aca="false">$I$28*SUMPRODUCT($E$35:$P$35,O205:Z205,$E$28:$P$28)</f>
        <v>0</v>
      </c>
      <c r="AF205" s="60" t="n">
        <f aca="false">$J$28*SUMPRODUCT($E$36:$P$36,O205:Z205,$E$28:$P$28)</f>
        <v>0</v>
      </c>
      <c r="AG205" s="60" t="n">
        <f aca="false">$K$28*SUMPRODUCT($E$37:$P$37,O205:Z205,$E$28:$P$28)</f>
        <v>0</v>
      </c>
      <c r="AH205" s="60" t="n">
        <f aca="false">$L$28*SUMPRODUCT($E$38:$P$38,O205:Z205,$E$28:$P$28)</f>
        <v>0</v>
      </c>
      <c r="AI205" s="60" t="n">
        <f aca="false">$M$28*SUMPRODUCT($E$39:$P$39,O205:Z205,$E$28:$P$28)</f>
        <v>0</v>
      </c>
      <c r="AJ205" s="60" t="n">
        <f aca="false">$N$28*SUMPRODUCT($E$40:$P$40,O205:Z205,$E$28:$P$28)</f>
        <v>0</v>
      </c>
      <c r="AK205" s="60" t="n">
        <f aca="false">$O$28*SUMPRODUCT($E$41:$P$41,O205:Z205,$E$28:$P$28)</f>
        <v>0</v>
      </c>
      <c r="AL205" s="60" t="n">
        <f aca="false">$P$28*SUMPRODUCT($E$42:$P$42,O205:Z205,$E$28:$P$28)</f>
        <v>0</v>
      </c>
      <c r="AM205" s="60" t="n">
        <f aca="false">SUMPRODUCT(O205:Z205,AA205:AL205)</f>
        <v>0.184416866619846</v>
      </c>
      <c r="AN205" s="60" t="n">
        <f aca="false">SUMPRODUCT(O205:Z205,$E$27:$P$27)</f>
        <v>2.67389635063809E-005</v>
      </c>
      <c r="AO205" s="60" t="n">
        <f aca="false">AM205*$C$9/($C$10*$C$8)^2</f>
        <v>0.21776909410545</v>
      </c>
      <c r="AP205" s="60" t="n">
        <f aca="false">AN205*$C$9/($C$10*$C$8)</f>
        <v>0.0918845243259994</v>
      </c>
      <c r="AQ205" s="60" t="n">
        <f aca="false">CHOOSE($C$7,-(1+AP205),-1,-(1-AP205))</f>
        <v>-0.908115475674001</v>
      </c>
      <c r="AR205" s="60" t="n">
        <f aca="false">CHOOSE($C$7,AO205,AO205-AP205-AP205^2,AO205-3*AP205^2-2*AP205)</f>
        <v>0.00867174802160559</v>
      </c>
      <c r="AS205" s="60" t="n">
        <f aca="false">CHOOSE($C$7,-AO205*AP205,-AO205*AP205,-(AO205*AP205-AP205^2-AP205^3))</f>
        <v>-0.0107910842936637</v>
      </c>
      <c r="AT205" s="60" t="n">
        <f aca="false">AR205-AQ205^2/3</f>
        <v>-0.266219491031267</v>
      </c>
      <c r="AU205" s="60" t="n">
        <f aca="false">2*AQ205^3/27-AQ205*AR205/3+AS205</f>
        <v>-0.0636400988362784</v>
      </c>
      <c r="AV205" s="60" t="n">
        <f aca="false">AU205^2/4+AT205^3/27</f>
        <v>0.000313710901361829</v>
      </c>
      <c r="AW205" s="60" t="n">
        <f aca="false">-AU205/2-IF(AU205&gt;=0,1,-1)*SQRT(MAX(AV205,0))</f>
        <v>0.0495319352963236</v>
      </c>
      <c r="AX205" s="60" t="n">
        <f aca="false">SIGN(AW205)*ABS(AW205)^(1/3)</f>
        <v>0.367249967174439</v>
      </c>
      <c r="AY205" s="60" t="n">
        <f aca="false">IF(AX205=0,0,AX205-AT205/(3*AX205))</f>
        <v>0.60888329127384</v>
      </c>
      <c r="AZ205" s="60" t="n">
        <f aca="false">2*SQRT(MAX(-AT205,0)/3)</f>
        <v>0.595784626668918</v>
      </c>
      <c r="BA205" s="60" t="n">
        <f aca="false">ACOS(IF(AZ205=0,0,MAX(-1,MIN(1,3*AU205/(AT205*AZ205)))))</f>
        <v>0</v>
      </c>
      <c r="BB205" s="60" t="n">
        <f aca="false">AZ205*COS(BA205/3)</f>
        <v>0.595784626668918</v>
      </c>
      <c r="BC205" s="60" t="n">
        <f aca="false">IF(AV205&lt;0,BB205,AY205)-AQ205/3</f>
        <v>0.91158844983184</v>
      </c>
      <c r="BD205" s="60" t="n">
        <f aca="false">IFERROR((((BC205+AQ205)*BC205+AR205)*BC205+AS205)/((3*BC205+2*AQ205)*BC205+AR205),0)</f>
        <v>0</v>
      </c>
      <c r="BE205" s="60" t="n">
        <f aca="false">IF(ABS(BD205)&lt;0.1*ABS(BC205),BC205-BD205,BC205)</f>
        <v>0.91158844983184</v>
      </c>
      <c r="BF205" s="60" t="n">
        <f aca="false">IFERROR((((BE205+AQ205)*BE205+AR205)*BE205+AS205)/((3*BE205+2*AQ205)*BE205+AR205),0)</f>
        <v>0</v>
      </c>
      <c r="BG205" s="60" t="n">
        <f aca="false">IF(ABS(BF205)&lt;0.1*ABS(BE205),BE205-BF205,BE205)</f>
        <v>0.91158844983184</v>
      </c>
      <c r="BH205" s="60" t="n">
        <f aca="false">-AS205/BG205</f>
        <v>0.0118376711504565</v>
      </c>
      <c r="BI205" s="60" t="n">
        <f aca="false">(AR205-BH205)/BG205</f>
        <v>-0.00347297415783941</v>
      </c>
      <c r="BJ205" s="60" t="n">
        <f aca="false">BI205^2-4*BH205</f>
        <v>-0.0473386230523248</v>
      </c>
      <c r="BK205" s="60" t="n">
        <f aca="false">IF(BJ205&gt;=0,(BI205+IF(BI205&gt;=0,1,-1)*SQRT(BJ205))/2,0)</f>
        <v>0</v>
      </c>
      <c r="BL205" s="60" t="n">
        <f aca="false">IF(AND(BJ205&gt;=0,BK205&lt;&gt;0),MIN(BK205,BH205/BK205),-1)</f>
        <v>-1</v>
      </c>
      <c r="BM205" s="60" t="n">
        <f aca="false">AND(BJ205&gt;=0,BL205&gt;AP205,ABS(BG205-BL205)&gt;=0.00005*MAX(BG205,BL205))</f>
        <v>0</v>
      </c>
      <c r="BN205" s="60" t="n">
        <f aca="false">IF(BM205,IFERROR((((BL205+AQ205)*BL205+AR205)*BL205+AS205)/((3*BL205+2*AQ205)*BL205+AR205),0),0)</f>
        <v>0</v>
      </c>
      <c r="BO205" s="60" t="n">
        <f aca="false">IF(ABS(BN205)&lt;0.1*ABS(BL205),BL205-BN205,BL205)</f>
        <v>-1</v>
      </c>
      <c r="BP205" s="60" t="n">
        <f aca="false">IF(BM205,IFERROR((((BO205+AQ205)*BO205+AR205)*BO205+AS205)/((3*BO205+2*AQ205)*BO205+AR205),0),0)</f>
        <v>0</v>
      </c>
      <c r="BQ205" s="60" t="n">
        <f aca="false">IF(ABS(BP205)&lt;0.1*ABS(BO205),BO205-BP205,BO205)</f>
        <v>-1</v>
      </c>
      <c r="BR205" s="60" t="n">
        <f aca="false">IF(BM205,MAX(BG205,BQ205),BG205)</f>
        <v>0.91158844983184</v>
      </c>
      <c r="BS205" s="60" t="n">
        <f aca="false">IF(BM205,MIN(BG205,BQ205),-1)</f>
        <v>-1</v>
      </c>
      <c r="BT205" s="60" t="n">
        <f aca="false">CHOOSE($C$7,AO205/BR205,AO205/AP205*LN(1+AP205/BR205),AO205/(2*SQRT(2)*AP205)*LN((BR205+(1+SQRT(2))*AP205)/(BR205+(1-SQRT(2))*AP205)))</f>
        <v>0.218240791233887</v>
      </c>
      <c r="BU205" s="60" t="n">
        <f aca="false">BR205-1-LN(BR205-AP205)-BT205</f>
        <v>-0.107840271021729</v>
      </c>
      <c r="BV205" s="60" t="n">
        <f aca="false">IF(BM205,CHOOSE($C$7,AO205/BS205,AO205/AP205*LN(1+AP205/BS205),AO205/(2*SQRT(2)*AP205)*LN((BS205+(1+SQRT(2))*AP205)/(BS205+(1-SQRT(2))*AP205))),0)</f>
        <v>0</v>
      </c>
      <c r="BW205" s="60" t="n">
        <f aca="false">IF(BM205,BS205-1-LN(BS205-AP205)-BV205,0)</f>
        <v>0</v>
      </c>
      <c r="BX205" s="60" t="n">
        <f aca="false">AND(BM205,BW205&lt;BU205)</f>
        <v>0</v>
      </c>
      <c r="BY205" s="61" t="n">
        <f aca="false">IF(BX205,BS205,BR205)</f>
        <v>0.91158844983184</v>
      </c>
      <c r="BZ205" s="60" t="n">
        <f aca="false">IF(BX205,BV205,BT205)</f>
        <v>0.218240791233887</v>
      </c>
      <c r="CA205" s="60" t="n">
        <f aca="false">LN(BY205-AP205)</f>
        <v>-0.198812070380318</v>
      </c>
      <c r="CB205" s="60" t="n">
        <f aca="false">$E$27/AN205*(BY205-1)-CA205-BZ205*(2*AA205/AM205-$E$27/AN205)</f>
        <v>-0.107840271021729</v>
      </c>
      <c r="CC205" s="60" t="n">
        <f aca="false">$F$27/AN205*(BY205-1)-CA205-BZ205*(2*AB205/AM205-$F$27/AN205)</f>
        <v>0.198812070380318</v>
      </c>
      <c r="CD205" s="60" t="n">
        <f aca="false">$G$27/AN205*(BY205-1)-CA205-BZ205*(2*AC205/AM205-$G$27/AN205)</f>
        <v>0.198812070380318</v>
      </c>
      <c r="CE205" s="60" t="n">
        <f aca="false">$H$27/AN205*(BY205-1)-CA205-BZ205*(2*AD205/AM205-$H$27/AN205)</f>
        <v>0.198812070380318</v>
      </c>
      <c r="CF205" s="60" t="n">
        <f aca="false">$I$27/AN205*(BY205-1)-CA205-BZ205*(2*AE205/AM205-$I$27/AN205)</f>
        <v>0.198812070380318</v>
      </c>
      <c r="CG205" s="60" t="n">
        <f aca="false">$J$27/AN205*(BY205-1)-CA205-BZ205*(2*AF205/AM205-$J$27/AN205)</f>
        <v>0.198812070380318</v>
      </c>
      <c r="CH205" s="60" t="n">
        <f aca="false">$K$27/AN205*(BY205-1)-CA205-BZ205*(2*AG205/AM205-$K$27/AN205)</f>
        <v>0.198812070380318</v>
      </c>
      <c r="CI205" s="60" t="n">
        <f aca="false">$L$27/AN205*(BY205-1)-CA205-BZ205*(2*AH205/AM205-$L$27/AN205)</f>
        <v>0.198812070380318</v>
      </c>
      <c r="CJ205" s="60" t="n">
        <f aca="false">$M$27/AN205*(BY205-1)-CA205-BZ205*(2*AI205/AM205-$M$27/AN205)</f>
        <v>0.198812070380318</v>
      </c>
      <c r="CK205" s="60" t="n">
        <f aca="false">$N$27/AN205*(BY205-1)-CA205-BZ205*(2*AJ205/AM205-$N$27/AN205)</f>
        <v>0.198812070380318</v>
      </c>
      <c r="CL205" s="60" t="n">
        <f aca="false">$O$27/AN205*(BY205-1)-CA205-BZ205*(2*AK205/AM205-$O$27/AN205)</f>
        <v>0.198812070380318</v>
      </c>
      <c r="CM205" s="60" t="n">
        <f aca="false">$P$27/AN205*(BY205-1)-CA205-BZ205*(2*AL205/AM205-$P$27/AN205)</f>
        <v>0.198812070380318</v>
      </c>
      <c r="CN205" s="60" t="n">
        <f aca="false">AP205/BY205&gt;$C$22</f>
        <v>0</v>
      </c>
      <c r="CO205" s="61" t="n">
        <f aca="false">1-N205+SUMPRODUCT(B205:M205,CB205:CM205)-SUMPRODUCT(B205:M205,CB204:CM204)</f>
        <v>0</v>
      </c>
      <c r="CP205" s="60" t="n">
        <f aca="false">SUMXMY2(O205:Z205,$E$13:$P$13)</f>
        <v>0</v>
      </c>
    </row>
    <row r="208" customFormat="false" ht="15" hidden="false" customHeight="false" outlineLevel="0" collapsed="false">
      <c r="A208" s="4" t="s">
        <v>594</v>
      </c>
    </row>
    <row r="209" customFormat="false" ht="15" hidden="false" customHeight="false" outlineLevel="0" collapsed="false">
      <c r="A209" s="8" t="s">
        <v>300</v>
      </c>
      <c r="B209" s="8" t="s">
        <v>535</v>
      </c>
      <c r="C209" s="8" t="s">
        <v>536</v>
      </c>
      <c r="D209" s="8" t="s">
        <v>537</v>
      </c>
      <c r="E209" s="8" t="s">
        <v>538</v>
      </c>
      <c r="F209" s="8" t="s">
        <v>539</v>
      </c>
      <c r="G209" s="8" t="s">
        <v>540</v>
      </c>
      <c r="H209" s="8" t="s">
        <v>541</v>
      </c>
      <c r="I209" s="8" t="s">
        <v>542</v>
      </c>
      <c r="J209" s="8" t="s">
        <v>543</v>
      </c>
      <c r="K209" s="8" t="s">
        <v>544</v>
      </c>
      <c r="L209" s="8" t="s">
        <v>545</v>
      </c>
      <c r="M209" s="8" t="s">
        <v>546</v>
      </c>
      <c r="N209" s="8" t="s">
        <v>547</v>
      </c>
      <c r="O209" s="8" t="s">
        <v>548</v>
      </c>
      <c r="P209" s="8" t="s">
        <v>549</v>
      </c>
      <c r="Q209" s="8" t="s">
        <v>550</v>
      </c>
      <c r="R209" s="8" t="s">
        <v>551</v>
      </c>
      <c r="S209" s="8" t="s">
        <v>552</v>
      </c>
      <c r="T209" s="8" t="s">
        <v>553</v>
      </c>
      <c r="U209" s="8" t="s">
        <v>554</v>
      </c>
      <c r="V209" s="8" t="s">
        <v>555</v>
      </c>
      <c r="W209" s="8" t="s">
        <v>556</v>
      </c>
      <c r="X209" s="8" t="s">
        <v>557</v>
      </c>
      <c r="Y209" s="8" t="s">
        <v>558</v>
      </c>
      <c r="Z209" s="8" t="s">
        <v>559</v>
      </c>
      <c r="AA209" s="8" t="s">
        <v>560</v>
      </c>
      <c r="AB209" s="8" t="s">
        <v>561</v>
      </c>
      <c r="AC209" s="8" t="s">
        <v>562</v>
      </c>
      <c r="AD209" s="8" t="s">
        <v>563</v>
      </c>
      <c r="AE209" s="8" t="s">
        <v>564</v>
      </c>
      <c r="AF209" s="8" t="s">
        <v>565</v>
      </c>
      <c r="AG209" s="8" t="s">
        <v>566</v>
      </c>
      <c r="AH209" s="8" t="s">
        <v>567</v>
      </c>
      <c r="AI209" s="8" t="s">
        <v>568</v>
      </c>
      <c r="AJ209" s="8" t="s">
        <v>569</v>
      </c>
      <c r="AK209" s="8" t="s">
        <v>570</v>
      </c>
      <c r="AL209" s="8" t="s">
        <v>571</v>
      </c>
      <c r="AM209" s="8" t="s">
        <v>572</v>
      </c>
      <c r="AN209" s="8" t="s">
        <v>573</v>
      </c>
      <c r="AO209" s="8" t="s">
        <v>158</v>
      </c>
      <c r="AP209" s="8" t="s">
        <v>161</v>
      </c>
      <c r="AQ209" s="8" t="s">
        <v>165</v>
      </c>
      <c r="AR209" s="8" t="s">
        <v>168</v>
      </c>
      <c r="AS209" s="8" t="s">
        <v>171</v>
      </c>
      <c r="AT209" s="8" t="s">
        <v>175</v>
      </c>
      <c r="AU209" s="8" t="s">
        <v>177</v>
      </c>
      <c r="AV209" s="8" t="s">
        <v>180</v>
      </c>
      <c r="AW209" s="8" t="s">
        <v>183</v>
      </c>
      <c r="AX209" s="8" t="s">
        <v>185</v>
      </c>
      <c r="AY209" s="8" t="s">
        <v>304</v>
      </c>
      <c r="AZ209" s="8" t="s">
        <v>190</v>
      </c>
      <c r="BA209" s="8" t="s">
        <v>192</v>
      </c>
      <c r="BB209" s="8" t="s">
        <v>305</v>
      </c>
      <c r="BC209" s="8" t="s">
        <v>197</v>
      </c>
      <c r="BD209" s="8" t="s">
        <v>200</v>
      </c>
      <c r="BE209" s="8" t="s">
        <v>197</v>
      </c>
      <c r="BF209" s="8" t="s">
        <v>200</v>
      </c>
      <c r="BG209" s="8" t="s">
        <v>306</v>
      </c>
      <c r="BH209" s="8" t="s">
        <v>209</v>
      </c>
      <c r="BI209" s="8" t="s">
        <v>212</v>
      </c>
      <c r="BJ209" s="8" t="s">
        <v>215</v>
      </c>
      <c r="BK209" s="8" t="s">
        <v>218</v>
      </c>
      <c r="BL209" s="8" t="s">
        <v>221</v>
      </c>
      <c r="BM209" s="8" t="s">
        <v>307</v>
      </c>
      <c r="BN209" s="8" t="s">
        <v>200</v>
      </c>
      <c r="BO209" s="8" t="s">
        <v>221</v>
      </c>
      <c r="BP209" s="8" t="s">
        <v>200</v>
      </c>
      <c r="BQ209" s="8" t="s">
        <v>308</v>
      </c>
      <c r="BR209" s="8" t="s">
        <v>232</v>
      </c>
      <c r="BS209" s="8" t="s">
        <v>238</v>
      </c>
      <c r="BT209" s="8" t="s">
        <v>574</v>
      </c>
      <c r="BU209" s="8" t="s">
        <v>575</v>
      </c>
      <c r="BV209" s="8" t="s">
        <v>576</v>
      </c>
      <c r="BW209" s="8" t="s">
        <v>577</v>
      </c>
      <c r="BX209" s="8" t="s">
        <v>578</v>
      </c>
      <c r="BY209" s="8" t="s">
        <v>250</v>
      </c>
      <c r="BZ209" s="8" t="s">
        <v>579</v>
      </c>
      <c r="CA209" s="8" t="s">
        <v>420</v>
      </c>
      <c r="CB209" s="8" t="s">
        <v>580</v>
      </c>
      <c r="CC209" s="8" t="s">
        <v>581</v>
      </c>
      <c r="CD209" s="8" t="s">
        <v>582</v>
      </c>
      <c r="CE209" s="8" t="s">
        <v>583</v>
      </c>
      <c r="CF209" s="8" t="s">
        <v>584</v>
      </c>
      <c r="CG209" s="8" t="s">
        <v>585</v>
      </c>
      <c r="CH209" s="8" t="s">
        <v>586</v>
      </c>
      <c r="CI209" s="8" t="s">
        <v>587</v>
      </c>
      <c r="CJ209" s="8" t="s">
        <v>588</v>
      </c>
      <c r="CK209" s="8" t="s">
        <v>589</v>
      </c>
      <c r="CL209" s="8" t="s">
        <v>590</v>
      </c>
      <c r="CM209" s="8" t="s">
        <v>591</v>
      </c>
      <c r="CN209" s="8" t="s">
        <v>592</v>
      </c>
      <c r="CO209" s="8" t="s">
        <v>439</v>
      </c>
      <c r="CP209" s="8" t="s">
        <v>593</v>
      </c>
    </row>
    <row r="210" customFormat="false" ht="15" hidden="false" customHeight="false" outlineLevel="0" collapsed="false">
      <c r="A210" s="59" t="n">
        <v>1</v>
      </c>
      <c r="B210" s="60" t="n">
        <f aca="false">$E$92</f>
        <v>0.182423877818972</v>
      </c>
      <c r="C210" s="60" t="n">
        <f aca="false">$F$92</f>
        <v>0</v>
      </c>
      <c r="D210" s="60" t="n">
        <f aca="false">$G$92</f>
        <v>0</v>
      </c>
      <c r="E210" s="60" t="n">
        <f aca="false">$H$92</f>
        <v>0</v>
      </c>
      <c r="F210" s="60" t="n">
        <f aca="false">$I$92</f>
        <v>0</v>
      </c>
      <c r="G210" s="60" t="n">
        <f aca="false">$J$92</f>
        <v>0</v>
      </c>
      <c r="H210" s="60" t="n">
        <f aca="false">$K$92</f>
        <v>0</v>
      </c>
      <c r="I210" s="60" t="n">
        <f aca="false">$L$92</f>
        <v>0</v>
      </c>
      <c r="J210" s="60" t="n">
        <f aca="false">$M$92</f>
        <v>0</v>
      </c>
      <c r="K210" s="60" t="n">
        <f aca="false">$N$92</f>
        <v>0</v>
      </c>
      <c r="L210" s="60" t="n">
        <f aca="false">$O$92</f>
        <v>0</v>
      </c>
      <c r="M210" s="60" t="n">
        <f aca="false">$P$92</f>
        <v>0</v>
      </c>
      <c r="N210" s="60" t="n">
        <f aca="false">SUM(B210:M210)</f>
        <v>0.182423877818972</v>
      </c>
      <c r="O210" s="60" t="n">
        <f aca="false">B210/N210</f>
        <v>1</v>
      </c>
      <c r="P210" s="60" t="n">
        <f aca="false">C210/N210</f>
        <v>0</v>
      </c>
      <c r="Q210" s="60" t="n">
        <f aca="false">D210/N210</f>
        <v>0</v>
      </c>
      <c r="R210" s="60" t="n">
        <f aca="false">E210/N210</f>
        <v>0</v>
      </c>
      <c r="S210" s="60" t="n">
        <f aca="false">F210/N210</f>
        <v>0</v>
      </c>
      <c r="T210" s="60" t="n">
        <f aca="false">G210/N210</f>
        <v>0</v>
      </c>
      <c r="U210" s="60" t="n">
        <f aca="false">H210/N210</f>
        <v>0</v>
      </c>
      <c r="V210" s="60" t="n">
        <f aca="false">I210/N210</f>
        <v>0</v>
      </c>
      <c r="W210" s="60" t="n">
        <f aca="false">J210/N210</f>
        <v>0</v>
      </c>
      <c r="X210" s="60" t="n">
        <f aca="false">K210/N210</f>
        <v>0</v>
      </c>
      <c r="Y210" s="60" t="n">
        <f aca="false">L210/N210</f>
        <v>0</v>
      </c>
      <c r="Z210" s="60" t="n">
        <f aca="false">M210/N210</f>
        <v>0</v>
      </c>
      <c r="AA210" s="60" t="n">
        <f aca="false">$E$28*SUMPRODUCT($E$31:$P$31,O210:Z210,$E$28:$P$28)</f>
        <v>0.184416866619846</v>
      </c>
      <c r="AB210" s="60" t="n">
        <f aca="false">$F$28*SUMPRODUCT($E$32:$P$32,O210:Z210,$E$28:$P$28)</f>
        <v>0</v>
      </c>
      <c r="AC210" s="60" t="n">
        <f aca="false">$G$28*SUMPRODUCT($E$33:$P$33,O210:Z210,$E$28:$P$28)</f>
        <v>0</v>
      </c>
      <c r="AD210" s="60" t="n">
        <f aca="false">$H$28*SUMPRODUCT($E$34:$P$34,O210:Z210,$E$28:$P$28)</f>
        <v>0</v>
      </c>
      <c r="AE210" s="60" t="n">
        <f aca="false">$I$28*SUMPRODUCT($E$35:$P$35,O210:Z210,$E$28:$P$28)</f>
        <v>0</v>
      </c>
      <c r="AF210" s="60" t="n">
        <f aca="false">$J$28*SUMPRODUCT($E$36:$P$36,O210:Z210,$E$28:$P$28)</f>
        <v>0</v>
      </c>
      <c r="AG210" s="60" t="n">
        <f aca="false">$K$28*SUMPRODUCT($E$37:$P$37,O210:Z210,$E$28:$P$28)</f>
        <v>0</v>
      </c>
      <c r="AH210" s="60" t="n">
        <f aca="false">$L$28*SUMPRODUCT($E$38:$P$38,O210:Z210,$E$28:$P$28)</f>
        <v>0</v>
      </c>
      <c r="AI210" s="60" t="n">
        <f aca="false">$M$28*SUMPRODUCT($E$39:$P$39,O210:Z210,$E$28:$P$28)</f>
        <v>0</v>
      </c>
      <c r="AJ210" s="60" t="n">
        <f aca="false">$N$28*SUMPRODUCT($E$40:$P$40,O210:Z210,$E$28:$P$28)</f>
        <v>0</v>
      </c>
      <c r="AK210" s="60" t="n">
        <f aca="false">$O$28*SUMPRODUCT($E$41:$P$41,O210:Z210,$E$28:$P$28)</f>
        <v>0</v>
      </c>
      <c r="AL210" s="60" t="n">
        <f aca="false">$P$28*SUMPRODUCT($E$42:$P$42,O210:Z210,$E$28:$P$28)</f>
        <v>0</v>
      </c>
      <c r="AM210" s="60" t="n">
        <f aca="false">SUMPRODUCT(O210:Z210,AA210:AL210)</f>
        <v>0.184416866619846</v>
      </c>
      <c r="AN210" s="60" t="n">
        <f aca="false">SUMPRODUCT(O210:Z210,$E$27:$P$27)</f>
        <v>2.67389635063809E-005</v>
      </c>
      <c r="AO210" s="60" t="n">
        <f aca="false">AM210*$C$9/($C$10*$C$8)^2</f>
        <v>0.21776909410545</v>
      </c>
      <c r="AP210" s="60" t="n">
        <f aca="false">AN210*$C$9/($C$10*$C$8)</f>
        <v>0.0918845243259994</v>
      </c>
      <c r="AQ210" s="60" t="n">
        <f aca="false">CHOOSE($C$7,-(1+AP210),-1,-(1-AP210))</f>
        <v>-0.908115475674001</v>
      </c>
      <c r="AR210" s="60" t="n">
        <f aca="false">CHOOSE($C$7,AO210,AO210-AP210-AP210^2,AO210-3*AP210^2-2*AP210)</f>
        <v>0.00867174802160559</v>
      </c>
      <c r="AS210" s="60" t="n">
        <f aca="false">CHOOSE($C$7,-AO210*AP210,-AO210*AP210,-(AO210*AP210-AP210^2-AP210^3))</f>
        <v>-0.0107910842936637</v>
      </c>
      <c r="AT210" s="60" t="n">
        <f aca="false">AR210-AQ210^2/3</f>
        <v>-0.266219491031267</v>
      </c>
      <c r="AU210" s="60" t="n">
        <f aca="false">2*AQ210^3/27-AQ210*AR210/3+AS210</f>
        <v>-0.0636400988362784</v>
      </c>
      <c r="AV210" s="60" t="n">
        <f aca="false">AU210^2/4+AT210^3/27</f>
        <v>0.000313710901361829</v>
      </c>
      <c r="AW210" s="60" t="n">
        <f aca="false">-AU210/2-IF(AU210&gt;=0,1,-1)*SQRT(MAX(AV210,0))</f>
        <v>0.0495319352963236</v>
      </c>
      <c r="AX210" s="60" t="n">
        <f aca="false">SIGN(AW210)*ABS(AW210)^(1/3)</f>
        <v>0.367249967174439</v>
      </c>
      <c r="AY210" s="60" t="n">
        <f aca="false">IF(AX210=0,0,AX210-AT210/(3*AX210))</f>
        <v>0.60888329127384</v>
      </c>
      <c r="AZ210" s="60" t="n">
        <f aca="false">2*SQRT(MAX(-AT210,0)/3)</f>
        <v>0.595784626668918</v>
      </c>
      <c r="BA210" s="60" t="n">
        <f aca="false">ACOS(IF(AZ210=0,0,MAX(-1,MIN(1,3*AU210/(AT210*AZ210)))))</f>
        <v>0</v>
      </c>
      <c r="BB210" s="60" t="n">
        <f aca="false">AZ210*COS(BA210/3)</f>
        <v>0.595784626668918</v>
      </c>
      <c r="BC210" s="60" t="n">
        <f aca="false">IF(AV210&lt;0,BB210,AY210)-AQ210/3</f>
        <v>0.91158844983184</v>
      </c>
      <c r="BD210" s="60" t="n">
        <f aca="false">IFERROR((((BC210+AQ210)*BC210+AR210)*BC210+AS210)/((3*BC210+2*AQ210)*BC210+AR210),0)</f>
        <v>0</v>
      </c>
      <c r="BE210" s="60" t="n">
        <f aca="false">IF(ABS(BD210)&lt;0.1*ABS(BC210),BC210-BD210,BC210)</f>
        <v>0.91158844983184</v>
      </c>
      <c r="BF210" s="60" t="n">
        <f aca="false">IFERROR((((BE210+AQ210)*BE210+AR210)*BE210+AS210)/((3*BE210+2*AQ210)*BE210+AR210),0)</f>
        <v>0</v>
      </c>
      <c r="BG210" s="60" t="n">
        <f aca="false">IF(ABS(BF210)&lt;0.1*ABS(BE210),BE210-BF210,BE210)</f>
        <v>0.91158844983184</v>
      </c>
      <c r="BH210" s="60" t="n">
        <f aca="false">-AS210/BG210</f>
        <v>0.0118376711504565</v>
      </c>
      <c r="BI210" s="60" t="n">
        <f aca="false">(AR210-BH210)/BG210</f>
        <v>-0.00347297415783941</v>
      </c>
      <c r="BJ210" s="60" t="n">
        <f aca="false">BI210^2-4*BH210</f>
        <v>-0.0473386230523248</v>
      </c>
      <c r="BK210" s="60" t="n">
        <f aca="false">IF(BJ210&gt;=0,(BI210+IF(BI210&gt;=0,1,-1)*SQRT(BJ210))/2,0)</f>
        <v>0</v>
      </c>
      <c r="BL210" s="60" t="n">
        <f aca="false">IF(AND(BJ210&gt;=0,BK210&lt;&gt;0),MIN(BK210,BH210/BK210),-1)</f>
        <v>-1</v>
      </c>
      <c r="BM210" s="60" t="n">
        <f aca="false">AND(BJ210&gt;=0,BL210&gt;AP210,ABS(BG210-BL210)&gt;=0.00005*MAX(BG210,BL210))</f>
        <v>0</v>
      </c>
      <c r="BN210" s="60" t="n">
        <f aca="false">IF(BM210,IFERROR((((BL210+AQ210)*BL210+AR210)*BL210+AS210)/((3*BL210+2*AQ210)*BL210+AR210),0),0)</f>
        <v>0</v>
      </c>
      <c r="BO210" s="60" t="n">
        <f aca="false">IF(ABS(BN210)&lt;0.1*ABS(BL210),BL210-BN210,BL210)</f>
        <v>-1</v>
      </c>
      <c r="BP210" s="60" t="n">
        <f aca="false">IF(BM210,IFERROR((((BO210+AQ210)*BO210+AR210)*BO210+AS210)/((3*BO210+2*AQ210)*BO210+AR210),0),0)</f>
        <v>0</v>
      </c>
      <c r="BQ210" s="60" t="n">
        <f aca="false">IF(ABS(BP210)&lt;0.1*ABS(BO210),BO210-BP210,BO210)</f>
        <v>-1</v>
      </c>
      <c r="BR210" s="60" t="n">
        <f aca="false">IF(BM210,MAX(BG210,BQ210),BG210)</f>
        <v>0.91158844983184</v>
      </c>
      <c r="BS210" s="60" t="n">
        <f aca="false">IF(BM210,MIN(BG210,BQ210),-1)</f>
        <v>-1</v>
      </c>
      <c r="BT210" s="60" t="n">
        <f aca="false">CHOOSE($C$7,AO210/BR210,AO210/AP210*LN(1+AP210/BR210),AO210/(2*SQRT(2)*AP210)*LN((BR210+(1+SQRT(2))*AP210)/(BR210+(1-SQRT(2))*AP210)))</f>
        <v>0.218240791233887</v>
      </c>
      <c r="BU210" s="60" t="n">
        <f aca="false">BR210-1-LN(BR210-AP210)-BT210</f>
        <v>-0.107840271021729</v>
      </c>
      <c r="BV210" s="60" t="n">
        <f aca="false">IF(BM210,CHOOSE($C$7,AO210/BS210,AO210/AP210*LN(1+AP210/BS210),AO210/(2*SQRT(2)*AP210)*LN((BS210+(1+SQRT(2))*AP210)/(BS210+(1-SQRT(2))*AP210))),0)</f>
        <v>0</v>
      </c>
      <c r="BW210" s="60" t="n">
        <f aca="false">IF(BM210,BS210-1-LN(BS210-AP210)-BV210,0)</f>
        <v>0</v>
      </c>
      <c r="BX210" s="60" t="n">
        <f aca="false">AND(BM210,BW210&lt;BU210)</f>
        <v>0</v>
      </c>
      <c r="BY210" s="60" t="n">
        <f aca="false">IF(BX210,BS210,BR210)</f>
        <v>0.91158844983184</v>
      </c>
      <c r="BZ210" s="60" t="n">
        <f aca="false">IF(BX210,BV210,BT210)</f>
        <v>0.218240791233887</v>
      </c>
      <c r="CA210" s="60" t="n">
        <f aca="false">LN(BY210-AP210)</f>
        <v>-0.198812070380318</v>
      </c>
      <c r="CB210" s="60" t="n">
        <f aca="false">$E$27/AN210*(BY210-1)-CA210-BZ210*(2*AA210/AM210-$E$27/AN210)</f>
        <v>-0.107840271021729</v>
      </c>
      <c r="CC210" s="60" t="n">
        <f aca="false">$F$27/AN210*(BY210-1)-CA210-BZ210*(2*AB210/AM210-$F$27/AN210)</f>
        <v>0.198812070380318</v>
      </c>
      <c r="CD210" s="60" t="n">
        <f aca="false">$G$27/AN210*(BY210-1)-CA210-BZ210*(2*AC210/AM210-$G$27/AN210)</f>
        <v>0.198812070380318</v>
      </c>
      <c r="CE210" s="60" t="n">
        <f aca="false">$H$27/AN210*(BY210-1)-CA210-BZ210*(2*AD210/AM210-$H$27/AN210)</f>
        <v>0.198812070380318</v>
      </c>
      <c r="CF210" s="60" t="n">
        <f aca="false">$I$27/AN210*(BY210-1)-CA210-BZ210*(2*AE210/AM210-$I$27/AN210)</f>
        <v>0.198812070380318</v>
      </c>
      <c r="CG210" s="60" t="n">
        <f aca="false">$J$27/AN210*(BY210-1)-CA210-BZ210*(2*AF210/AM210-$J$27/AN210)</f>
        <v>0.198812070380318</v>
      </c>
      <c r="CH210" s="60" t="n">
        <f aca="false">$K$27/AN210*(BY210-1)-CA210-BZ210*(2*AG210/AM210-$K$27/AN210)</f>
        <v>0.198812070380318</v>
      </c>
      <c r="CI210" s="60" t="n">
        <f aca="false">$L$27/AN210*(BY210-1)-CA210-BZ210*(2*AH210/AM210-$L$27/AN210)</f>
        <v>0.198812070380318</v>
      </c>
      <c r="CJ210" s="60" t="n">
        <f aca="false">$M$27/AN210*(BY210-1)-CA210-BZ210*(2*AI210/AM210-$M$27/AN210)</f>
        <v>0.198812070380318</v>
      </c>
      <c r="CK210" s="60" t="n">
        <f aca="false">$N$27/AN210*(BY210-1)-CA210-BZ210*(2*AJ210/AM210-$N$27/AN210)</f>
        <v>0.198812070380318</v>
      </c>
      <c r="CL210" s="60" t="n">
        <f aca="false">$O$27/AN210*(BY210-1)-CA210-BZ210*(2*AK210/AM210-$O$27/AN210)</f>
        <v>0.198812070380318</v>
      </c>
      <c r="CM210" s="60" t="n">
        <f aca="false">$P$27/AN210*(BY210-1)-CA210-BZ210*(2*AL210/AM210-$P$27/AN210)</f>
        <v>0.198812070380318</v>
      </c>
      <c r="CN210" s="60" t="n">
        <f aca="false">AP210/BY210&gt;$C$22</f>
        <v>0</v>
      </c>
      <c r="CO210" s="60"/>
      <c r="CP210" s="60" t="n">
        <f aca="false">SUMXMY2(O210:Z210,$E$13:$P$13)</f>
        <v>0</v>
      </c>
    </row>
    <row r="211" customFormat="false" ht="15" hidden="false" customHeight="false" outlineLevel="0" collapsed="false">
      <c r="A211" s="59" t="n">
        <v>2</v>
      </c>
      <c r="B211" s="60" t="n">
        <f aca="false">$E$13*EXP(MAX(-700,MIN(700,$E$86-CB210)))</f>
        <v>1</v>
      </c>
      <c r="C211" s="60" t="n">
        <f aca="false">$F$13*EXP(MAX(-700,MIN(700,$F$86-CC210)))</f>
        <v>0</v>
      </c>
      <c r="D211" s="60" t="n">
        <f aca="false">$G$13*EXP(MAX(-700,MIN(700,$G$86-CD210)))</f>
        <v>0</v>
      </c>
      <c r="E211" s="60" t="n">
        <f aca="false">$H$13*EXP(MAX(-700,MIN(700,$H$86-CE210)))</f>
        <v>0</v>
      </c>
      <c r="F211" s="60" t="n">
        <f aca="false">$I$13*EXP(MAX(-700,MIN(700,$I$86-CF210)))</f>
        <v>0</v>
      </c>
      <c r="G211" s="60" t="n">
        <f aca="false">$J$13*EXP(MAX(-700,MIN(700,$J$86-CG210)))</f>
        <v>0</v>
      </c>
      <c r="H211" s="60" t="n">
        <f aca="false">$K$13*EXP(MAX(-700,MIN(700,$K$86-CH210)))</f>
        <v>0</v>
      </c>
      <c r="I211" s="60" t="n">
        <f aca="false">$L$13*EXP(MAX(-700,MIN(700,$L$86-CI210)))</f>
        <v>0</v>
      </c>
      <c r="J211" s="60" t="n">
        <f aca="false">$M$13*EXP(MAX(-700,MIN(700,$M$86-CJ210)))</f>
        <v>0</v>
      </c>
      <c r="K211" s="60" t="n">
        <f aca="false">$N$13*EXP(MAX(-700,MIN(700,$N$86-CK210)))</f>
        <v>0</v>
      </c>
      <c r="L211" s="60" t="n">
        <f aca="false">$O$13*EXP(MAX(-700,MIN(700,$O$86-CL210)))</f>
        <v>0</v>
      </c>
      <c r="M211" s="60" t="n">
        <f aca="false">$P$13*EXP(MAX(-700,MIN(700,$P$86-CM210)))</f>
        <v>0</v>
      </c>
      <c r="N211" s="60" t="n">
        <f aca="false">SUM(B211:M211)</f>
        <v>1</v>
      </c>
      <c r="O211" s="60" t="n">
        <f aca="false">B211/N211</f>
        <v>1</v>
      </c>
      <c r="P211" s="60" t="n">
        <f aca="false">C211/N211</f>
        <v>0</v>
      </c>
      <c r="Q211" s="60" t="n">
        <f aca="false">D211/N211</f>
        <v>0</v>
      </c>
      <c r="R211" s="60" t="n">
        <f aca="false">E211/N211</f>
        <v>0</v>
      </c>
      <c r="S211" s="60" t="n">
        <f aca="false">F211/N211</f>
        <v>0</v>
      </c>
      <c r="T211" s="60" t="n">
        <f aca="false">G211/N211</f>
        <v>0</v>
      </c>
      <c r="U211" s="60" t="n">
        <f aca="false">H211/N211</f>
        <v>0</v>
      </c>
      <c r="V211" s="60" t="n">
        <f aca="false">I211/N211</f>
        <v>0</v>
      </c>
      <c r="W211" s="60" t="n">
        <f aca="false">J211/N211</f>
        <v>0</v>
      </c>
      <c r="X211" s="60" t="n">
        <f aca="false">K211/N211</f>
        <v>0</v>
      </c>
      <c r="Y211" s="60" t="n">
        <f aca="false">L211/N211</f>
        <v>0</v>
      </c>
      <c r="Z211" s="60" t="n">
        <f aca="false">M211/N211</f>
        <v>0</v>
      </c>
      <c r="AA211" s="60" t="n">
        <f aca="false">$E$28*SUMPRODUCT($E$31:$P$31,O211:Z211,$E$28:$P$28)</f>
        <v>0.184416866619846</v>
      </c>
      <c r="AB211" s="60" t="n">
        <f aca="false">$F$28*SUMPRODUCT($E$32:$P$32,O211:Z211,$E$28:$P$28)</f>
        <v>0</v>
      </c>
      <c r="AC211" s="60" t="n">
        <f aca="false">$G$28*SUMPRODUCT($E$33:$P$33,O211:Z211,$E$28:$P$28)</f>
        <v>0</v>
      </c>
      <c r="AD211" s="60" t="n">
        <f aca="false">$H$28*SUMPRODUCT($E$34:$P$34,O211:Z211,$E$28:$P$28)</f>
        <v>0</v>
      </c>
      <c r="AE211" s="60" t="n">
        <f aca="false">$I$28*SUMPRODUCT($E$35:$P$35,O211:Z211,$E$28:$P$28)</f>
        <v>0</v>
      </c>
      <c r="AF211" s="60" t="n">
        <f aca="false">$J$28*SUMPRODUCT($E$36:$P$36,O211:Z211,$E$28:$P$28)</f>
        <v>0</v>
      </c>
      <c r="AG211" s="60" t="n">
        <f aca="false">$K$28*SUMPRODUCT($E$37:$P$37,O211:Z211,$E$28:$P$28)</f>
        <v>0</v>
      </c>
      <c r="AH211" s="60" t="n">
        <f aca="false">$L$28*SUMPRODUCT($E$38:$P$38,O211:Z211,$E$28:$P$28)</f>
        <v>0</v>
      </c>
      <c r="AI211" s="60" t="n">
        <f aca="false">$M$28*SUMPRODUCT($E$39:$P$39,O211:Z211,$E$28:$P$28)</f>
        <v>0</v>
      </c>
      <c r="AJ211" s="60" t="n">
        <f aca="false">$N$28*SUMPRODUCT($E$40:$P$40,O211:Z211,$E$28:$P$28)</f>
        <v>0</v>
      </c>
      <c r="AK211" s="60" t="n">
        <f aca="false">$O$28*SUMPRODUCT($E$41:$P$41,O211:Z211,$E$28:$P$28)</f>
        <v>0</v>
      </c>
      <c r="AL211" s="60" t="n">
        <f aca="false">$P$28*SUMPRODUCT($E$42:$P$42,O211:Z211,$E$28:$P$28)</f>
        <v>0</v>
      </c>
      <c r="AM211" s="60" t="n">
        <f aca="false">SUMPRODUCT(O211:Z211,AA211:AL211)</f>
        <v>0.184416866619846</v>
      </c>
      <c r="AN211" s="60" t="n">
        <f aca="false">SUMPRODUCT(O211:Z211,$E$27:$P$27)</f>
        <v>2.67389635063809E-005</v>
      </c>
      <c r="AO211" s="60" t="n">
        <f aca="false">AM211*$C$9/($C$10*$C$8)^2</f>
        <v>0.21776909410545</v>
      </c>
      <c r="AP211" s="60" t="n">
        <f aca="false">AN211*$C$9/($C$10*$C$8)</f>
        <v>0.0918845243259994</v>
      </c>
      <c r="AQ211" s="60" t="n">
        <f aca="false">CHOOSE($C$7,-(1+AP211),-1,-(1-AP211))</f>
        <v>-0.908115475674001</v>
      </c>
      <c r="AR211" s="60" t="n">
        <f aca="false">CHOOSE($C$7,AO211,AO211-AP211-AP211^2,AO211-3*AP211^2-2*AP211)</f>
        <v>0.00867174802160559</v>
      </c>
      <c r="AS211" s="60" t="n">
        <f aca="false">CHOOSE($C$7,-AO211*AP211,-AO211*AP211,-(AO211*AP211-AP211^2-AP211^3))</f>
        <v>-0.0107910842936637</v>
      </c>
      <c r="AT211" s="60" t="n">
        <f aca="false">AR211-AQ211^2/3</f>
        <v>-0.266219491031267</v>
      </c>
      <c r="AU211" s="60" t="n">
        <f aca="false">2*AQ211^3/27-AQ211*AR211/3+AS211</f>
        <v>-0.0636400988362784</v>
      </c>
      <c r="AV211" s="60" t="n">
        <f aca="false">AU211^2/4+AT211^3/27</f>
        <v>0.000313710901361829</v>
      </c>
      <c r="AW211" s="60" t="n">
        <f aca="false">-AU211/2-IF(AU211&gt;=0,1,-1)*SQRT(MAX(AV211,0))</f>
        <v>0.0495319352963236</v>
      </c>
      <c r="AX211" s="60" t="n">
        <f aca="false">SIGN(AW211)*ABS(AW211)^(1/3)</f>
        <v>0.367249967174439</v>
      </c>
      <c r="AY211" s="60" t="n">
        <f aca="false">IF(AX211=0,0,AX211-AT211/(3*AX211))</f>
        <v>0.60888329127384</v>
      </c>
      <c r="AZ211" s="60" t="n">
        <f aca="false">2*SQRT(MAX(-AT211,0)/3)</f>
        <v>0.595784626668918</v>
      </c>
      <c r="BA211" s="60" t="n">
        <f aca="false">ACOS(IF(AZ211=0,0,MAX(-1,MIN(1,3*AU211/(AT211*AZ211)))))</f>
        <v>0</v>
      </c>
      <c r="BB211" s="60" t="n">
        <f aca="false">AZ211*COS(BA211/3)</f>
        <v>0.595784626668918</v>
      </c>
      <c r="BC211" s="60" t="n">
        <f aca="false">IF(AV211&lt;0,BB211,AY211)-AQ211/3</f>
        <v>0.91158844983184</v>
      </c>
      <c r="BD211" s="60" t="n">
        <f aca="false">IFERROR((((BC211+AQ211)*BC211+AR211)*BC211+AS211)/((3*BC211+2*AQ211)*BC211+AR211),0)</f>
        <v>0</v>
      </c>
      <c r="BE211" s="60" t="n">
        <f aca="false">IF(ABS(BD211)&lt;0.1*ABS(BC211),BC211-BD211,BC211)</f>
        <v>0.91158844983184</v>
      </c>
      <c r="BF211" s="60" t="n">
        <f aca="false">IFERROR((((BE211+AQ211)*BE211+AR211)*BE211+AS211)/((3*BE211+2*AQ211)*BE211+AR211),0)</f>
        <v>0</v>
      </c>
      <c r="BG211" s="60" t="n">
        <f aca="false">IF(ABS(BF211)&lt;0.1*ABS(BE211),BE211-BF211,BE211)</f>
        <v>0.91158844983184</v>
      </c>
      <c r="BH211" s="60" t="n">
        <f aca="false">-AS211/BG211</f>
        <v>0.0118376711504565</v>
      </c>
      <c r="BI211" s="60" t="n">
        <f aca="false">(AR211-BH211)/BG211</f>
        <v>-0.00347297415783941</v>
      </c>
      <c r="BJ211" s="60" t="n">
        <f aca="false">BI211^2-4*BH211</f>
        <v>-0.0473386230523248</v>
      </c>
      <c r="BK211" s="60" t="n">
        <f aca="false">IF(BJ211&gt;=0,(BI211+IF(BI211&gt;=0,1,-1)*SQRT(BJ211))/2,0)</f>
        <v>0</v>
      </c>
      <c r="BL211" s="60" t="n">
        <f aca="false">IF(AND(BJ211&gt;=0,BK211&lt;&gt;0),MIN(BK211,BH211/BK211),-1)</f>
        <v>-1</v>
      </c>
      <c r="BM211" s="60" t="n">
        <f aca="false">AND(BJ211&gt;=0,BL211&gt;AP211,ABS(BG211-BL211)&gt;=0.00005*MAX(BG211,BL211))</f>
        <v>0</v>
      </c>
      <c r="BN211" s="60" t="n">
        <f aca="false">IF(BM211,IFERROR((((BL211+AQ211)*BL211+AR211)*BL211+AS211)/((3*BL211+2*AQ211)*BL211+AR211),0),0)</f>
        <v>0</v>
      </c>
      <c r="BO211" s="60" t="n">
        <f aca="false">IF(ABS(BN211)&lt;0.1*ABS(BL211),BL211-BN211,BL211)</f>
        <v>-1</v>
      </c>
      <c r="BP211" s="60" t="n">
        <f aca="false">IF(BM211,IFERROR((((BO211+AQ211)*BO211+AR211)*BO211+AS211)/((3*BO211+2*AQ211)*BO211+AR211),0),0)</f>
        <v>0</v>
      </c>
      <c r="BQ211" s="60" t="n">
        <f aca="false">IF(ABS(BP211)&lt;0.1*ABS(BO211),BO211-BP211,BO211)</f>
        <v>-1</v>
      </c>
      <c r="BR211" s="60" t="n">
        <f aca="false">IF(BM211,MAX(BG211,BQ211),BG211)</f>
        <v>0.91158844983184</v>
      </c>
      <c r="BS211" s="60" t="n">
        <f aca="false">IF(BM211,MIN(BG211,BQ211),-1)</f>
        <v>-1</v>
      </c>
      <c r="BT211" s="60" t="n">
        <f aca="false">CHOOSE($C$7,AO211/BR211,AO211/AP211*LN(1+AP211/BR211),AO211/(2*SQRT(2)*AP211)*LN((BR211+(1+SQRT(2))*AP211)/(BR211+(1-SQRT(2))*AP211)))</f>
        <v>0.218240791233887</v>
      </c>
      <c r="BU211" s="60" t="n">
        <f aca="false">BR211-1-LN(BR211-AP211)-BT211</f>
        <v>-0.107840271021729</v>
      </c>
      <c r="BV211" s="60" t="n">
        <f aca="false">IF(BM211,CHOOSE($C$7,AO211/BS211,AO211/AP211*LN(1+AP211/BS211),AO211/(2*SQRT(2)*AP211)*LN((BS211+(1+SQRT(2))*AP211)/(BS211+(1-SQRT(2))*AP211))),0)</f>
        <v>0</v>
      </c>
      <c r="BW211" s="60" t="n">
        <f aca="false">IF(BM211,BS211-1-LN(BS211-AP211)-BV211,0)</f>
        <v>0</v>
      </c>
      <c r="BX211" s="60" t="n">
        <f aca="false">AND(BM211,BW211&lt;BU211)</f>
        <v>0</v>
      </c>
      <c r="BY211" s="60" t="n">
        <f aca="false">IF(BX211,BS211,BR211)</f>
        <v>0.91158844983184</v>
      </c>
      <c r="BZ211" s="60" t="n">
        <f aca="false">IF(BX211,BV211,BT211)</f>
        <v>0.218240791233887</v>
      </c>
      <c r="CA211" s="60" t="n">
        <f aca="false">LN(BY211-AP211)</f>
        <v>-0.198812070380318</v>
      </c>
      <c r="CB211" s="60" t="n">
        <f aca="false">$E$27/AN211*(BY211-1)-CA211-BZ211*(2*AA211/AM211-$E$27/AN211)</f>
        <v>-0.107840271021729</v>
      </c>
      <c r="CC211" s="60" t="n">
        <f aca="false">$F$27/AN211*(BY211-1)-CA211-BZ211*(2*AB211/AM211-$F$27/AN211)</f>
        <v>0.198812070380318</v>
      </c>
      <c r="CD211" s="60" t="n">
        <f aca="false">$G$27/AN211*(BY211-1)-CA211-BZ211*(2*AC211/AM211-$G$27/AN211)</f>
        <v>0.198812070380318</v>
      </c>
      <c r="CE211" s="60" t="n">
        <f aca="false">$H$27/AN211*(BY211-1)-CA211-BZ211*(2*AD211/AM211-$H$27/AN211)</f>
        <v>0.198812070380318</v>
      </c>
      <c r="CF211" s="60" t="n">
        <f aca="false">$I$27/AN211*(BY211-1)-CA211-BZ211*(2*AE211/AM211-$I$27/AN211)</f>
        <v>0.198812070380318</v>
      </c>
      <c r="CG211" s="60" t="n">
        <f aca="false">$J$27/AN211*(BY211-1)-CA211-BZ211*(2*AF211/AM211-$J$27/AN211)</f>
        <v>0.198812070380318</v>
      </c>
      <c r="CH211" s="60" t="n">
        <f aca="false">$K$27/AN211*(BY211-1)-CA211-BZ211*(2*AG211/AM211-$K$27/AN211)</f>
        <v>0.198812070380318</v>
      </c>
      <c r="CI211" s="60" t="n">
        <f aca="false">$L$27/AN211*(BY211-1)-CA211-BZ211*(2*AH211/AM211-$L$27/AN211)</f>
        <v>0.198812070380318</v>
      </c>
      <c r="CJ211" s="60" t="n">
        <f aca="false">$M$27/AN211*(BY211-1)-CA211-BZ211*(2*AI211/AM211-$M$27/AN211)</f>
        <v>0.198812070380318</v>
      </c>
      <c r="CK211" s="60" t="n">
        <f aca="false">$N$27/AN211*(BY211-1)-CA211-BZ211*(2*AJ211/AM211-$N$27/AN211)</f>
        <v>0.198812070380318</v>
      </c>
      <c r="CL211" s="60" t="n">
        <f aca="false">$O$27/AN211*(BY211-1)-CA211-BZ211*(2*AK211/AM211-$O$27/AN211)</f>
        <v>0.198812070380318</v>
      </c>
      <c r="CM211" s="60" t="n">
        <f aca="false">$P$27/AN211*(BY211-1)-CA211-BZ211*(2*AL211/AM211-$P$27/AN211)</f>
        <v>0.198812070380318</v>
      </c>
      <c r="CN211" s="60" t="n">
        <f aca="false">AP211/BY211&gt;$C$22</f>
        <v>0</v>
      </c>
      <c r="CO211" s="60" t="n">
        <f aca="false">1-N211+SUMPRODUCT(B211:M211,CB211:CM211)-SUMPRODUCT(B211:M211,CB210:CM210)</f>
        <v>0</v>
      </c>
      <c r="CP211" s="60" t="n">
        <f aca="false">SUMXMY2(O211:Z211,$E$13:$P$13)</f>
        <v>0</v>
      </c>
    </row>
    <row r="212" customFormat="false" ht="15" hidden="false" customHeight="false" outlineLevel="0" collapsed="false">
      <c r="A212" s="59" t="n">
        <v>3</v>
      </c>
      <c r="B212" s="60" t="n">
        <f aca="false">$E$13*EXP(MAX(-700,MIN(700,$E$86-CB211)))</f>
        <v>1</v>
      </c>
      <c r="C212" s="60" t="n">
        <f aca="false">$F$13*EXP(MAX(-700,MIN(700,$F$86-CC211)))</f>
        <v>0</v>
      </c>
      <c r="D212" s="60" t="n">
        <f aca="false">$G$13*EXP(MAX(-700,MIN(700,$G$86-CD211)))</f>
        <v>0</v>
      </c>
      <c r="E212" s="60" t="n">
        <f aca="false">$H$13*EXP(MAX(-700,MIN(700,$H$86-CE211)))</f>
        <v>0</v>
      </c>
      <c r="F212" s="60" t="n">
        <f aca="false">$I$13*EXP(MAX(-700,MIN(700,$I$86-CF211)))</f>
        <v>0</v>
      </c>
      <c r="G212" s="60" t="n">
        <f aca="false">$J$13*EXP(MAX(-700,MIN(700,$J$86-CG211)))</f>
        <v>0</v>
      </c>
      <c r="H212" s="60" t="n">
        <f aca="false">$K$13*EXP(MAX(-700,MIN(700,$K$86-CH211)))</f>
        <v>0</v>
      </c>
      <c r="I212" s="60" t="n">
        <f aca="false">$L$13*EXP(MAX(-700,MIN(700,$L$86-CI211)))</f>
        <v>0</v>
      </c>
      <c r="J212" s="60" t="n">
        <f aca="false">$M$13*EXP(MAX(-700,MIN(700,$M$86-CJ211)))</f>
        <v>0</v>
      </c>
      <c r="K212" s="60" t="n">
        <f aca="false">$N$13*EXP(MAX(-700,MIN(700,$N$86-CK211)))</f>
        <v>0</v>
      </c>
      <c r="L212" s="60" t="n">
        <f aca="false">$O$13*EXP(MAX(-700,MIN(700,$O$86-CL211)))</f>
        <v>0</v>
      </c>
      <c r="M212" s="60" t="n">
        <f aca="false">$P$13*EXP(MAX(-700,MIN(700,$P$86-CM211)))</f>
        <v>0</v>
      </c>
      <c r="N212" s="60" t="n">
        <f aca="false">SUM(B212:M212)</f>
        <v>1</v>
      </c>
      <c r="O212" s="60" t="n">
        <f aca="false">B212/N212</f>
        <v>1</v>
      </c>
      <c r="P212" s="60" t="n">
        <f aca="false">C212/N212</f>
        <v>0</v>
      </c>
      <c r="Q212" s="60" t="n">
        <f aca="false">D212/N212</f>
        <v>0</v>
      </c>
      <c r="R212" s="60" t="n">
        <f aca="false">E212/N212</f>
        <v>0</v>
      </c>
      <c r="S212" s="60" t="n">
        <f aca="false">F212/N212</f>
        <v>0</v>
      </c>
      <c r="T212" s="60" t="n">
        <f aca="false">G212/N212</f>
        <v>0</v>
      </c>
      <c r="U212" s="60" t="n">
        <f aca="false">H212/N212</f>
        <v>0</v>
      </c>
      <c r="V212" s="60" t="n">
        <f aca="false">I212/N212</f>
        <v>0</v>
      </c>
      <c r="W212" s="60" t="n">
        <f aca="false">J212/N212</f>
        <v>0</v>
      </c>
      <c r="X212" s="60" t="n">
        <f aca="false">K212/N212</f>
        <v>0</v>
      </c>
      <c r="Y212" s="60" t="n">
        <f aca="false">L212/N212</f>
        <v>0</v>
      </c>
      <c r="Z212" s="60" t="n">
        <f aca="false">M212/N212</f>
        <v>0</v>
      </c>
      <c r="AA212" s="60" t="n">
        <f aca="false">$E$28*SUMPRODUCT($E$31:$P$31,O212:Z212,$E$28:$P$28)</f>
        <v>0.184416866619846</v>
      </c>
      <c r="AB212" s="60" t="n">
        <f aca="false">$F$28*SUMPRODUCT($E$32:$P$32,O212:Z212,$E$28:$P$28)</f>
        <v>0</v>
      </c>
      <c r="AC212" s="60" t="n">
        <f aca="false">$G$28*SUMPRODUCT($E$33:$P$33,O212:Z212,$E$28:$P$28)</f>
        <v>0</v>
      </c>
      <c r="AD212" s="60" t="n">
        <f aca="false">$H$28*SUMPRODUCT($E$34:$P$34,O212:Z212,$E$28:$P$28)</f>
        <v>0</v>
      </c>
      <c r="AE212" s="60" t="n">
        <f aca="false">$I$28*SUMPRODUCT($E$35:$P$35,O212:Z212,$E$28:$P$28)</f>
        <v>0</v>
      </c>
      <c r="AF212" s="60" t="n">
        <f aca="false">$J$28*SUMPRODUCT($E$36:$P$36,O212:Z212,$E$28:$P$28)</f>
        <v>0</v>
      </c>
      <c r="AG212" s="60" t="n">
        <f aca="false">$K$28*SUMPRODUCT($E$37:$P$37,O212:Z212,$E$28:$P$28)</f>
        <v>0</v>
      </c>
      <c r="AH212" s="60" t="n">
        <f aca="false">$L$28*SUMPRODUCT($E$38:$P$38,O212:Z212,$E$28:$P$28)</f>
        <v>0</v>
      </c>
      <c r="AI212" s="60" t="n">
        <f aca="false">$M$28*SUMPRODUCT($E$39:$P$39,O212:Z212,$E$28:$P$28)</f>
        <v>0</v>
      </c>
      <c r="AJ212" s="60" t="n">
        <f aca="false">$N$28*SUMPRODUCT($E$40:$P$40,O212:Z212,$E$28:$P$28)</f>
        <v>0</v>
      </c>
      <c r="AK212" s="60" t="n">
        <f aca="false">$O$28*SUMPRODUCT($E$41:$P$41,O212:Z212,$E$28:$P$28)</f>
        <v>0</v>
      </c>
      <c r="AL212" s="60" t="n">
        <f aca="false">$P$28*SUMPRODUCT($E$42:$P$42,O212:Z212,$E$28:$P$28)</f>
        <v>0</v>
      </c>
      <c r="AM212" s="60" t="n">
        <f aca="false">SUMPRODUCT(O212:Z212,AA212:AL212)</f>
        <v>0.184416866619846</v>
      </c>
      <c r="AN212" s="60" t="n">
        <f aca="false">SUMPRODUCT(O212:Z212,$E$27:$P$27)</f>
        <v>2.67389635063809E-005</v>
      </c>
      <c r="AO212" s="60" t="n">
        <f aca="false">AM212*$C$9/($C$10*$C$8)^2</f>
        <v>0.21776909410545</v>
      </c>
      <c r="AP212" s="60" t="n">
        <f aca="false">AN212*$C$9/($C$10*$C$8)</f>
        <v>0.0918845243259994</v>
      </c>
      <c r="AQ212" s="60" t="n">
        <f aca="false">CHOOSE($C$7,-(1+AP212),-1,-(1-AP212))</f>
        <v>-0.908115475674001</v>
      </c>
      <c r="AR212" s="60" t="n">
        <f aca="false">CHOOSE($C$7,AO212,AO212-AP212-AP212^2,AO212-3*AP212^2-2*AP212)</f>
        <v>0.00867174802160559</v>
      </c>
      <c r="AS212" s="60" t="n">
        <f aca="false">CHOOSE($C$7,-AO212*AP212,-AO212*AP212,-(AO212*AP212-AP212^2-AP212^3))</f>
        <v>-0.0107910842936637</v>
      </c>
      <c r="AT212" s="60" t="n">
        <f aca="false">AR212-AQ212^2/3</f>
        <v>-0.266219491031267</v>
      </c>
      <c r="AU212" s="60" t="n">
        <f aca="false">2*AQ212^3/27-AQ212*AR212/3+AS212</f>
        <v>-0.0636400988362784</v>
      </c>
      <c r="AV212" s="60" t="n">
        <f aca="false">AU212^2/4+AT212^3/27</f>
        <v>0.000313710901361829</v>
      </c>
      <c r="AW212" s="60" t="n">
        <f aca="false">-AU212/2-IF(AU212&gt;=0,1,-1)*SQRT(MAX(AV212,0))</f>
        <v>0.0495319352963236</v>
      </c>
      <c r="AX212" s="60" t="n">
        <f aca="false">SIGN(AW212)*ABS(AW212)^(1/3)</f>
        <v>0.367249967174439</v>
      </c>
      <c r="AY212" s="60" t="n">
        <f aca="false">IF(AX212=0,0,AX212-AT212/(3*AX212))</f>
        <v>0.60888329127384</v>
      </c>
      <c r="AZ212" s="60" t="n">
        <f aca="false">2*SQRT(MAX(-AT212,0)/3)</f>
        <v>0.595784626668918</v>
      </c>
      <c r="BA212" s="60" t="n">
        <f aca="false">ACOS(IF(AZ212=0,0,MAX(-1,MIN(1,3*AU212/(AT212*AZ212)))))</f>
        <v>0</v>
      </c>
      <c r="BB212" s="60" t="n">
        <f aca="false">AZ212*COS(BA212/3)</f>
        <v>0.595784626668918</v>
      </c>
      <c r="BC212" s="60" t="n">
        <f aca="false">IF(AV212&lt;0,BB212,AY212)-AQ212/3</f>
        <v>0.91158844983184</v>
      </c>
      <c r="BD212" s="60" t="n">
        <f aca="false">IFERROR((((BC212+AQ212)*BC212+AR212)*BC212+AS212)/((3*BC212+2*AQ212)*BC212+AR212),0)</f>
        <v>0</v>
      </c>
      <c r="BE212" s="60" t="n">
        <f aca="false">IF(ABS(BD212)&lt;0.1*ABS(BC212),BC212-BD212,BC212)</f>
        <v>0.91158844983184</v>
      </c>
      <c r="BF212" s="60" t="n">
        <f aca="false">IFERROR((((BE212+AQ212)*BE212+AR212)*BE212+AS212)/((3*BE212+2*AQ212)*BE212+AR212),0)</f>
        <v>0</v>
      </c>
      <c r="BG212" s="60" t="n">
        <f aca="false">IF(ABS(BF212)&lt;0.1*ABS(BE212),BE212-BF212,BE212)</f>
        <v>0.91158844983184</v>
      </c>
      <c r="BH212" s="60" t="n">
        <f aca="false">-AS212/BG212</f>
        <v>0.0118376711504565</v>
      </c>
      <c r="BI212" s="60" t="n">
        <f aca="false">(AR212-BH212)/BG212</f>
        <v>-0.00347297415783941</v>
      </c>
      <c r="BJ212" s="60" t="n">
        <f aca="false">BI212^2-4*BH212</f>
        <v>-0.0473386230523248</v>
      </c>
      <c r="BK212" s="60" t="n">
        <f aca="false">IF(BJ212&gt;=0,(BI212+IF(BI212&gt;=0,1,-1)*SQRT(BJ212))/2,0)</f>
        <v>0</v>
      </c>
      <c r="BL212" s="60" t="n">
        <f aca="false">IF(AND(BJ212&gt;=0,BK212&lt;&gt;0),MIN(BK212,BH212/BK212),-1)</f>
        <v>-1</v>
      </c>
      <c r="BM212" s="60" t="n">
        <f aca="false">AND(BJ212&gt;=0,BL212&gt;AP212,ABS(BG212-BL212)&gt;=0.00005*MAX(BG212,BL212))</f>
        <v>0</v>
      </c>
      <c r="BN212" s="60" t="n">
        <f aca="false">IF(BM212,IFERROR((((BL212+AQ212)*BL212+AR212)*BL212+AS212)/((3*BL212+2*AQ212)*BL212+AR212),0),0)</f>
        <v>0</v>
      </c>
      <c r="BO212" s="60" t="n">
        <f aca="false">IF(ABS(BN212)&lt;0.1*ABS(BL212),BL212-BN212,BL212)</f>
        <v>-1</v>
      </c>
      <c r="BP212" s="60" t="n">
        <f aca="false">IF(BM212,IFERROR((((BO212+AQ212)*BO212+AR212)*BO212+AS212)/((3*BO212+2*AQ212)*BO212+AR212),0),0)</f>
        <v>0</v>
      </c>
      <c r="BQ212" s="60" t="n">
        <f aca="false">IF(ABS(BP212)&lt;0.1*ABS(BO212),BO212-BP212,BO212)</f>
        <v>-1</v>
      </c>
      <c r="BR212" s="60" t="n">
        <f aca="false">IF(BM212,MAX(BG212,BQ212),BG212)</f>
        <v>0.91158844983184</v>
      </c>
      <c r="BS212" s="60" t="n">
        <f aca="false">IF(BM212,MIN(BG212,BQ212),-1)</f>
        <v>-1</v>
      </c>
      <c r="BT212" s="60" t="n">
        <f aca="false">CHOOSE($C$7,AO212/BR212,AO212/AP212*LN(1+AP212/BR212),AO212/(2*SQRT(2)*AP212)*LN((BR212+(1+SQRT(2))*AP212)/(BR212+(1-SQRT(2))*AP212)))</f>
        <v>0.218240791233887</v>
      </c>
      <c r="BU212" s="60" t="n">
        <f aca="false">BR212-1-LN(BR212-AP212)-BT212</f>
        <v>-0.107840271021729</v>
      </c>
      <c r="BV212" s="60" t="n">
        <f aca="false">IF(BM212,CHOOSE($C$7,AO212/BS212,AO212/AP212*LN(1+AP212/BS212),AO212/(2*SQRT(2)*AP212)*LN((BS212+(1+SQRT(2))*AP212)/(BS212+(1-SQRT(2))*AP212))),0)</f>
        <v>0</v>
      </c>
      <c r="BW212" s="60" t="n">
        <f aca="false">IF(BM212,BS212-1-LN(BS212-AP212)-BV212,0)</f>
        <v>0</v>
      </c>
      <c r="BX212" s="60" t="n">
        <f aca="false">AND(BM212,BW212&lt;BU212)</f>
        <v>0</v>
      </c>
      <c r="BY212" s="60" t="n">
        <f aca="false">IF(BX212,BS212,BR212)</f>
        <v>0.91158844983184</v>
      </c>
      <c r="BZ212" s="60" t="n">
        <f aca="false">IF(BX212,BV212,BT212)</f>
        <v>0.218240791233887</v>
      </c>
      <c r="CA212" s="60" t="n">
        <f aca="false">LN(BY212-AP212)</f>
        <v>-0.198812070380318</v>
      </c>
      <c r="CB212" s="60" t="n">
        <f aca="false">$E$27/AN212*(BY212-1)-CA212-BZ212*(2*AA212/AM212-$E$27/AN212)</f>
        <v>-0.107840271021729</v>
      </c>
      <c r="CC212" s="60" t="n">
        <f aca="false">$F$27/AN212*(BY212-1)-CA212-BZ212*(2*AB212/AM212-$F$27/AN212)</f>
        <v>0.198812070380318</v>
      </c>
      <c r="CD212" s="60" t="n">
        <f aca="false">$G$27/AN212*(BY212-1)-CA212-BZ212*(2*AC212/AM212-$G$27/AN212)</f>
        <v>0.198812070380318</v>
      </c>
      <c r="CE212" s="60" t="n">
        <f aca="false">$H$27/AN212*(BY212-1)-CA212-BZ212*(2*AD212/AM212-$H$27/AN212)</f>
        <v>0.198812070380318</v>
      </c>
      <c r="CF212" s="60" t="n">
        <f aca="false">$I$27/AN212*(BY212-1)-CA212-BZ212*(2*AE212/AM212-$I$27/AN212)</f>
        <v>0.198812070380318</v>
      </c>
      <c r="CG212" s="60" t="n">
        <f aca="false">$J$27/AN212*(BY212-1)-CA212-BZ212*(2*AF212/AM212-$J$27/AN212)</f>
        <v>0.198812070380318</v>
      </c>
      <c r="CH212" s="60" t="n">
        <f aca="false">$K$27/AN212*(BY212-1)-CA212-BZ212*(2*AG212/AM212-$K$27/AN212)</f>
        <v>0.198812070380318</v>
      </c>
      <c r="CI212" s="60" t="n">
        <f aca="false">$L$27/AN212*(BY212-1)-CA212-BZ212*(2*AH212/AM212-$L$27/AN212)</f>
        <v>0.198812070380318</v>
      </c>
      <c r="CJ212" s="60" t="n">
        <f aca="false">$M$27/AN212*(BY212-1)-CA212-BZ212*(2*AI212/AM212-$M$27/AN212)</f>
        <v>0.198812070380318</v>
      </c>
      <c r="CK212" s="60" t="n">
        <f aca="false">$N$27/AN212*(BY212-1)-CA212-BZ212*(2*AJ212/AM212-$N$27/AN212)</f>
        <v>0.198812070380318</v>
      </c>
      <c r="CL212" s="60" t="n">
        <f aca="false">$O$27/AN212*(BY212-1)-CA212-BZ212*(2*AK212/AM212-$O$27/AN212)</f>
        <v>0.198812070380318</v>
      </c>
      <c r="CM212" s="60" t="n">
        <f aca="false">$P$27/AN212*(BY212-1)-CA212-BZ212*(2*AL212/AM212-$P$27/AN212)</f>
        <v>0.198812070380318</v>
      </c>
      <c r="CN212" s="60" t="n">
        <f aca="false">AP212/BY212&gt;$C$22</f>
        <v>0</v>
      </c>
      <c r="CO212" s="60" t="n">
        <f aca="false">1-N212+SUMPRODUCT(B212:M212,CB212:CM212)-SUMPRODUCT(B212:M212,CB211:CM211)</f>
        <v>0</v>
      </c>
      <c r="CP212" s="60" t="n">
        <f aca="false">SUMXMY2(O212:Z212,$E$13:$P$13)</f>
        <v>0</v>
      </c>
    </row>
    <row r="213" customFormat="false" ht="15" hidden="false" customHeight="false" outlineLevel="0" collapsed="false">
      <c r="A213" s="59" t="n">
        <v>4</v>
      </c>
      <c r="B213" s="60" t="n">
        <f aca="false">$E$13*EXP(MAX(-700,MIN(700,$E$86-CB212)))</f>
        <v>1</v>
      </c>
      <c r="C213" s="60" t="n">
        <f aca="false">$F$13*EXP(MAX(-700,MIN(700,$F$86-CC212)))</f>
        <v>0</v>
      </c>
      <c r="D213" s="60" t="n">
        <f aca="false">$G$13*EXP(MAX(-700,MIN(700,$G$86-CD212)))</f>
        <v>0</v>
      </c>
      <c r="E213" s="60" t="n">
        <f aca="false">$H$13*EXP(MAX(-700,MIN(700,$H$86-CE212)))</f>
        <v>0</v>
      </c>
      <c r="F213" s="60" t="n">
        <f aca="false">$I$13*EXP(MAX(-700,MIN(700,$I$86-CF212)))</f>
        <v>0</v>
      </c>
      <c r="G213" s="60" t="n">
        <f aca="false">$J$13*EXP(MAX(-700,MIN(700,$J$86-CG212)))</f>
        <v>0</v>
      </c>
      <c r="H213" s="60" t="n">
        <f aca="false">$K$13*EXP(MAX(-700,MIN(700,$K$86-CH212)))</f>
        <v>0</v>
      </c>
      <c r="I213" s="60" t="n">
        <f aca="false">$L$13*EXP(MAX(-700,MIN(700,$L$86-CI212)))</f>
        <v>0</v>
      </c>
      <c r="J213" s="60" t="n">
        <f aca="false">$M$13*EXP(MAX(-700,MIN(700,$M$86-CJ212)))</f>
        <v>0</v>
      </c>
      <c r="K213" s="60" t="n">
        <f aca="false">$N$13*EXP(MAX(-700,MIN(700,$N$86-CK212)))</f>
        <v>0</v>
      </c>
      <c r="L213" s="60" t="n">
        <f aca="false">$O$13*EXP(MAX(-700,MIN(700,$O$86-CL212)))</f>
        <v>0</v>
      </c>
      <c r="M213" s="60" t="n">
        <f aca="false">$P$13*EXP(MAX(-700,MIN(700,$P$86-CM212)))</f>
        <v>0</v>
      </c>
      <c r="N213" s="60" t="n">
        <f aca="false">SUM(B213:M213)</f>
        <v>1</v>
      </c>
      <c r="O213" s="60" t="n">
        <f aca="false">B213/N213</f>
        <v>1</v>
      </c>
      <c r="P213" s="60" t="n">
        <f aca="false">C213/N213</f>
        <v>0</v>
      </c>
      <c r="Q213" s="60" t="n">
        <f aca="false">D213/N213</f>
        <v>0</v>
      </c>
      <c r="R213" s="60" t="n">
        <f aca="false">E213/N213</f>
        <v>0</v>
      </c>
      <c r="S213" s="60" t="n">
        <f aca="false">F213/N213</f>
        <v>0</v>
      </c>
      <c r="T213" s="60" t="n">
        <f aca="false">G213/N213</f>
        <v>0</v>
      </c>
      <c r="U213" s="60" t="n">
        <f aca="false">H213/N213</f>
        <v>0</v>
      </c>
      <c r="V213" s="60" t="n">
        <f aca="false">I213/N213</f>
        <v>0</v>
      </c>
      <c r="W213" s="60" t="n">
        <f aca="false">J213/N213</f>
        <v>0</v>
      </c>
      <c r="X213" s="60" t="n">
        <f aca="false">K213/N213</f>
        <v>0</v>
      </c>
      <c r="Y213" s="60" t="n">
        <f aca="false">L213/N213</f>
        <v>0</v>
      </c>
      <c r="Z213" s="60" t="n">
        <f aca="false">M213/N213</f>
        <v>0</v>
      </c>
      <c r="AA213" s="60" t="n">
        <f aca="false">$E$28*SUMPRODUCT($E$31:$P$31,O213:Z213,$E$28:$P$28)</f>
        <v>0.184416866619846</v>
      </c>
      <c r="AB213" s="60" t="n">
        <f aca="false">$F$28*SUMPRODUCT($E$32:$P$32,O213:Z213,$E$28:$P$28)</f>
        <v>0</v>
      </c>
      <c r="AC213" s="60" t="n">
        <f aca="false">$G$28*SUMPRODUCT($E$33:$P$33,O213:Z213,$E$28:$P$28)</f>
        <v>0</v>
      </c>
      <c r="AD213" s="60" t="n">
        <f aca="false">$H$28*SUMPRODUCT($E$34:$P$34,O213:Z213,$E$28:$P$28)</f>
        <v>0</v>
      </c>
      <c r="AE213" s="60" t="n">
        <f aca="false">$I$28*SUMPRODUCT($E$35:$P$35,O213:Z213,$E$28:$P$28)</f>
        <v>0</v>
      </c>
      <c r="AF213" s="60" t="n">
        <f aca="false">$J$28*SUMPRODUCT($E$36:$P$36,O213:Z213,$E$28:$P$28)</f>
        <v>0</v>
      </c>
      <c r="AG213" s="60" t="n">
        <f aca="false">$K$28*SUMPRODUCT($E$37:$P$37,O213:Z213,$E$28:$P$28)</f>
        <v>0</v>
      </c>
      <c r="AH213" s="60" t="n">
        <f aca="false">$L$28*SUMPRODUCT($E$38:$P$38,O213:Z213,$E$28:$P$28)</f>
        <v>0</v>
      </c>
      <c r="AI213" s="60" t="n">
        <f aca="false">$M$28*SUMPRODUCT($E$39:$P$39,O213:Z213,$E$28:$P$28)</f>
        <v>0</v>
      </c>
      <c r="AJ213" s="60" t="n">
        <f aca="false">$N$28*SUMPRODUCT($E$40:$P$40,O213:Z213,$E$28:$P$28)</f>
        <v>0</v>
      </c>
      <c r="AK213" s="60" t="n">
        <f aca="false">$O$28*SUMPRODUCT($E$41:$P$41,O213:Z213,$E$28:$P$28)</f>
        <v>0</v>
      </c>
      <c r="AL213" s="60" t="n">
        <f aca="false">$P$28*SUMPRODUCT($E$42:$P$42,O213:Z213,$E$28:$P$28)</f>
        <v>0</v>
      </c>
      <c r="AM213" s="60" t="n">
        <f aca="false">SUMPRODUCT(O213:Z213,AA213:AL213)</f>
        <v>0.184416866619846</v>
      </c>
      <c r="AN213" s="60" t="n">
        <f aca="false">SUMPRODUCT(O213:Z213,$E$27:$P$27)</f>
        <v>2.67389635063809E-005</v>
      </c>
      <c r="AO213" s="60" t="n">
        <f aca="false">AM213*$C$9/($C$10*$C$8)^2</f>
        <v>0.21776909410545</v>
      </c>
      <c r="AP213" s="60" t="n">
        <f aca="false">AN213*$C$9/($C$10*$C$8)</f>
        <v>0.0918845243259994</v>
      </c>
      <c r="AQ213" s="60" t="n">
        <f aca="false">CHOOSE($C$7,-(1+AP213),-1,-(1-AP213))</f>
        <v>-0.908115475674001</v>
      </c>
      <c r="AR213" s="60" t="n">
        <f aca="false">CHOOSE($C$7,AO213,AO213-AP213-AP213^2,AO213-3*AP213^2-2*AP213)</f>
        <v>0.00867174802160559</v>
      </c>
      <c r="AS213" s="60" t="n">
        <f aca="false">CHOOSE($C$7,-AO213*AP213,-AO213*AP213,-(AO213*AP213-AP213^2-AP213^3))</f>
        <v>-0.0107910842936637</v>
      </c>
      <c r="AT213" s="60" t="n">
        <f aca="false">AR213-AQ213^2/3</f>
        <v>-0.266219491031267</v>
      </c>
      <c r="AU213" s="60" t="n">
        <f aca="false">2*AQ213^3/27-AQ213*AR213/3+AS213</f>
        <v>-0.0636400988362784</v>
      </c>
      <c r="AV213" s="60" t="n">
        <f aca="false">AU213^2/4+AT213^3/27</f>
        <v>0.000313710901361829</v>
      </c>
      <c r="AW213" s="60" t="n">
        <f aca="false">-AU213/2-IF(AU213&gt;=0,1,-1)*SQRT(MAX(AV213,0))</f>
        <v>0.0495319352963236</v>
      </c>
      <c r="AX213" s="60" t="n">
        <f aca="false">SIGN(AW213)*ABS(AW213)^(1/3)</f>
        <v>0.367249967174439</v>
      </c>
      <c r="AY213" s="60" t="n">
        <f aca="false">IF(AX213=0,0,AX213-AT213/(3*AX213))</f>
        <v>0.60888329127384</v>
      </c>
      <c r="AZ213" s="60" t="n">
        <f aca="false">2*SQRT(MAX(-AT213,0)/3)</f>
        <v>0.595784626668918</v>
      </c>
      <c r="BA213" s="60" t="n">
        <f aca="false">ACOS(IF(AZ213=0,0,MAX(-1,MIN(1,3*AU213/(AT213*AZ213)))))</f>
        <v>0</v>
      </c>
      <c r="BB213" s="60" t="n">
        <f aca="false">AZ213*COS(BA213/3)</f>
        <v>0.595784626668918</v>
      </c>
      <c r="BC213" s="60" t="n">
        <f aca="false">IF(AV213&lt;0,BB213,AY213)-AQ213/3</f>
        <v>0.91158844983184</v>
      </c>
      <c r="BD213" s="60" t="n">
        <f aca="false">IFERROR((((BC213+AQ213)*BC213+AR213)*BC213+AS213)/((3*BC213+2*AQ213)*BC213+AR213),0)</f>
        <v>0</v>
      </c>
      <c r="BE213" s="60" t="n">
        <f aca="false">IF(ABS(BD213)&lt;0.1*ABS(BC213),BC213-BD213,BC213)</f>
        <v>0.91158844983184</v>
      </c>
      <c r="BF213" s="60" t="n">
        <f aca="false">IFERROR((((BE213+AQ213)*BE213+AR213)*BE213+AS213)/((3*BE213+2*AQ213)*BE213+AR213),0)</f>
        <v>0</v>
      </c>
      <c r="BG213" s="60" t="n">
        <f aca="false">IF(ABS(BF213)&lt;0.1*ABS(BE213),BE213-BF213,BE213)</f>
        <v>0.91158844983184</v>
      </c>
      <c r="BH213" s="60" t="n">
        <f aca="false">-AS213/BG213</f>
        <v>0.0118376711504565</v>
      </c>
      <c r="BI213" s="60" t="n">
        <f aca="false">(AR213-BH213)/BG213</f>
        <v>-0.00347297415783941</v>
      </c>
      <c r="BJ213" s="60" t="n">
        <f aca="false">BI213^2-4*BH213</f>
        <v>-0.0473386230523248</v>
      </c>
      <c r="BK213" s="60" t="n">
        <f aca="false">IF(BJ213&gt;=0,(BI213+IF(BI213&gt;=0,1,-1)*SQRT(BJ213))/2,0)</f>
        <v>0</v>
      </c>
      <c r="BL213" s="60" t="n">
        <f aca="false">IF(AND(BJ213&gt;=0,BK213&lt;&gt;0),MIN(BK213,BH213/BK213),-1)</f>
        <v>-1</v>
      </c>
      <c r="BM213" s="60" t="n">
        <f aca="false">AND(BJ213&gt;=0,BL213&gt;AP213,ABS(BG213-BL213)&gt;=0.00005*MAX(BG213,BL213))</f>
        <v>0</v>
      </c>
      <c r="BN213" s="60" t="n">
        <f aca="false">IF(BM213,IFERROR((((BL213+AQ213)*BL213+AR213)*BL213+AS213)/((3*BL213+2*AQ213)*BL213+AR213),0),0)</f>
        <v>0</v>
      </c>
      <c r="BO213" s="60" t="n">
        <f aca="false">IF(ABS(BN213)&lt;0.1*ABS(BL213),BL213-BN213,BL213)</f>
        <v>-1</v>
      </c>
      <c r="BP213" s="60" t="n">
        <f aca="false">IF(BM213,IFERROR((((BO213+AQ213)*BO213+AR213)*BO213+AS213)/((3*BO213+2*AQ213)*BO213+AR213),0),0)</f>
        <v>0</v>
      </c>
      <c r="BQ213" s="60" t="n">
        <f aca="false">IF(ABS(BP213)&lt;0.1*ABS(BO213),BO213-BP213,BO213)</f>
        <v>-1</v>
      </c>
      <c r="BR213" s="60" t="n">
        <f aca="false">IF(BM213,MAX(BG213,BQ213),BG213)</f>
        <v>0.91158844983184</v>
      </c>
      <c r="BS213" s="60" t="n">
        <f aca="false">IF(BM213,MIN(BG213,BQ213),-1)</f>
        <v>-1</v>
      </c>
      <c r="BT213" s="60" t="n">
        <f aca="false">CHOOSE($C$7,AO213/BR213,AO213/AP213*LN(1+AP213/BR213),AO213/(2*SQRT(2)*AP213)*LN((BR213+(1+SQRT(2))*AP213)/(BR213+(1-SQRT(2))*AP213)))</f>
        <v>0.218240791233887</v>
      </c>
      <c r="BU213" s="60" t="n">
        <f aca="false">BR213-1-LN(BR213-AP213)-BT213</f>
        <v>-0.107840271021729</v>
      </c>
      <c r="BV213" s="60" t="n">
        <f aca="false">IF(BM213,CHOOSE($C$7,AO213/BS213,AO213/AP213*LN(1+AP213/BS213),AO213/(2*SQRT(2)*AP213)*LN((BS213+(1+SQRT(2))*AP213)/(BS213+(1-SQRT(2))*AP213))),0)</f>
        <v>0</v>
      </c>
      <c r="BW213" s="60" t="n">
        <f aca="false">IF(BM213,BS213-1-LN(BS213-AP213)-BV213,0)</f>
        <v>0</v>
      </c>
      <c r="BX213" s="60" t="n">
        <f aca="false">AND(BM213,BW213&lt;BU213)</f>
        <v>0</v>
      </c>
      <c r="BY213" s="60" t="n">
        <f aca="false">IF(BX213,BS213,BR213)</f>
        <v>0.91158844983184</v>
      </c>
      <c r="BZ213" s="60" t="n">
        <f aca="false">IF(BX213,BV213,BT213)</f>
        <v>0.218240791233887</v>
      </c>
      <c r="CA213" s="60" t="n">
        <f aca="false">LN(BY213-AP213)</f>
        <v>-0.198812070380318</v>
      </c>
      <c r="CB213" s="60" t="n">
        <f aca="false">$E$27/AN213*(BY213-1)-CA213-BZ213*(2*AA213/AM213-$E$27/AN213)</f>
        <v>-0.107840271021729</v>
      </c>
      <c r="CC213" s="60" t="n">
        <f aca="false">$F$27/AN213*(BY213-1)-CA213-BZ213*(2*AB213/AM213-$F$27/AN213)</f>
        <v>0.198812070380318</v>
      </c>
      <c r="CD213" s="60" t="n">
        <f aca="false">$G$27/AN213*(BY213-1)-CA213-BZ213*(2*AC213/AM213-$G$27/AN213)</f>
        <v>0.198812070380318</v>
      </c>
      <c r="CE213" s="60" t="n">
        <f aca="false">$H$27/AN213*(BY213-1)-CA213-BZ213*(2*AD213/AM213-$H$27/AN213)</f>
        <v>0.198812070380318</v>
      </c>
      <c r="CF213" s="60" t="n">
        <f aca="false">$I$27/AN213*(BY213-1)-CA213-BZ213*(2*AE213/AM213-$I$27/AN213)</f>
        <v>0.198812070380318</v>
      </c>
      <c r="CG213" s="60" t="n">
        <f aca="false">$J$27/AN213*(BY213-1)-CA213-BZ213*(2*AF213/AM213-$J$27/AN213)</f>
        <v>0.198812070380318</v>
      </c>
      <c r="CH213" s="60" t="n">
        <f aca="false">$K$27/AN213*(BY213-1)-CA213-BZ213*(2*AG213/AM213-$K$27/AN213)</f>
        <v>0.198812070380318</v>
      </c>
      <c r="CI213" s="60" t="n">
        <f aca="false">$L$27/AN213*(BY213-1)-CA213-BZ213*(2*AH213/AM213-$L$27/AN213)</f>
        <v>0.198812070380318</v>
      </c>
      <c r="CJ213" s="60" t="n">
        <f aca="false">$M$27/AN213*(BY213-1)-CA213-BZ213*(2*AI213/AM213-$M$27/AN213)</f>
        <v>0.198812070380318</v>
      </c>
      <c r="CK213" s="60" t="n">
        <f aca="false">$N$27/AN213*(BY213-1)-CA213-BZ213*(2*AJ213/AM213-$N$27/AN213)</f>
        <v>0.198812070380318</v>
      </c>
      <c r="CL213" s="60" t="n">
        <f aca="false">$O$27/AN213*(BY213-1)-CA213-BZ213*(2*AK213/AM213-$O$27/AN213)</f>
        <v>0.198812070380318</v>
      </c>
      <c r="CM213" s="60" t="n">
        <f aca="false">$P$27/AN213*(BY213-1)-CA213-BZ213*(2*AL213/AM213-$P$27/AN213)</f>
        <v>0.198812070380318</v>
      </c>
      <c r="CN213" s="60" t="n">
        <f aca="false">AP213/BY213&gt;$C$22</f>
        <v>0</v>
      </c>
      <c r="CO213" s="60" t="n">
        <f aca="false">1-N213+SUMPRODUCT(B213:M213,CB213:CM213)-SUMPRODUCT(B213:M213,CB212:CM212)</f>
        <v>0</v>
      </c>
      <c r="CP213" s="60" t="n">
        <f aca="false">SUMXMY2(O213:Z213,$E$13:$P$13)</f>
        <v>0</v>
      </c>
    </row>
    <row r="214" customFormat="false" ht="15" hidden="false" customHeight="false" outlineLevel="0" collapsed="false">
      <c r="A214" s="59" t="n">
        <v>5</v>
      </c>
      <c r="B214" s="60" t="n">
        <f aca="false">$E$13*EXP(MAX(-700,MIN(700,$E$86-CB213)))</f>
        <v>1</v>
      </c>
      <c r="C214" s="60" t="n">
        <f aca="false">$F$13*EXP(MAX(-700,MIN(700,$F$86-CC213)))</f>
        <v>0</v>
      </c>
      <c r="D214" s="60" t="n">
        <f aca="false">$G$13*EXP(MAX(-700,MIN(700,$G$86-CD213)))</f>
        <v>0</v>
      </c>
      <c r="E214" s="60" t="n">
        <f aca="false">$H$13*EXP(MAX(-700,MIN(700,$H$86-CE213)))</f>
        <v>0</v>
      </c>
      <c r="F214" s="60" t="n">
        <f aca="false">$I$13*EXP(MAX(-700,MIN(700,$I$86-CF213)))</f>
        <v>0</v>
      </c>
      <c r="G214" s="60" t="n">
        <f aca="false">$J$13*EXP(MAX(-700,MIN(700,$J$86-CG213)))</f>
        <v>0</v>
      </c>
      <c r="H214" s="60" t="n">
        <f aca="false">$K$13*EXP(MAX(-700,MIN(700,$K$86-CH213)))</f>
        <v>0</v>
      </c>
      <c r="I214" s="60" t="n">
        <f aca="false">$L$13*EXP(MAX(-700,MIN(700,$L$86-CI213)))</f>
        <v>0</v>
      </c>
      <c r="J214" s="60" t="n">
        <f aca="false">$M$13*EXP(MAX(-700,MIN(700,$M$86-CJ213)))</f>
        <v>0</v>
      </c>
      <c r="K214" s="60" t="n">
        <f aca="false">$N$13*EXP(MAX(-700,MIN(700,$N$86-CK213)))</f>
        <v>0</v>
      </c>
      <c r="L214" s="60" t="n">
        <f aca="false">$O$13*EXP(MAX(-700,MIN(700,$O$86-CL213)))</f>
        <v>0</v>
      </c>
      <c r="M214" s="60" t="n">
        <f aca="false">$P$13*EXP(MAX(-700,MIN(700,$P$86-CM213)))</f>
        <v>0</v>
      </c>
      <c r="N214" s="60" t="n">
        <f aca="false">SUM(B214:M214)</f>
        <v>1</v>
      </c>
      <c r="O214" s="60" t="n">
        <f aca="false">B214/N214</f>
        <v>1</v>
      </c>
      <c r="P214" s="60" t="n">
        <f aca="false">C214/N214</f>
        <v>0</v>
      </c>
      <c r="Q214" s="60" t="n">
        <f aca="false">D214/N214</f>
        <v>0</v>
      </c>
      <c r="R214" s="60" t="n">
        <f aca="false">E214/N214</f>
        <v>0</v>
      </c>
      <c r="S214" s="60" t="n">
        <f aca="false">F214/N214</f>
        <v>0</v>
      </c>
      <c r="T214" s="60" t="n">
        <f aca="false">G214/N214</f>
        <v>0</v>
      </c>
      <c r="U214" s="60" t="n">
        <f aca="false">H214/N214</f>
        <v>0</v>
      </c>
      <c r="V214" s="60" t="n">
        <f aca="false">I214/N214</f>
        <v>0</v>
      </c>
      <c r="W214" s="60" t="n">
        <f aca="false">J214/N214</f>
        <v>0</v>
      </c>
      <c r="X214" s="60" t="n">
        <f aca="false">K214/N214</f>
        <v>0</v>
      </c>
      <c r="Y214" s="60" t="n">
        <f aca="false">L214/N214</f>
        <v>0</v>
      </c>
      <c r="Z214" s="60" t="n">
        <f aca="false">M214/N214</f>
        <v>0</v>
      </c>
      <c r="AA214" s="60" t="n">
        <f aca="false">$E$28*SUMPRODUCT($E$31:$P$31,O214:Z214,$E$28:$P$28)</f>
        <v>0.184416866619846</v>
      </c>
      <c r="AB214" s="60" t="n">
        <f aca="false">$F$28*SUMPRODUCT($E$32:$P$32,O214:Z214,$E$28:$P$28)</f>
        <v>0</v>
      </c>
      <c r="AC214" s="60" t="n">
        <f aca="false">$G$28*SUMPRODUCT($E$33:$P$33,O214:Z214,$E$28:$P$28)</f>
        <v>0</v>
      </c>
      <c r="AD214" s="60" t="n">
        <f aca="false">$H$28*SUMPRODUCT($E$34:$P$34,O214:Z214,$E$28:$P$28)</f>
        <v>0</v>
      </c>
      <c r="AE214" s="60" t="n">
        <f aca="false">$I$28*SUMPRODUCT($E$35:$P$35,O214:Z214,$E$28:$P$28)</f>
        <v>0</v>
      </c>
      <c r="AF214" s="60" t="n">
        <f aca="false">$J$28*SUMPRODUCT($E$36:$P$36,O214:Z214,$E$28:$P$28)</f>
        <v>0</v>
      </c>
      <c r="AG214" s="60" t="n">
        <f aca="false">$K$28*SUMPRODUCT($E$37:$P$37,O214:Z214,$E$28:$P$28)</f>
        <v>0</v>
      </c>
      <c r="AH214" s="60" t="n">
        <f aca="false">$L$28*SUMPRODUCT($E$38:$P$38,O214:Z214,$E$28:$P$28)</f>
        <v>0</v>
      </c>
      <c r="AI214" s="60" t="n">
        <f aca="false">$M$28*SUMPRODUCT($E$39:$P$39,O214:Z214,$E$28:$P$28)</f>
        <v>0</v>
      </c>
      <c r="AJ214" s="60" t="n">
        <f aca="false">$N$28*SUMPRODUCT($E$40:$P$40,O214:Z214,$E$28:$P$28)</f>
        <v>0</v>
      </c>
      <c r="AK214" s="60" t="n">
        <f aca="false">$O$28*SUMPRODUCT($E$41:$P$41,O214:Z214,$E$28:$P$28)</f>
        <v>0</v>
      </c>
      <c r="AL214" s="60" t="n">
        <f aca="false">$P$28*SUMPRODUCT($E$42:$P$42,O214:Z214,$E$28:$P$28)</f>
        <v>0</v>
      </c>
      <c r="AM214" s="60" t="n">
        <f aca="false">SUMPRODUCT(O214:Z214,AA214:AL214)</f>
        <v>0.184416866619846</v>
      </c>
      <c r="AN214" s="60" t="n">
        <f aca="false">SUMPRODUCT(O214:Z214,$E$27:$P$27)</f>
        <v>2.67389635063809E-005</v>
      </c>
      <c r="AO214" s="60" t="n">
        <f aca="false">AM214*$C$9/($C$10*$C$8)^2</f>
        <v>0.21776909410545</v>
      </c>
      <c r="AP214" s="60" t="n">
        <f aca="false">AN214*$C$9/($C$10*$C$8)</f>
        <v>0.0918845243259994</v>
      </c>
      <c r="AQ214" s="60" t="n">
        <f aca="false">CHOOSE($C$7,-(1+AP214),-1,-(1-AP214))</f>
        <v>-0.908115475674001</v>
      </c>
      <c r="AR214" s="60" t="n">
        <f aca="false">CHOOSE($C$7,AO214,AO214-AP214-AP214^2,AO214-3*AP214^2-2*AP214)</f>
        <v>0.00867174802160559</v>
      </c>
      <c r="AS214" s="60" t="n">
        <f aca="false">CHOOSE($C$7,-AO214*AP214,-AO214*AP214,-(AO214*AP214-AP214^2-AP214^3))</f>
        <v>-0.0107910842936637</v>
      </c>
      <c r="AT214" s="60" t="n">
        <f aca="false">AR214-AQ214^2/3</f>
        <v>-0.266219491031267</v>
      </c>
      <c r="AU214" s="60" t="n">
        <f aca="false">2*AQ214^3/27-AQ214*AR214/3+AS214</f>
        <v>-0.0636400988362784</v>
      </c>
      <c r="AV214" s="60" t="n">
        <f aca="false">AU214^2/4+AT214^3/27</f>
        <v>0.000313710901361829</v>
      </c>
      <c r="AW214" s="60" t="n">
        <f aca="false">-AU214/2-IF(AU214&gt;=0,1,-1)*SQRT(MAX(AV214,0))</f>
        <v>0.0495319352963236</v>
      </c>
      <c r="AX214" s="60" t="n">
        <f aca="false">SIGN(AW214)*ABS(AW214)^(1/3)</f>
        <v>0.367249967174439</v>
      </c>
      <c r="AY214" s="60" t="n">
        <f aca="false">IF(AX214=0,0,AX214-AT214/(3*AX214))</f>
        <v>0.60888329127384</v>
      </c>
      <c r="AZ214" s="60" t="n">
        <f aca="false">2*SQRT(MAX(-AT214,0)/3)</f>
        <v>0.595784626668918</v>
      </c>
      <c r="BA214" s="60" t="n">
        <f aca="false">ACOS(IF(AZ214=0,0,MAX(-1,MIN(1,3*AU214/(AT214*AZ214)))))</f>
        <v>0</v>
      </c>
      <c r="BB214" s="60" t="n">
        <f aca="false">AZ214*COS(BA214/3)</f>
        <v>0.595784626668918</v>
      </c>
      <c r="BC214" s="60" t="n">
        <f aca="false">IF(AV214&lt;0,BB214,AY214)-AQ214/3</f>
        <v>0.91158844983184</v>
      </c>
      <c r="BD214" s="60" t="n">
        <f aca="false">IFERROR((((BC214+AQ214)*BC214+AR214)*BC214+AS214)/((3*BC214+2*AQ214)*BC214+AR214),0)</f>
        <v>0</v>
      </c>
      <c r="BE214" s="60" t="n">
        <f aca="false">IF(ABS(BD214)&lt;0.1*ABS(BC214),BC214-BD214,BC214)</f>
        <v>0.91158844983184</v>
      </c>
      <c r="BF214" s="60" t="n">
        <f aca="false">IFERROR((((BE214+AQ214)*BE214+AR214)*BE214+AS214)/((3*BE214+2*AQ214)*BE214+AR214),0)</f>
        <v>0</v>
      </c>
      <c r="BG214" s="60" t="n">
        <f aca="false">IF(ABS(BF214)&lt;0.1*ABS(BE214),BE214-BF214,BE214)</f>
        <v>0.91158844983184</v>
      </c>
      <c r="BH214" s="60" t="n">
        <f aca="false">-AS214/BG214</f>
        <v>0.0118376711504565</v>
      </c>
      <c r="BI214" s="60" t="n">
        <f aca="false">(AR214-BH214)/BG214</f>
        <v>-0.00347297415783941</v>
      </c>
      <c r="BJ214" s="60" t="n">
        <f aca="false">BI214^2-4*BH214</f>
        <v>-0.0473386230523248</v>
      </c>
      <c r="BK214" s="60" t="n">
        <f aca="false">IF(BJ214&gt;=0,(BI214+IF(BI214&gt;=0,1,-1)*SQRT(BJ214))/2,0)</f>
        <v>0</v>
      </c>
      <c r="BL214" s="60" t="n">
        <f aca="false">IF(AND(BJ214&gt;=0,BK214&lt;&gt;0),MIN(BK214,BH214/BK214),-1)</f>
        <v>-1</v>
      </c>
      <c r="BM214" s="60" t="n">
        <f aca="false">AND(BJ214&gt;=0,BL214&gt;AP214,ABS(BG214-BL214)&gt;=0.00005*MAX(BG214,BL214))</f>
        <v>0</v>
      </c>
      <c r="BN214" s="60" t="n">
        <f aca="false">IF(BM214,IFERROR((((BL214+AQ214)*BL214+AR214)*BL214+AS214)/((3*BL214+2*AQ214)*BL214+AR214),0),0)</f>
        <v>0</v>
      </c>
      <c r="BO214" s="60" t="n">
        <f aca="false">IF(ABS(BN214)&lt;0.1*ABS(BL214),BL214-BN214,BL214)</f>
        <v>-1</v>
      </c>
      <c r="BP214" s="60" t="n">
        <f aca="false">IF(BM214,IFERROR((((BO214+AQ214)*BO214+AR214)*BO214+AS214)/((3*BO214+2*AQ214)*BO214+AR214),0),0)</f>
        <v>0</v>
      </c>
      <c r="BQ214" s="60" t="n">
        <f aca="false">IF(ABS(BP214)&lt;0.1*ABS(BO214),BO214-BP214,BO214)</f>
        <v>-1</v>
      </c>
      <c r="BR214" s="60" t="n">
        <f aca="false">IF(BM214,MAX(BG214,BQ214),BG214)</f>
        <v>0.91158844983184</v>
      </c>
      <c r="BS214" s="60" t="n">
        <f aca="false">IF(BM214,MIN(BG214,BQ214),-1)</f>
        <v>-1</v>
      </c>
      <c r="BT214" s="60" t="n">
        <f aca="false">CHOOSE($C$7,AO214/BR214,AO214/AP214*LN(1+AP214/BR214),AO214/(2*SQRT(2)*AP214)*LN((BR214+(1+SQRT(2))*AP214)/(BR214+(1-SQRT(2))*AP214)))</f>
        <v>0.218240791233887</v>
      </c>
      <c r="BU214" s="60" t="n">
        <f aca="false">BR214-1-LN(BR214-AP214)-BT214</f>
        <v>-0.107840271021729</v>
      </c>
      <c r="BV214" s="60" t="n">
        <f aca="false">IF(BM214,CHOOSE($C$7,AO214/BS214,AO214/AP214*LN(1+AP214/BS214),AO214/(2*SQRT(2)*AP214)*LN((BS214+(1+SQRT(2))*AP214)/(BS214+(1-SQRT(2))*AP214))),0)</f>
        <v>0</v>
      </c>
      <c r="BW214" s="60" t="n">
        <f aca="false">IF(BM214,BS214-1-LN(BS214-AP214)-BV214,0)</f>
        <v>0</v>
      </c>
      <c r="BX214" s="60" t="n">
        <f aca="false">AND(BM214,BW214&lt;BU214)</f>
        <v>0</v>
      </c>
      <c r="BY214" s="60" t="n">
        <f aca="false">IF(BX214,BS214,BR214)</f>
        <v>0.91158844983184</v>
      </c>
      <c r="BZ214" s="60" t="n">
        <f aca="false">IF(BX214,BV214,BT214)</f>
        <v>0.218240791233887</v>
      </c>
      <c r="CA214" s="60" t="n">
        <f aca="false">LN(BY214-AP214)</f>
        <v>-0.198812070380318</v>
      </c>
      <c r="CB214" s="60" t="n">
        <f aca="false">$E$27/AN214*(BY214-1)-CA214-BZ214*(2*AA214/AM214-$E$27/AN214)</f>
        <v>-0.107840271021729</v>
      </c>
      <c r="CC214" s="60" t="n">
        <f aca="false">$F$27/AN214*(BY214-1)-CA214-BZ214*(2*AB214/AM214-$F$27/AN214)</f>
        <v>0.198812070380318</v>
      </c>
      <c r="CD214" s="60" t="n">
        <f aca="false">$G$27/AN214*(BY214-1)-CA214-BZ214*(2*AC214/AM214-$G$27/AN214)</f>
        <v>0.198812070380318</v>
      </c>
      <c r="CE214" s="60" t="n">
        <f aca="false">$H$27/AN214*(BY214-1)-CA214-BZ214*(2*AD214/AM214-$H$27/AN214)</f>
        <v>0.198812070380318</v>
      </c>
      <c r="CF214" s="60" t="n">
        <f aca="false">$I$27/AN214*(BY214-1)-CA214-BZ214*(2*AE214/AM214-$I$27/AN214)</f>
        <v>0.198812070380318</v>
      </c>
      <c r="CG214" s="60" t="n">
        <f aca="false">$J$27/AN214*(BY214-1)-CA214-BZ214*(2*AF214/AM214-$J$27/AN214)</f>
        <v>0.198812070380318</v>
      </c>
      <c r="CH214" s="60" t="n">
        <f aca="false">$K$27/AN214*(BY214-1)-CA214-BZ214*(2*AG214/AM214-$K$27/AN214)</f>
        <v>0.198812070380318</v>
      </c>
      <c r="CI214" s="60" t="n">
        <f aca="false">$L$27/AN214*(BY214-1)-CA214-BZ214*(2*AH214/AM214-$L$27/AN214)</f>
        <v>0.198812070380318</v>
      </c>
      <c r="CJ214" s="60" t="n">
        <f aca="false">$M$27/AN214*(BY214-1)-CA214-BZ214*(2*AI214/AM214-$M$27/AN214)</f>
        <v>0.198812070380318</v>
      </c>
      <c r="CK214" s="60" t="n">
        <f aca="false">$N$27/AN214*(BY214-1)-CA214-BZ214*(2*AJ214/AM214-$N$27/AN214)</f>
        <v>0.198812070380318</v>
      </c>
      <c r="CL214" s="60" t="n">
        <f aca="false">$O$27/AN214*(BY214-1)-CA214-BZ214*(2*AK214/AM214-$O$27/AN214)</f>
        <v>0.198812070380318</v>
      </c>
      <c r="CM214" s="60" t="n">
        <f aca="false">$P$27/AN214*(BY214-1)-CA214-BZ214*(2*AL214/AM214-$P$27/AN214)</f>
        <v>0.198812070380318</v>
      </c>
      <c r="CN214" s="60" t="n">
        <f aca="false">AP214/BY214&gt;$C$22</f>
        <v>0</v>
      </c>
      <c r="CO214" s="60" t="n">
        <f aca="false">1-N214+SUMPRODUCT(B214:M214,CB214:CM214)-SUMPRODUCT(B214:M214,CB213:CM213)</f>
        <v>0</v>
      </c>
      <c r="CP214" s="60" t="n">
        <f aca="false">SUMXMY2(O214:Z214,$E$13:$P$13)</f>
        <v>0</v>
      </c>
    </row>
    <row r="215" customFormat="false" ht="15" hidden="false" customHeight="false" outlineLevel="0" collapsed="false">
      <c r="A215" s="59" t="n">
        <v>6</v>
      </c>
      <c r="B215" s="60" t="n">
        <f aca="false">$E$13*EXP(MAX(-700,MIN(700,$E$86-CB214)))</f>
        <v>1</v>
      </c>
      <c r="C215" s="60" t="n">
        <f aca="false">$F$13*EXP(MAX(-700,MIN(700,$F$86-CC214)))</f>
        <v>0</v>
      </c>
      <c r="D215" s="60" t="n">
        <f aca="false">$G$13*EXP(MAX(-700,MIN(700,$G$86-CD214)))</f>
        <v>0</v>
      </c>
      <c r="E215" s="60" t="n">
        <f aca="false">$H$13*EXP(MAX(-700,MIN(700,$H$86-CE214)))</f>
        <v>0</v>
      </c>
      <c r="F215" s="60" t="n">
        <f aca="false">$I$13*EXP(MAX(-700,MIN(700,$I$86-CF214)))</f>
        <v>0</v>
      </c>
      <c r="G215" s="60" t="n">
        <f aca="false">$J$13*EXP(MAX(-700,MIN(700,$J$86-CG214)))</f>
        <v>0</v>
      </c>
      <c r="H215" s="60" t="n">
        <f aca="false">$K$13*EXP(MAX(-700,MIN(700,$K$86-CH214)))</f>
        <v>0</v>
      </c>
      <c r="I215" s="60" t="n">
        <f aca="false">$L$13*EXP(MAX(-700,MIN(700,$L$86-CI214)))</f>
        <v>0</v>
      </c>
      <c r="J215" s="60" t="n">
        <f aca="false">$M$13*EXP(MAX(-700,MIN(700,$M$86-CJ214)))</f>
        <v>0</v>
      </c>
      <c r="K215" s="60" t="n">
        <f aca="false">$N$13*EXP(MAX(-700,MIN(700,$N$86-CK214)))</f>
        <v>0</v>
      </c>
      <c r="L215" s="60" t="n">
        <f aca="false">$O$13*EXP(MAX(-700,MIN(700,$O$86-CL214)))</f>
        <v>0</v>
      </c>
      <c r="M215" s="60" t="n">
        <f aca="false">$P$13*EXP(MAX(-700,MIN(700,$P$86-CM214)))</f>
        <v>0</v>
      </c>
      <c r="N215" s="60" t="n">
        <f aca="false">SUM(B215:M215)</f>
        <v>1</v>
      </c>
      <c r="O215" s="60" t="n">
        <f aca="false">B215/N215</f>
        <v>1</v>
      </c>
      <c r="P215" s="60" t="n">
        <f aca="false">C215/N215</f>
        <v>0</v>
      </c>
      <c r="Q215" s="60" t="n">
        <f aca="false">D215/N215</f>
        <v>0</v>
      </c>
      <c r="R215" s="60" t="n">
        <f aca="false">E215/N215</f>
        <v>0</v>
      </c>
      <c r="S215" s="60" t="n">
        <f aca="false">F215/N215</f>
        <v>0</v>
      </c>
      <c r="T215" s="60" t="n">
        <f aca="false">G215/N215</f>
        <v>0</v>
      </c>
      <c r="U215" s="60" t="n">
        <f aca="false">H215/N215</f>
        <v>0</v>
      </c>
      <c r="V215" s="60" t="n">
        <f aca="false">I215/N215</f>
        <v>0</v>
      </c>
      <c r="W215" s="60" t="n">
        <f aca="false">J215/N215</f>
        <v>0</v>
      </c>
      <c r="X215" s="60" t="n">
        <f aca="false">K215/N215</f>
        <v>0</v>
      </c>
      <c r="Y215" s="60" t="n">
        <f aca="false">L215/N215</f>
        <v>0</v>
      </c>
      <c r="Z215" s="60" t="n">
        <f aca="false">M215/N215</f>
        <v>0</v>
      </c>
      <c r="AA215" s="60" t="n">
        <f aca="false">$E$28*SUMPRODUCT($E$31:$P$31,O215:Z215,$E$28:$P$28)</f>
        <v>0.184416866619846</v>
      </c>
      <c r="AB215" s="60" t="n">
        <f aca="false">$F$28*SUMPRODUCT($E$32:$P$32,O215:Z215,$E$28:$P$28)</f>
        <v>0</v>
      </c>
      <c r="AC215" s="60" t="n">
        <f aca="false">$G$28*SUMPRODUCT($E$33:$P$33,O215:Z215,$E$28:$P$28)</f>
        <v>0</v>
      </c>
      <c r="AD215" s="60" t="n">
        <f aca="false">$H$28*SUMPRODUCT($E$34:$P$34,O215:Z215,$E$28:$P$28)</f>
        <v>0</v>
      </c>
      <c r="AE215" s="60" t="n">
        <f aca="false">$I$28*SUMPRODUCT($E$35:$P$35,O215:Z215,$E$28:$P$28)</f>
        <v>0</v>
      </c>
      <c r="AF215" s="60" t="n">
        <f aca="false">$J$28*SUMPRODUCT($E$36:$P$36,O215:Z215,$E$28:$P$28)</f>
        <v>0</v>
      </c>
      <c r="AG215" s="60" t="n">
        <f aca="false">$K$28*SUMPRODUCT($E$37:$P$37,O215:Z215,$E$28:$P$28)</f>
        <v>0</v>
      </c>
      <c r="AH215" s="60" t="n">
        <f aca="false">$L$28*SUMPRODUCT($E$38:$P$38,O215:Z215,$E$28:$P$28)</f>
        <v>0</v>
      </c>
      <c r="AI215" s="60" t="n">
        <f aca="false">$M$28*SUMPRODUCT($E$39:$P$39,O215:Z215,$E$28:$P$28)</f>
        <v>0</v>
      </c>
      <c r="AJ215" s="60" t="n">
        <f aca="false">$N$28*SUMPRODUCT($E$40:$P$40,O215:Z215,$E$28:$P$28)</f>
        <v>0</v>
      </c>
      <c r="AK215" s="60" t="n">
        <f aca="false">$O$28*SUMPRODUCT($E$41:$P$41,O215:Z215,$E$28:$P$28)</f>
        <v>0</v>
      </c>
      <c r="AL215" s="60" t="n">
        <f aca="false">$P$28*SUMPRODUCT($E$42:$P$42,O215:Z215,$E$28:$P$28)</f>
        <v>0</v>
      </c>
      <c r="AM215" s="60" t="n">
        <f aca="false">SUMPRODUCT(O215:Z215,AA215:AL215)</f>
        <v>0.184416866619846</v>
      </c>
      <c r="AN215" s="60" t="n">
        <f aca="false">SUMPRODUCT(O215:Z215,$E$27:$P$27)</f>
        <v>2.67389635063809E-005</v>
      </c>
      <c r="AO215" s="60" t="n">
        <f aca="false">AM215*$C$9/($C$10*$C$8)^2</f>
        <v>0.21776909410545</v>
      </c>
      <c r="AP215" s="60" t="n">
        <f aca="false">AN215*$C$9/($C$10*$C$8)</f>
        <v>0.0918845243259994</v>
      </c>
      <c r="AQ215" s="60" t="n">
        <f aca="false">CHOOSE($C$7,-(1+AP215),-1,-(1-AP215))</f>
        <v>-0.908115475674001</v>
      </c>
      <c r="AR215" s="60" t="n">
        <f aca="false">CHOOSE($C$7,AO215,AO215-AP215-AP215^2,AO215-3*AP215^2-2*AP215)</f>
        <v>0.00867174802160559</v>
      </c>
      <c r="AS215" s="60" t="n">
        <f aca="false">CHOOSE($C$7,-AO215*AP215,-AO215*AP215,-(AO215*AP215-AP215^2-AP215^3))</f>
        <v>-0.0107910842936637</v>
      </c>
      <c r="AT215" s="60" t="n">
        <f aca="false">AR215-AQ215^2/3</f>
        <v>-0.266219491031267</v>
      </c>
      <c r="AU215" s="60" t="n">
        <f aca="false">2*AQ215^3/27-AQ215*AR215/3+AS215</f>
        <v>-0.0636400988362784</v>
      </c>
      <c r="AV215" s="60" t="n">
        <f aca="false">AU215^2/4+AT215^3/27</f>
        <v>0.000313710901361829</v>
      </c>
      <c r="AW215" s="60" t="n">
        <f aca="false">-AU215/2-IF(AU215&gt;=0,1,-1)*SQRT(MAX(AV215,0))</f>
        <v>0.0495319352963236</v>
      </c>
      <c r="AX215" s="60" t="n">
        <f aca="false">SIGN(AW215)*ABS(AW215)^(1/3)</f>
        <v>0.367249967174439</v>
      </c>
      <c r="AY215" s="60" t="n">
        <f aca="false">IF(AX215=0,0,AX215-AT215/(3*AX215))</f>
        <v>0.60888329127384</v>
      </c>
      <c r="AZ215" s="60" t="n">
        <f aca="false">2*SQRT(MAX(-AT215,0)/3)</f>
        <v>0.595784626668918</v>
      </c>
      <c r="BA215" s="60" t="n">
        <f aca="false">ACOS(IF(AZ215=0,0,MAX(-1,MIN(1,3*AU215/(AT215*AZ215)))))</f>
        <v>0</v>
      </c>
      <c r="BB215" s="60" t="n">
        <f aca="false">AZ215*COS(BA215/3)</f>
        <v>0.595784626668918</v>
      </c>
      <c r="BC215" s="60" t="n">
        <f aca="false">IF(AV215&lt;0,BB215,AY215)-AQ215/3</f>
        <v>0.91158844983184</v>
      </c>
      <c r="BD215" s="60" t="n">
        <f aca="false">IFERROR((((BC215+AQ215)*BC215+AR215)*BC215+AS215)/((3*BC215+2*AQ215)*BC215+AR215),0)</f>
        <v>0</v>
      </c>
      <c r="BE215" s="60" t="n">
        <f aca="false">IF(ABS(BD215)&lt;0.1*ABS(BC215),BC215-BD215,BC215)</f>
        <v>0.91158844983184</v>
      </c>
      <c r="BF215" s="60" t="n">
        <f aca="false">IFERROR((((BE215+AQ215)*BE215+AR215)*BE215+AS215)/((3*BE215+2*AQ215)*BE215+AR215),0)</f>
        <v>0</v>
      </c>
      <c r="BG215" s="60" t="n">
        <f aca="false">IF(ABS(BF215)&lt;0.1*ABS(BE215),BE215-BF215,BE215)</f>
        <v>0.91158844983184</v>
      </c>
      <c r="BH215" s="60" t="n">
        <f aca="false">-AS215/BG215</f>
        <v>0.0118376711504565</v>
      </c>
      <c r="BI215" s="60" t="n">
        <f aca="false">(AR215-BH215)/BG215</f>
        <v>-0.00347297415783941</v>
      </c>
      <c r="BJ215" s="60" t="n">
        <f aca="false">BI215^2-4*BH215</f>
        <v>-0.0473386230523248</v>
      </c>
      <c r="BK215" s="60" t="n">
        <f aca="false">IF(BJ215&gt;=0,(BI215+IF(BI215&gt;=0,1,-1)*SQRT(BJ215))/2,0)</f>
        <v>0</v>
      </c>
      <c r="BL215" s="60" t="n">
        <f aca="false">IF(AND(BJ215&gt;=0,BK215&lt;&gt;0),MIN(BK215,BH215/BK215),-1)</f>
        <v>-1</v>
      </c>
      <c r="BM215" s="60" t="n">
        <f aca="false">AND(BJ215&gt;=0,BL215&gt;AP215,ABS(BG215-BL215)&gt;=0.00005*MAX(BG215,BL215))</f>
        <v>0</v>
      </c>
      <c r="BN215" s="60" t="n">
        <f aca="false">IF(BM215,IFERROR((((BL215+AQ215)*BL215+AR215)*BL215+AS215)/((3*BL215+2*AQ215)*BL215+AR215),0),0)</f>
        <v>0</v>
      </c>
      <c r="BO215" s="60" t="n">
        <f aca="false">IF(ABS(BN215)&lt;0.1*ABS(BL215),BL215-BN215,BL215)</f>
        <v>-1</v>
      </c>
      <c r="BP215" s="60" t="n">
        <f aca="false">IF(BM215,IFERROR((((BO215+AQ215)*BO215+AR215)*BO215+AS215)/((3*BO215+2*AQ215)*BO215+AR215),0),0)</f>
        <v>0</v>
      </c>
      <c r="BQ215" s="60" t="n">
        <f aca="false">IF(ABS(BP215)&lt;0.1*ABS(BO215),BO215-BP215,BO215)</f>
        <v>-1</v>
      </c>
      <c r="BR215" s="60" t="n">
        <f aca="false">IF(BM215,MAX(BG215,BQ215),BG215)</f>
        <v>0.91158844983184</v>
      </c>
      <c r="BS215" s="60" t="n">
        <f aca="false">IF(BM215,MIN(BG215,BQ215),-1)</f>
        <v>-1</v>
      </c>
      <c r="BT215" s="60" t="n">
        <f aca="false">CHOOSE($C$7,AO215/BR215,AO215/AP215*LN(1+AP215/BR215),AO215/(2*SQRT(2)*AP215)*LN((BR215+(1+SQRT(2))*AP215)/(BR215+(1-SQRT(2))*AP215)))</f>
        <v>0.218240791233887</v>
      </c>
      <c r="BU215" s="60" t="n">
        <f aca="false">BR215-1-LN(BR215-AP215)-BT215</f>
        <v>-0.107840271021729</v>
      </c>
      <c r="BV215" s="60" t="n">
        <f aca="false">IF(BM215,CHOOSE($C$7,AO215/BS215,AO215/AP215*LN(1+AP215/BS215),AO215/(2*SQRT(2)*AP215)*LN((BS215+(1+SQRT(2))*AP215)/(BS215+(1-SQRT(2))*AP215))),0)</f>
        <v>0</v>
      </c>
      <c r="BW215" s="60" t="n">
        <f aca="false">IF(BM215,BS215-1-LN(BS215-AP215)-BV215,0)</f>
        <v>0</v>
      </c>
      <c r="BX215" s="60" t="n">
        <f aca="false">AND(BM215,BW215&lt;BU215)</f>
        <v>0</v>
      </c>
      <c r="BY215" s="60" t="n">
        <f aca="false">IF(BX215,BS215,BR215)</f>
        <v>0.91158844983184</v>
      </c>
      <c r="BZ215" s="60" t="n">
        <f aca="false">IF(BX215,BV215,BT215)</f>
        <v>0.218240791233887</v>
      </c>
      <c r="CA215" s="60" t="n">
        <f aca="false">LN(BY215-AP215)</f>
        <v>-0.198812070380318</v>
      </c>
      <c r="CB215" s="60" t="n">
        <f aca="false">$E$27/AN215*(BY215-1)-CA215-BZ215*(2*AA215/AM215-$E$27/AN215)</f>
        <v>-0.107840271021729</v>
      </c>
      <c r="CC215" s="60" t="n">
        <f aca="false">$F$27/AN215*(BY215-1)-CA215-BZ215*(2*AB215/AM215-$F$27/AN215)</f>
        <v>0.198812070380318</v>
      </c>
      <c r="CD215" s="60" t="n">
        <f aca="false">$G$27/AN215*(BY215-1)-CA215-BZ215*(2*AC215/AM215-$G$27/AN215)</f>
        <v>0.198812070380318</v>
      </c>
      <c r="CE215" s="60" t="n">
        <f aca="false">$H$27/AN215*(BY215-1)-CA215-BZ215*(2*AD215/AM215-$H$27/AN215)</f>
        <v>0.198812070380318</v>
      </c>
      <c r="CF215" s="60" t="n">
        <f aca="false">$I$27/AN215*(BY215-1)-CA215-BZ215*(2*AE215/AM215-$I$27/AN215)</f>
        <v>0.198812070380318</v>
      </c>
      <c r="CG215" s="60" t="n">
        <f aca="false">$J$27/AN215*(BY215-1)-CA215-BZ215*(2*AF215/AM215-$J$27/AN215)</f>
        <v>0.198812070380318</v>
      </c>
      <c r="CH215" s="60" t="n">
        <f aca="false">$K$27/AN215*(BY215-1)-CA215-BZ215*(2*AG215/AM215-$K$27/AN215)</f>
        <v>0.198812070380318</v>
      </c>
      <c r="CI215" s="60" t="n">
        <f aca="false">$L$27/AN215*(BY215-1)-CA215-BZ215*(2*AH215/AM215-$L$27/AN215)</f>
        <v>0.198812070380318</v>
      </c>
      <c r="CJ215" s="60" t="n">
        <f aca="false">$M$27/AN215*(BY215-1)-CA215-BZ215*(2*AI215/AM215-$M$27/AN215)</f>
        <v>0.198812070380318</v>
      </c>
      <c r="CK215" s="60" t="n">
        <f aca="false">$N$27/AN215*(BY215-1)-CA215-BZ215*(2*AJ215/AM215-$N$27/AN215)</f>
        <v>0.198812070380318</v>
      </c>
      <c r="CL215" s="60" t="n">
        <f aca="false">$O$27/AN215*(BY215-1)-CA215-BZ215*(2*AK215/AM215-$O$27/AN215)</f>
        <v>0.198812070380318</v>
      </c>
      <c r="CM215" s="60" t="n">
        <f aca="false">$P$27/AN215*(BY215-1)-CA215-BZ215*(2*AL215/AM215-$P$27/AN215)</f>
        <v>0.198812070380318</v>
      </c>
      <c r="CN215" s="60" t="n">
        <f aca="false">AP215/BY215&gt;$C$22</f>
        <v>0</v>
      </c>
      <c r="CO215" s="60" t="n">
        <f aca="false">1-N215+SUMPRODUCT(B215:M215,CB215:CM215)-SUMPRODUCT(B215:M215,CB214:CM214)</f>
        <v>0</v>
      </c>
      <c r="CP215" s="60" t="n">
        <f aca="false">SUMXMY2(O215:Z215,$E$13:$P$13)</f>
        <v>0</v>
      </c>
    </row>
    <row r="216" customFormat="false" ht="15" hidden="false" customHeight="false" outlineLevel="0" collapsed="false">
      <c r="A216" s="59" t="n">
        <v>7</v>
      </c>
      <c r="B216" s="60" t="n">
        <f aca="false">$E$13*EXP(MAX(-700,MIN(700,$E$86-CB215)))</f>
        <v>1</v>
      </c>
      <c r="C216" s="60" t="n">
        <f aca="false">$F$13*EXP(MAX(-700,MIN(700,$F$86-CC215)))</f>
        <v>0</v>
      </c>
      <c r="D216" s="60" t="n">
        <f aca="false">$G$13*EXP(MAX(-700,MIN(700,$G$86-CD215)))</f>
        <v>0</v>
      </c>
      <c r="E216" s="60" t="n">
        <f aca="false">$H$13*EXP(MAX(-700,MIN(700,$H$86-CE215)))</f>
        <v>0</v>
      </c>
      <c r="F216" s="60" t="n">
        <f aca="false">$I$13*EXP(MAX(-700,MIN(700,$I$86-CF215)))</f>
        <v>0</v>
      </c>
      <c r="G216" s="60" t="n">
        <f aca="false">$J$13*EXP(MAX(-700,MIN(700,$J$86-CG215)))</f>
        <v>0</v>
      </c>
      <c r="H216" s="60" t="n">
        <f aca="false">$K$13*EXP(MAX(-700,MIN(700,$K$86-CH215)))</f>
        <v>0</v>
      </c>
      <c r="I216" s="60" t="n">
        <f aca="false">$L$13*EXP(MAX(-700,MIN(700,$L$86-CI215)))</f>
        <v>0</v>
      </c>
      <c r="J216" s="60" t="n">
        <f aca="false">$M$13*EXP(MAX(-700,MIN(700,$M$86-CJ215)))</f>
        <v>0</v>
      </c>
      <c r="K216" s="60" t="n">
        <f aca="false">$N$13*EXP(MAX(-700,MIN(700,$N$86-CK215)))</f>
        <v>0</v>
      </c>
      <c r="L216" s="60" t="n">
        <f aca="false">$O$13*EXP(MAX(-700,MIN(700,$O$86-CL215)))</f>
        <v>0</v>
      </c>
      <c r="M216" s="60" t="n">
        <f aca="false">$P$13*EXP(MAX(-700,MIN(700,$P$86-CM215)))</f>
        <v>0</v>
      </c>
      <c r="N216" s="60" t="n">
        <f aca="false">SUM(B216:M216)</f>
        <v>1</v>
      </c>
      <c r="O216" s="60" t="n">
        <f aca="false">B216/N216</f>
        <v>1</v>
      </c>
      <c r="P216" s="60" t="n">
        <f aca="false">C216/N216</f>
        <v>0</v>
      </c>
      <c r="Q216" s="60" t="n">
        <f aca="false">D216/N216</f>
        <v>0</v>
      </c>
      <c r="R216" s="60" t="n">
        <f aca="false">E216/N216</f>
        <v>0</v>
      </c>
      <c r="S216" s="60" t="n">
        <f aca="false">F216/N216</f>
        <v>0</v>
      </c>
      <c r="T216" s="60" t="n">
        <f aca="false">G216/N216</f>
        <v>0</v>
      </c>
      <c r="U216" s="60" t="n">
        <f aca="false">H216/N216</f>
        <v>0</v>
      </c>
      <c r="V216" s="60" t="n">
        <f aca="false">I216/N216</f>
        <v>0</v>
      </c>
      <c r="W216" s="60" t="n">
        <f aca="false">J216/N216</f>
        <v>0</v>
      </c>
      <c r="X216" s="60" t="n">
        <f aca="false">K216/N216</f>
        <v>0</v>
      </c>
      <c r="Y216" s="60" t="n">
        <f aca="false">L216/N216</f>
        <v>0</v>
      </c>
      <c r="Z216" s="60" t="n">
        <f aca="false">M216/N216</f>
        <v>0</v>
      </c>
      <c r="AA216" s="60" t="n">
        <f aca="false">$E$28*SUMPRODUCT($E$31:$P$31,O216:Z216,$E$28:$P$28)</f>
        <v>0.184416866619846</v>
      </c>
      <c r="AB216" s="60" t="n">
        <f aca="false">$F$28*SUMPRODUCT($E$32:$P$32,O216:Z216,$E$28:$P$28)</f>
        <v>0</v>
      </c>
      <c r="AC216" s="60" t="n">
        <f aca="false">$G$28*SUMPRODUCT($E$33:$P$33,O216:Z216,$E$28:$P$28)</f>
        <v>0</v>
      </c>
      <c r="AD216" s="60" t="n">
        <f aca="false">$H$28*SUMPRODUCT($E$34:$P$34,O216:Z216,$E$28:$P$28)</f>
        <v>0</v>
      </c>
      <c r="AE216" s="60" t="n">
        <f aca="false">$I$28*SUMPRODUCT($E$35:$P$35,O216:Z216,$E$28:$P$28)</f>
        <v>0</v>
      </c>
      <c r="AF216" s="60" t="n">
        <f aca="false">$J$28*SUMPRODUCT($E$36:$P$36,O216:Z216,$E$28:$P$28)</f>
        <v>0</v>
      </c>
      <c r="AG216" s="60" t="n">
        <f aca="false">$K$28*SUMPRODUCT($E$37:$P$37,O216:Z216,$E$28:$P$28)</f>
        <v>0</v>
      </c>
      <c r="AH216" s="60" t="n">
        <f aca="false">$L$28*SUMPRODUCT($E$38:$P$38,O216:Z216,$E$28:$P$28)</f>
        <v>0</v>
      </c>
      <c r="AI216" s="60" t="n">
        <f aca="false">$M$28*SUMPRODUCT($E$39:$P$39,O216:Z216,$E$28:$P$28)</f>
        <v>0</v>
      </c>
      <c r="AJ216" s="60" t="n">
        <f aca="false">$N$28*SUMPRODUCT($E$40:$P$40,O216:Z216,$E$28:$P$28)</f>
        <v>0</v>
      </c>
      <c r="AK216" s="60" t="n">
        <f aca="false">$O$28*SUMPRODUCT($E$41:$P$41,O216:Z216,$E$28:$P$28)</f>
        <v>0</v>
      </c>
      <c r="AL216" s="60" t="n">
        <f aca="false">$P$28*SUMPRODUCT($E$42:$P$42,O216:Z216,$E$28:$P$28)</f>
        <v>0</v>
      </c>
      <c r="AM216" s="60" t="n">
        <f aca="false">SUMPRODUCT(O216:Z216,AA216:AL216)</f>
        <v>0.184416866619846</v>
      </c>
      <c r="AN216" s="60" t="n">
        <f aca="false">SUMPRODUCT(O216:Z216,$E$27:$P$27)</f>
        <v>2.67389635063809E-005</v>
      </c>
      <c r="AO216" s="60" t="n">
        <f aca="false">AM216*$C$9/($C$10*$C$8)^2</f>
        <v>0.21776909410545</v>
      </c>
      <c r="AP216" s="60" t="n">
        <f aca="false">AN216*$C$9/($C$10*$C$8)</f>
        <v>0.0918845243259994</v>
      </c>
      <c r="AQ216" s="60" t="n">
        <f aca="false">CHOOSE($C$7,-(1+AP216),-1,-(1-AP216))</f>
        <v>-0.908115475674001</v>
      </c>
      <c r="AR216" s="60" t="n">
        <f aca="false">CHOOSE($C$7,AO216,AO216-AP216-AP216^2,AO216-3*AP216^2-2*AP216)</f>
        <v>0.00867174802160559</v>
      </c>
      <c r="AS216" s="60" t="n">
        <f aca="false">CHOOSE($C$7,-AO216*AP216,-AO216*AP216,-(AO216*AP216-AP216^2-AP216^3))</f>
        <v>-0.0107910842936637</v>
      </c>
      <c r="AT216" s="60" t="n">
        <f aca="false">AR216-AQ216^2/3</f>
        <v>-0.266219491031267</v>
      </c>
      <c r="AU216" s="60" t="n">
        <f aca="false">2*AQ216^3/27-AQ216*AR216/3+AS216</f>
        <v>-0.0636400988362784</v>
      </c>
      <c r="AV216" s="60" t="n">
        <f aca="false">AU216^2/4+AT216^3/27</f>
        <v>0.000313710901361829</v>
      </c>
      <c r="AW216" s="60" t="n">
        <f aca="false">-AU216/2-IF(AU216&gt;=0,1,-1)*SQRT(MAX(AV216,0))</f>
        <v>0.0495319352963236</v>
      </c>
      <c r="AX216" s="60" t="n">
        <f aca="false">SIGN(AW216)*ABS(AW216)^(1/3)</f>
        <v>0.367249967174439</v>
      </c>
      <c r="AY216" s="60" t="n">
        <f aca="false">IF(AX216=0,0,AX216-AT216/(3*AX216))</f>
        <v>0.60888329127384</v>
      </c>
      <c r="AZ216" s="60" t="n">
        <f aca="false">2*SQRT(MAX(-AT216,0)/3)</f>
        <v>0.595784626668918</v>
      </c>
      <c r="BA216" s="60" t="n">
        <f aca="false">ACOS(IF(AZ216=0,0,MAX(-1,MIN(1,3*AU216/(AT216*AZ216)))))</f>
        <v>0</v>
      </c>
      <c r="BB216" s="60" t="n">
        <f aca="false">AZ216*COS(BA216/3)</f>
        <v>0.595784626668918</v>
      </c>
      <c r="BC216" s="60" t="n">
        <f aca="false">IF(AV216&lt;0,BB216,AY216)-AQ216/3</f>
        <v>0.91158844983184</v>
      </c>
      <c r="BD216" s="60" t="n">
        <f aca="false">IFERROR((((BC216+AQ216)*BC216+AR216)*BC216+AS216)/((3*BC216+2*AQ216)*BC216+AR216),0)</f>
        <v>0</v>
      </c>
      <c r="BE216" s="60" t="n">
        <f aca="false">IF(ABS(BD216)&lt;0.1*ABS(BC216),BC216-BD216,BC216)</f>
        <v>0.91158844983184</v>
      </c>
      <c r="BF216" s="60" t="n">
        <f aca="false">IFERROR((((BE216+AQ216)*BE216+AR216)*BE216+AS216)/((3*BE216+2*AQ216)*BE216+AR216),0)</f>
        <v>0</v>
      </c>
      <c r="BG216" s="60" t="n">
        <f aca="false">IF(ABS(BF216)&lt;0.1*ABS(BE216),BE216-BF216,BE216)</f>
        <v>0.91158844983184</v>
      </c>
      <c r="BH216" s="60" t="n">
        <f aca="false">-AS216/BG216</f>
        <v>0.0118376711504565</v>
      </c>
      <c r="BI216" s="60" t="n">
        <f aca="false">(AR216-BH216)/BG216</f>
        <v>-0.00347297415783941</v>
      </c>
      <c r="BJ216" s="60" t="n">
        <f aca="false">BI216^2-4*BH216</f>
        <v>-0.0473386230523248</v>
      </c>
      <c r="BK216" s="60" t="n">
        <f aca="false">IF(BJ216&gt;=0,(BI216+IF(BI216&gt;=0,1,-1)*SQRT(BJ216))/2,0)</f>
        <v>0</v>
      </c>
      <c r="BL216" s="60" t="n">
        <f aca="false">IF(AND(BJ216&gt;=0,BK216&lt;&gt;0),MIN(BK216,BH216/BK216),-1)</f>
        <v>-1</v>
      </c>
      <c r="BM216" s="60" t="n">
        <f aca="false">AND(BJ216&gt;=0,BL216&gt;AP216,ABS(BG216-BL216)&gt;=0.00005*MAX(BG216,BL216))</f>
        <v>0</v>
      </c>
      <c r="BN216" s="60" t="n">
        <f aca="false">IF(BM216,IFERROR((((BL216+AQ216)*BL216+AR216)*BL216+AS216)/((3*BL216+2*AQ216)*BL216+AR216),0),0)</f>
        <v>0</v>
      </c>
      <c r="BO216" s="60" t="n">
        <f aca="false">IF(ABS(BN216)&lt;0.1*ABS(BL216),BL216-BN216,BL216)</f>
        <v>-1</v>
      </c>
      <c r="BP216" s="60" t="n">
        <f aca="false">IF(BM216,IFERROR((((BO216+AQ216)*BO216+AR216)*BO216+AS216)/((3*BO216+2*AQ216)*BO216+AR216),0),0)</f>
        <v>0</v>
      </c>
      <c r="BQ216" s="60" t="n">
        <f aca="false">IF(ABS(BP216)&lt;0.1*ABS(BO216),BO216-BP216,BO216)</f>
        <v>-1</v>
      </c>
      <c r="BR216" s="60" t="n">
        <f aca="false">IF(BM216,MAX(BG216,BQ216),BG216)</f>
        <v>0.91158844983184</v>
      </c>
      <c r="BS216" s="60" t="n">
        <f aca="false">IF(BM216,MIN(BG216,BQ216),-1)</f>
        <v>-1</v>
      </c>
      <c r="BT216" s="60" t="n">
        <f aca="false">CHOOSE($C$7,AO216/BR216,AO216/AP216*LN(1+AP216/BR216),AO216/(2*SQRT(2)*AP216)*LN((BR216+(1+SQRT(2))*AP216)/(BR216+(1-SQRT(2))*AP216)))</f>
        <v>0.218240791233887</v>
      </c>
      <c r="BU216" s="60" t="n">
        <f aca="false">BR216-1-LN(BR216-AP216)-BT216</f>
        <v>-0.107840271021729</v>
      </c>
      <c r="BV216" s="60" t="n">
        <f aca="false">IF(BM216,CHOOSE($C$7,AO216/BS216,AO216/AP216*LN(1+AP216/BS216),AO216/(2*SQRT(2)*AP216)*LN((BS216+(1+SQRT(2))*AP216)/(BS216+(1-SQRT(2))*AP216))),0)</f>
        <v>0</v>
      </c>
      <c r="BW216" s="60" t="n">
        <f aca="false">IF(BM216,BS216-1-LN(BS216-AP216)-BV216,0)</f>
        <v>0</v>
      </c>
      <c r="BX216" s="60" t="n">
        <f aca="false">AND(BM216,BW216&lt;BU216)</f>
        <v>0</v>
      </c>
      <c r="BY216" s="60" t="n">
        <f aca="false">IF(BX216,BS216,BR216)</f>
        <v>0.91158844983184</v>
      </c>
      <c r="BZ216" s="60" t="n">
        <f aca="false">IF(BX216,BV216,BT216)</f>
        <v>0.218240791233887</v>
      </c>
      <c r="CA216" s="60" t="n">
        <f aca="false">LN(BY216-AP216)</f>
        <v>-0.198812070380318</v>
      </c>
      <c r="CB216" s="60" t="n">
        <f aca="false">$E$27/AN216*(BY216-1)-CA216-BZ216*(2*AA216/AM216-$E$27/AN216)</f>
        <v>-0.107840271021729</v>
      </c>
      <c r="CC216" s="60" t="n">
        <f aca="false">$F$27/AN216*(BY216-1)-CA216-BZ216*(2*AB216/AM216-$F$27/AN216)</f>
        <v>0.198812070380318</v>
      </c>
      <c r="CD216" s="60" t="n">
        <f aca="false">$G$27/AN216*(BY216-1)-CA216-BZ216*(2*AC216/AM216-$G$27/AN216)</f>
        <v>0.198812070380318</v>
      </c>
      <c r="CE216" s="60" t="n">
        <f aca="false">$H$27/AN216*(BY216-1)-CA216-BZ216*(2*AD216/AM216-$H$27/AN216)</f>
        <v>0.198812070380318</v>
      </c>
      <c r="CF216" s="60" t="n">
        <f aca="false">$I$27/AN216*(BY216-1)-CA216-BZ216*(2*AE216/AM216-$I$27/AN216)</f>
        <v>0.198812070380318</v>
      </c>
      <c r="CG216" s="60" t="n">
        <f aca="false">$J$27/AN216*(BY216-1)-CA216-BZ216*(2*AF216/AM216-$J$27/AN216)</f>
        <v>0.198812070380318</v>
      </c>
      <c r="CH216" s="60" t="n">
        <f aca="false">$K$27/AN216*(BY216-1)-CA216-BZ216*(2*AG216/AM216-$K$27/AN216)</f>
        <v>0.198812070380318</v>
      </c>
      <c r="CI216" s="60" t="n">
        <f aca="false">$L$27/AN216*(BY216-1)-CA216-BZ216*(2*AH216/AM216-$L$27/AN216)</f>
        <v>0.198812070380318</v>
      </c>
      <c r="CJ216" s="60" t="n">
        <f aca="false">$M$27/AN216*(BY216-1)-CA216-BZ216*(2*AI216/AM216-$M$27/AN216)</f>
        <v>0.198812070380318</v>
      </c>
      <c r="CK216" s="60" t="n">
        <f aca="false">$N$27/AN216*(BY216-1)-CA216-BZ216*(2*AJ216/AM216-$N$27/AN216)</f>
        <v>0.198812070380318</v>
      </c>
      <c r="CL216" s="60" t="n">
        <f aca="false">$O$27/AN216*(BY216-1)-CA216-BZ216*(2*AK216/AM216-$O$27/AN216)</f>
        <v>0.198812070380318</v>
      </c>
      <c r="CM216" s="60" t="n">
        <f aca="false">$P$27/AN216*(BY216-1)-CA216-BZ216*(2*AL216/AM216-$P$27/AN216)</f>
        <v>0.198812070380318</v>
      </c>
      <c r="CN216" s="60" t="n">
        <f aca="false">AP216/BY216&gt;$C$22</f>
        <v>0</v>
      </c>
      <c r="CO216" s="60" t="n">
        <f aca="false">1-N216+SUMPRODUCT(B216:M216,CB216:CM216)-SUMPRODUCT(B216:M216,CB215:CM215)</f>
        <v>0</v>
      </c>
      <c r="CP216" s="60" t="n">
        <f aca="false">SUMXMY2(O216:Z216,$E$13:$P$13)</f>
        <v>0</v>
      </c>
    </row>
    <row r="217" customFormat="false" ht="15" hidden="false" customHeight="false" outlineLevel="0" collapsed="false">
      <c r="A217" s="59" t="n">
        <v>8</v>
      </c>
      <c r="B217" s="60" t="n">
        <f aca="false">$E$13*EXP(MAX(-700,MIN(700,$E$86-CB216)))</f>
        <v>1</v>
      </c>
      <c r="C217" s="60" t="n">
        <f aca="false">$F$13*EXP(MAX(-700,MIN(700,$F$86-CC216)))</f>
        <v>0</v>
      </c>
      <c r="D217" s="60" t="n">
        <f aca="false">$G$13*EXP(MAX(-700,MIN(700,$G$86-CD216)))</f>
        <v>0</v>
      </c>
      <c r="E217" s="60" t="n">
        <f aca="false">$H$13*EXP(MAX(-700,MIN(700,$H$86-CE216)))</f>
        <v>0</v>
      </c>
      <c r="F217" s="60" t="n">
        <f aca="false">$I$13*EXP(MAX(-700,MIN(700,$I$86-CF216)))</f>
        <v>0</v>
      </c>
      <c r="G217" s="60" t="n">
        <f aca="false">$J$13*EXP(MAX(-700,MIN(700,$J$86-CG216)))</f>
        <v>0</v>
      </c>
      <c r="H217" s="60" t="n">
        <f aca="false">$K$13*EXP(MAX(-700,MIN(700,$K$86-CH216)))</f>
        <v>0</v>
      </c>
      <c r="I217" s="60" t="n">
        <f aca="false">$L$13*EXP(MAX(-700,MIN(700,$L$86-CI216)))</f>
        <v>0</v>
      </c>
      <c r="J217" s="60" t="n">
        <f aca="false">$M$13*EXP(MAX(-700,MIN(700,$M$86-CJ216)))</f>
        <v>0</v>
      </c>
      <c r="K217" s="60" t="n">
        <f aca="false">$N$13*EXP(MAX(-700,MIN(700,$N$86-CK216)))</f>
        <v>0</v>
      </c>
      <c r="L217" s="60" t="n">
        <f aca="false">$O$13*EXP(MAX(-700,MIN(700,$O$86-CL216)))</f>
        <v>0</v>
      </c>
      <c r="M217" s="60" t="n">
        <f aca="false">$P$13*EXP(MAX(-700,MIN(700,$P$86-CM216)))</f>
        <v>0</v>
      </c>
      <c r="N217" s="60" t="n">
        <f aca="false">SUM(B217:M217)</f>
        <v>1</v>
      </c>
      <c r="O217" s="60" t="n">
        <f aca="false">B217/N217</f>
        <v>1</v>
      </c>
      <c r="P217" s="60" t="n">
        <f aca="false">C217/N217</f>
        <v>0</v>
      </c>
      <c r="Q217" s="60" t="n">
        <f aca="false">D217/N217</f>
        <v>0</v>
      </c>
      <c r="R217" s="60" t="n">
        <f aca="false">E217/N217</f>
        <v>0</v>
      </c>
      <c r="S217" s="60" t="n">
        <f aca="false">F217/N217</f>
        <v>0</v>
      </c>
      <c r="T217" s="60" t="n">
        <f aca="false">G217/N217</f>
        <v>0</v>
      </c>
      <c r="U217" s="60" t="n">
        <f aca="false">H217/N217</f>
        <v>0</v>
      </c>
      <c r="V217" s="60" t="n">
        <f aca="false">I217/N217</f>
        <v>0</v>
      </c>
      <c r="W217" s="60" t="n">
        <f aca="false">J217/N217</f>
        <v>0</v>
      </c>
      <c r="X217" s="60" t="n">
        <f aca="false">K217/N217</f>
        <v>0</v>
      </c>
      <c r="Y217" s="60" t="n">
        <f aca="false">L217/N217</f>
        <v>0</v>
      </c>
      <c r="Z217" s="60" t="n">
        <f aca="false">M217/N217</f>
        <v>0</v>
      </c>
      <c r="AA217" s="60" t="n">
        <f aca="false">$E$28*SUMPRODUCT($E$31:$P$31,O217:Z217,$E$28:$P$28)</f>
        <v>0.184416866619846</v>
      </c>
      <c r="AB217" s="60" t="n">
        <f aca="false">$F$28*SUMPRODUCT($E$32:$P$32,O217:Z217,$E$28:$P$28)</f>
        <v>0</v>
      </c>
      <c r="AC217" s="60" t="n">
        <f aca="false">$G$28*SUMPRODUCT($E$33:$P$33,O217:Z217,$E$28:$P$28)</f>
        <v>0</v>
      </c>
      <c r="AD217" s="60" t="n">
        <f aca="false">$H$28*SUMPRODUCT($E$34:$P$34,O217:Z217,$E$28:$P$28)</f>
        <v>0</v>
      </c>
      <c r="AE217" s="60" t="n">
        <f aca="false">$I$28*SUMPRODUCT($E$35:$P$35,O217:Z217,$E$28:$P$28)</f>
        <v>0</v>
      </c>
      <c r="AF217" s="60" t="n">
        <f aca="false">$J$28*SUMPRODUCT($E$36:$P$36,O217:Z217,$E$28:$P$28)</f>
        <v>0</v>
      </c>
      <c r="AG217" s="60" t="n">
        <f aca="false">$K$28*SUMPRODUCT($E$37:$P$37,O217:Z217,$E$28:$P$28)</f>
        <v>0</v>
      </c>
      <c r="AH217" s="60" t="n">
        <f aca="false">$L$28*SUMPRODUCT($E$38:$P$38,O217:Z217,$E$28:$P$28)</f>
        <v>0</v>
      </c>
      <c r="AI217" s="60" t="n">
        <f aca="false">$M$28*SUMPRODUCT($E$39:$P$39,O217:Z217,$E$28:$P$28)</f>
        <v>0</v>
      </c>
      <c r="AJ217" s="60" t="n">
        <f aca="false">$N$28*SUMPRODUCT($E$40:$P$40,O217:Z217,$E$28:$P$28)</f>
        <v>0</v>
      </c>
      <c r="AK217" s="60" t="n">
        <f aca="false">$O$28*SUMPRODUCT($E$41:$P$41,O217:Z217,$E$28:$P$28)</f>
        <v>0</v>
      </c>
      <c r="AL217" s="60" t="n">
        <f aca="false">$P$28*SUMPRODUCT($E$42:$P$42,O217:Z217,$E$28:$P$28)</f>
        <v>0</v>
      </c>
      <c r="AM217" s="60" t="n">
        <f aca="false">SUMPRODUCT(O217:Z217,AA217:AL217)</f>
        <v>0.184416866619846</v>
      </c>
      <c r="AN217" s="60" t="n">
        <f aca="false">SUMPRODUCT(O217:Z217,$E$27:$P$27)</f>
        <v>2.67389635063809E-005</v>
      </c>
      <c r="AO217" s="60" t="n">
        <f aca="false">AM217*$C$9/($C$10*$C$8)^2</f>
        <v>0.21776909410545</v>
      </c>
      <c r="AP217" s="60" t="n">
        <f aca="false">AN217*$C$9/($C$10*$C$8)</f>
        <v>0.0918845243259994</v>
      </c>
      <c r="AQ217" s="60" t="n">
        <f aca="false">CHOOSE($C$7,-(1+AP217),-1,-(1-AP217))</f>
        <v>-0.908115475674001</v>
      </c>
      <c r="AR217" s="60" t="n">
        <f aca="false">CHOOSE($C$7,AO217,AO217-AP217-AP217^2,AO217-3*AP217^2-2*AP217)</f>
        <v>0.00867174802160559</v>
      </c>
      <c r="AS217" s="60" t="n">
        <f aca="false">CHOOSE($C$7,-AO217*AP217,-AO217*AP217,-(AO217*AP217-AP217^2-AP217^3))</f>
        <v>-0.0107910842936637</v>
      </c>
      <c r="AT217" s="60" t="n">
        <f aca="false">AR217-AQ217^2/3</f>
        <v>-0.266219491031267</v>
      </c>
      <c r="AU217" s="60" t="n">
        <f aca="false">2*AQ217^3/27-AQ217*AR217/3+AS217</f>
        <v>-0.0636400988362784</v>
      </c>
      <c r="AV217" s="60" t="n">
        <f aca="false">AU217^2/4+AT217^3/27</f>
        <v>0.000313710901361829</v>
      </c>
      <c r="AW217" s="60" t="n">
        <f aca="false">-AU217/2-IF(AU217&gt;=0,1,-1)*SQRT(MAX(AV217,0))</f>
        <v>0.0495319352963236</v>
      </c>
      <c r="AX217" s="60" t="n">
        <f aca="false">SIGN(AW217)*ABS(AW217)^(1/3)</f>
        <v>0.367249967174439</v>
      </c>
      <c r="AY217" s="60" t="n">
        <f aca="false">IF(AX217=0,0,AX217-AT217/(3*AX217))</f>
        <v>0.60888329127384</v>
      </c>
      <c r="AZ217" s="60" t="n">
        <f aca="false">2*SQRT(MAX(-AT217,0)/3)</f>
        <v>0.595784626668918</v>
      </c>
      <c r="BA217" s="60" t="n">
        <f aca="false">ACOS(IF(AZ217=0,0,MAX(-1,MIN(1,3*AU217/(AT217*AZ217)))))</f>
        <v>0</v>
      </c>
      <c r="BB217" s="60" t="n">
        <f aca="false">AZ217*COS(BA217/3)</f>
        <v>0.595784626668918</v>
      </c>
      <c r="BC217" s="60" t="n">
        <f aca="false">IF(AV217&lt;0,BB217,AY217)-AQ217/3</f>
        <v>0.91158844983184</v>
      </c>
      <c r="BD217" s="60" t="n">
        <f aca="false">IFERROR((((BC217+AQ217)*BC217+AR217)*BC217+AS217)/((3*BC217+2*AQ217)*BC217+AR217),0)</f>
        <v>0</v>
      </c>
      <c r="BE217" s="60" t="n">
        <f aca="false">IF(ABS(BD217)&lt;0.1*ABS(BC217),BC217-BD217,BC217)</f>
        <v>0.91158844983184</v>
      </c>
      <c r="BF217" s="60" t="n">
        <f aca="false">IFERROR((((BE217+AQ217)*BE217+AR217)*BE217+AS217)/((3*BE217+2*AQ217)*BE217+AR217),0)</f>
        <v>0</v>
      </c>
      <c r="BG217" s="60" t="n">
        <f aca="false">IF(ABS(BF217)&lt;0.1*ABS(BE217),BE217-BF217,BE217)</f>
        <v>0.91158844983184</v>
      </c>
      <c r="BH217" s="60" t="n">
        <f aca="false">-AS217/BG217</f>
        <v>0.0118376711504565</v>
      </c>
      <c r="BI217" s="60" t="n">
        <f aca="false">(AR217-BH217)/BG217</f>
        <v>-0.00347297415783941</v>
      </c>
      <c r="BJ217" s="60" t="n">
        <f aca="false">BI217^2-4*BH217</f>
        <v>-0.0473386230523248</v>
      </c>
      <c r="BK217" s="60" t="n">
        <f aca="false">IF(BJ217&gt;=0,(BI217+IF(BI217&gt;=0,1,-1)*SQRT(BJ217))/2,0)</f>
        <v>0</v>
      </c>
      <c r="BL217" s="60" t="n">
        <f aca="false">IF(AND(BJ217&gt;=0,BK217&lt;&gt;0),MIN(BK217,BH217/BK217),-1)</f>
        <v>-1</v>
      </c>
      <c r="BM217" s="60" t="n">
        <f aca="false">AND(BJ217&gt;=0,BL217&gt;AP217,ABS(BG217-BL217)&gt;=0.00005*MAX(BG217,BL217))</f>
        <v>0</v>
      </c>
      <c r="BN217" s="60" t="n">
        <f aca="false">IF(BM217,IFERROR((((BL217+AQ217)*BL217+AR217)*BL217+AS217)/((3*BL217+2*AQ217)*BL217+AR217),0),0)</f>
        <v>0</v>
      </c>
      <c r="BO217" s="60" t="n">
        <f aca="false">IF(ABS(BN217)&lt;0.1*ABS(BL217),BL217-BN217,BL217)</f>
        <v>-1</v>
      </c>
      <c r="BP217" s="60" t="n">
        <f aca="false">IF(BM217,IFERROR((((BO217+AQ217)*BO217+AR217)*BO217+AS217)/((3*BO217+2*AQ217)*BO217+AR217),0),0)</f>
        <v>0</v>
      </c>
      <c r="BQ217" s="60" t="n">
        <f aca="false">IF(ABS(BP217)&lt;0.1*ABS(BO217),BO217-BP217,BO217)</f>
        <v>-1</v>
      </c>
      <c r="BR217" s="60" t="n">
        <f aca="false">IF(BM217,MAX(BG217,BQ217),BG217)</f>
        <v>0.91158844983184</v>
      </c>
      <c r="BS217" s="60" t="n">
        <f aca="false">IF(BM217,MIN(BG217,BQ217),-1)</f>
        <v>-1</v>
      </c>
      <c r="BT217" s="60" t="n">
        <f aca="false">CHOOSE($C$7,AO217/BR217,AO217/AP217*LN(1+AP217/BR217),AO217/(2*SQRT(2)*AP217)*LN((BR217+(1+SQRT(2))*AP217)/(BR217+(1-SQRT(2))*AP217)))</f>
        <v>0.218240791233887</v>
      </c>
      <c r="BU217" s="60" t="n">
        <f aca="false">BR217-1-LN(BR217-AP217)-BT217</f>
        <v>-0.107840271021729</v>
      </c>
      <c r="BV217" s="60" t="n">
        <f aca="false">IF(BM217,CHOOSE($C$7,AO217/BS217,AO217/AP217*LN(1+AP217/BS217),AO217/(2*SQRT(2)*AP217)*LN((BS217+(1+SQRT(2))*AP217)/(BS217+(1-SQRT(2))*AP217))),0)</f>
        <v>0</v>
      </c>
      <c r="BW217" s="60" t="n">
        <f aca="false">IF(BM217,BS217-1-LN(BS217-AP217)-BV217,0)</f>
        <v>0</v>
      </c>
      <c r="BX217" s="60" t="n">
        <f aca="false">AND(BM217,BW217&lt;BU217)</f>
        <v>0</v>
      </c>
      <c r="BY217" s="60" t="n">
        <f aca="false">IF(BX217,BS217,BR217)</f>
        <v>0.91158844983184</v>
      </c>
      <c r="BZ217" s="60" t="n">
        <f aca="false">IF(BX217,BV217,BT217)</f>
        <v>0.218240791233887</v>
      </c>
      <c r="CA217" s="60" t="n">
        <f aca="false">LN(BY217-AP217)</f>
        <v>-0.198812070380318</v>
      </c>
      <c r="CB217" s="60" t="n">
        <f aca="false">$E$27/AN217*(BY217-1)-CA217-BZ217*(2*AA217/AM217-$E$27/AN217)</f>
        <v>-0.107840271021729</v>
      </c>
      <c r="CC217" s="60" t="n">
        <f aca="false">$F$27/AN217*(BY217-1)-CA217-BZ217*(2*AB217/AM217-$F$27/AN217)</f>
        <v>0.198812070380318</v>
      </c>
      <c r="CD217" s="60" t="n">
        <f aca="false">$G$27/AN217*(BY217-1)-CA217-BZ217*(2*AC217/AM217-$G$27/AN217)</f>
        <v>0.198812070380318</v>
      </c>
      <c r="CE217" s="60" t="n">
        <f aca="false">$H$27/AN217*(BY217-1)-CA217-BZ217*(2*AD217/AM217-$H$27/AN217)</f>
        <v>0.198812070380318</v>
      </c>
      <c r="CF217" s="60" t="n">
        <f aca="false">$I$27/AN217*(BY217-1)-CA217-BZ217*(2*AE217/AM217-$I$27/AN217)</f>
        <v>0.198812070380318</v>
      </c>
      <c r="CG217" s="60" t="n">
        <f aca="false">$J$27/AN217*(BY217-1)-CA217-BZ217*(2*AF217/AM217-$J$27/AN217)</f>
        <v>0.198812070380318</v>
      </c>
      <c r="CH217" s="60" t="n">
        <f aca="false">$K$27/AN217*(BY217-1)-CA217-BZ217*(2*AG217/AM217-$K$27/AN217)</f>
        <v>0.198812070380318</v>
      </c>
      <c r="CI217" s="60" t="n">
        <f aca="false">$L$27/AN217*(BY217-1)-CA217-BZ217*(2*AH217/AM217-$L$27/AN217)</f>
        <v>0.198812070380318</v>
      </c>
      <c r="CJ217" s="60" t="n">
        <f aca="false">$M$27/AN217*(BY217-1)-CA217-BZ217*(2*AI217/AM217-$M$27/AN217)</f>
        <v>0.198812070380318</v>
      </c>
      <c r="CK217" s="60" t="n">
        <f aca="false">$N$27/AN217*(BY217-1)-CA217-BZ217*(2*AJ217/AM217-$N$27/AN217)</f>
        <v>0.198812070380318</v>
      </c>
      <c r="CL217" s="60" t="n">
        <f aca="false">$O$27/AN217*(BY217-1)-CA217-BZ217*(2*AK217/AM217-$O$27/AN217)</f>
        <v>0.198812070380318</v>
      </c>
      <c r="CM217" s="60" t="n">
        <f aca="false">$P$27/AN217*(BY217-1)-CA217-BZ217*(2*AL217/AM217-$P$27/AN217)</f>
        <v>0.198812070380318</v>
      </c>
      <c r="CN217" s="60" t="n">
        <f aca="false">AP217/BY217&gt;$C$22</f>
        <v>0</v>
      </c>
      <c r="CO217" s="60" t="n">
        <f aca="false">1-N217+SUMPRODUCT(B217:M217,CB217:CM217)-SUMPRODUCT(B217:M217,CB216:CM216)</f>
        <v>0</v>
      </c>
      <c r="CP217" s="60" t="n">
        <f aca="false">SUMXMY2(O217:Z217,$E$13:$P$13)</f>
        <v>0</v>
      </c>
    </row>
    <row r="218" customFormat="false" ht="15" hidden="false" customHeight="false" outlineLevel="0" collapsed="false">
      <c r="A218" s="59" t="n">
        <v>9</v>
      </c>
      <c r="B218" s="60" t="n">
        <f aca="false">$E$13*EXP(MAX(-700,MIN(700,$E$86-CB217)))</f>
        <v>1</v>
      </c>
      <c r="C218" s="60" t="n">
        <f aca="false">$F$13*EXP(MAX(-700,MIN(700,$F$86-CC217)))</f>
        <v>0</v>
      </c>
      <c r="D218" s="60" t="n">
        <f aca="false">$G$13*EXP(MAX(-700,MIN(700,$G$86-CD217)))</f>
        <v>0</v>
      </c>
      <c r="E218" s="60" t="n">
        <f aca="false">$H$13*EXP(MAX(-700,MIN(700,$H$86-CE217)))</f>
        <v>0</v>
      </c>
      <c r="F218" s="60" t="n">
        <f aca="false">$I$13*EXP(MAX(-700,MIN(700,$I$86-CF217)))</f>
        <v>0</v>
      </c>
      <c r="G218" s="60" t="n">
        <f aca="false">$J$13*EXP(MAX(-700,MIN(700,$J$86-CG217)))</f>
        <v>0</v>
      </c>
      <c r="H218" s="60" t="n">
        <f aca="false">$K$13*EXP(MAX(-700,MIN(700,$K$86-CH217)))</f>
        <v>0</v>
      </c>
      <c r="I218" s="60" t="n">
        <f aca="false">$L$13*EXP(MAX(-700,MIN(700,$L$86-CI217)))</f>
        <v>0</v>
      </c>
      <c r="J218" s="60" t="n">
        <f aca="false">$M$13*EXP(MAX(-700,MIN(700,$M$86-CJ217)))</f>
        <v>0</v>
      </c>
      <c r="K218" s="60" t="n">
        <f aca="false">$N$13*EXP(MAX(-700,MIN(700,$N$86-CK217)))</f>
        <v>0</v>
      </c>
      <c r="L218" s="60" t="n">
        <f aca="false">$O$13*EXP(MAX(-700,MIN(700,$O$86-CL217)))</f>
        <v>0</v>
      </c>
      <c r="M218" s="60" t="n">
        <f aca="false">$P$13*EXP(MAX(-700,MIN(700,$P$86-CM217)))</f>
        <v>0</v>
      </c>
      <c r="N218" s="60" t="n">
        <f aca="false">SUM(B218:M218)</f>
        <v>1</v>
      </c>
      <c r="O218" s="60" t="n">
        <f aca="false">B218/N218</f>
        <v>1</v>
      </c>
      <c r="P218" s="60" t="n">
        <f aca="false">C218/N218</f>
        <v>0</v>
      </c>
      <c r="Q218" s="60" t="n">
        <f aca="false">D218/N218</f>
        <v>0</v>
      </c>
      <c r="R218" s="60" t="n">
        <f aca="false">E218/N218</f>
        <v>0</v>
      </c>
      <c r="S218" s="60" t="n">
        <f aca="false">F218/N218</f>
        <v>0</v>
      </c>
      <c r="T218" s="60" t="n">
        <f aca="false">G218/N218</f>
        <v>0</v>
      </c>
      <c r="U218" s="60" t="n">
        <f aca="false">H218/N218</f>
        <v>0</v>
      </c>
      <c r="V218" s="60" t="n">
        <f aca="false">I218/N218</f>
        <v>0</v>
      </c>
      <c r="W218" s="60" t="n">
        <f aca="false">J218/N218</f>
        <v>0</v>
      </c>
      <c r="X218" s="60" t="n">
        <f aca="false">K218/N218</f>
        <v>0</v>
      </c>
      <c r="Y218" s="60" t="n">
        <f aca="false">L218/N218</f>
        <v>0</v>
      </c>
      <c r="Z218" s="60" t="n">
        <f aca="false">M218/N218</f>
        <v>0</v>
      </c>
      <c r="AA218" s="60" t="n">
        <f aca="false">$E$28*SUMPRODUCT($E$31:$P$31,O218:Z218,$E$28:$P$28)</f>
        <v>0.184416866619846</v>
      </c>
      <c r="AB218" s="60" t="n">
        <f aca="false">$F$28*SUMPRODUCT($E$32:$P$32,O218:Z218,$E$28:$P$28)</f>
        <v>0</v>
      </c>
      <c r="AC218" s="60" t="n">
        <f aca="false">$G$28*SUMPRODUCT($E$33:$P$33,O218:Z218,$E$28:$P$28)</f>
        <v>0</v>
      </c>
      <c r="AD218" s="60" t="n">
        <f aca="false">$H$28*SUMPRODUCT($E$34:$P$34,O218:Z218,$E$28:$P$28)</f>
        <v>0</v>
      </c>
      <c r="AE218" s="60" t="n">
        <f aca="false">$I$28*SUMPRODUCT($E$35:$P$35,O218:Z218,$E$28:$P$28)</f>
        <v>0</v>
      </c>
      <c r="AF218" s="60" t="n">
        <f aca="false">$J$28*SUMPRODUCT($E$36:$P$36,O218:Z218,$E$28:$P$28)</f>
        <v>0</v>
      </c>
      <c r="AG218" s="60" t="n">
        <f aca="false">$K$28*SUMPRODUCT($E$37:$P$37,O218:Z218,$E$28:$P$28)</f>
        <v>0</v>
      </c>
      <c r="AH218" s="60" t="n">
        <f aca="false">$L$28*SUMPRODUCT($E$38:$P$38,O218:Z218,$E$28:$P$28)</f>
        <v>0</v>
      </c>
      <c r="AI218" s="60" t="n">
        <f aca="false">$M$28*SUMPRODUCT($E$39:$P$39,O218:Z218,$E$28:$P$28)</f>
        <v>0</v>
      </c>
      <c r="AJ218" s="60" t="n">
        <f aca="false">$N$28*SUMPRODUCT($E$40:$P$40,O218:Z218,$E$28:$P$28)</f>
        <v>0</v>
      </c>
      <c r="AK218" s="60" t="n">
        <f aca="false">$O$28*SUMPRODUCT($E$41:$P$41,O218:Z218,$E$28:$P$28)</f>
        <v>0</v>
      </c>
      <c r="AL218" s="60" t="n">
        <f aca="false">$P$28*SUMPRODUCT($E$42:$P$42,O218:Z218,$E$28:$P$28)</f>
        <v>0</v>
      </c>
      <c r="AM218" s="60" t="n">
        <f aca="false">SUMPRODUCT(O218:Z218,AA218:AL218)</f>
        <v>0.184416866619846</v>
      </c>
      <c r="AN218" s="60" t="n">
        <f aca="false">SUMPRODUCT(O218:Z218,$E$27:$P$27)</f>
        <v>2.67389635063809E-005</v>
      </c>
      <c r="AO218" s="60" t="n">
        <f aca="false">AM218*$C$9/($C$10*$C$8)^2</f>
        <v>0.21776909410545</v>
      </c>
      <c r="AP218" s="60" t="n">
        <f aca="false">AN218*$C$9/($C$10*$C$8)</f>
        <v>0.0918845243259994</v>
      </c>
      <c r="AQ218" s="60" t="n">
        <f aca="false">CHOOSE($C$7,-(1+AP218),-1,-(1-AP218))</f>
        <v>-0.908115475674001</v>
      </c>
      <c r="AR218" s="60" t="n">
        <f aca="false">CHOOSE($C$7,AO218,AO218-AP218-AP218^2,AO218-3*AP218^2-2*AP218)</f>
        <v>0.00867174802160559</v>
      </c>
      <c r="AS218" s="60" t="n">
        <f aca="false">CHOOSE($C$7,-AO218*AP218,-AO218*AP218,-(AO218*AP218-AP218^2-AP218^3))</f>
        <v>-0.0107910842936637</v>
      </c>
      <c r="AT218" s="60" t="n">
        <f aca="false">AR218-AQ218^2/3</f>
        <v>-0.266219491031267</v>
      </c>
      <c r="AU218" s="60" t="n">
        <f aca="false">2*AQ218^3/27-AQ218*AR218/3+AS218</f>
        <v>-0.0636400988362784</v>
      </c>
      <c r="AV218" s="60" t="n">
        <f aca="false">AU218^2/4+AT218^3/27</f>
        <v>0.000313710901361829</v>
      </c>
      <c r="AW218" s="60" t="n">
        <f aca="false">-AU218/2-IF(AU218&gt;=0,1,-1)*SQRT(MAX(AV218,0))</f>
        <v>0.0495319352963236</v>
      </c>
      <c r="AX218" s="60" t="n">
        <f aca="false">SIGN(AW218)*ABS(AW218)^(1/3)</f>
        <v>0.367249967174439</v>
      </c>
      <c r="AY218" s="60" t="n">
        <f aca="false">IF(AX218=0,0,AX218-AT218/(3*AX218))</f>
        <v>0.60888329127384</v>
      </c>
      <c r="AZ218" s="60" t="n">
        <f aca="false">2*SQRT(MAX(-AT218,0)/3)</f>
        <v>0.595784626668918</v>
      </c>
      <c r="BA218" s="60" t="n">
        <f aca="false">ACOS(IF(AZ218=0,0,MAX(-1,MIN(1,3*AU218/(AT218*AZ218)))))</f>
        <v>0</v>
      </c>
      <c r="BB218" s="60" t="n">
        <f aca="false">AZ218*COS(BA218/3)</f>
        <v>0.595784626668918</v>
      </c>
      <c r="BC218" s="60" t="n">
        <f aca="false">IF(AV218&lt;0,BB218,AY218)-AQ218/3</f>
        <v>0.91158844983184</v>
      </c>
      <c r="BD218" s="60" t="n">
        <f aca="false">IFERROR((((BC218+AQ218)*BC218+AR218)*BC218+AS218)/((3*BC218+2*AQ218)*BC218+AR218),0)</f>
        <v>0</v>
      </c>
      <c r="BE218" s="60" t="n">
        <f aca="false">IF(ABS(BD218)&lt;0.1*ABS(BC218),BC218-BD218,BC218)</f>
        <v>0.91158844983184</v>
      </c>
      <c r="BF218" s="60" t="n">
        <f aca="false">IFERROR((((BE218+AQ218)*BE218+AR218)*BE218+AS218)/((3*BE218+2*AQ218)*BE218+AR218),0)</f>
        <v>0</v>
      </c>
      <c r="BG218" s="60" t="n">
        <f aca="false">IF(ABS(BF218)&lt;0.1*ABS(BE218),BE218-BF218,BE218)</f>
        <v>0.91158844983184</v>
      </c>
      <c r="BH218" s="60" t="n">
        <f aca="false">-AS218/BG218</f>
        <v>0.0118376711504565</v>
      </c>
      <c r="BI218" s="60" t="n">
        <f aca="false">(AR218-BH218)/BG218</f>
        <v>-0.00347297415783941</v>
      </c>
      <c r="BJ218" s="60" t="n">
        <f aca="false">BI218^2-4*BH218</f>
        <v>-0.0473386230523248</v>
      </c>
      <c r="BK218" s="60" t="n">
        <f aca="false">IF(BJ218&gt;=0,(BI218+IF(BI218&gt;=0,1,-1)*SQRT(BJ218))/2,0)</f>
        <v>0</v>
      </c>
      <c r="BL218" s="60" t="n">
        <f aca="false">IF(AND(BJ218&gt;=0,BK218&lt;&gt;0),MIN(BK218,BH218/BK218),-1)</f>
        <v>-1</v>
      </c>
      <c r="BM218" s="60" t="n">
        <f aca="false">AND(BJ218&gt;=0,BL218&gt;AP218,ABS(BG218-BL218)&gt;=0.00005*MAX(BG218,BL218))</f>
        <v>0</v>
      </c>
      <c r="BN218" s="60" t="n">
        <f aca="false">IF(BM218,IFERROR((((BL218+AQ218)*BL218+AR218)*BL218+AS218)/((3*BL218+2*AQ218)*BL218+AR218),0),0)</f>
        <v>0</v>
      </c>
      <c r="BO218" s="60" t="n">
        <f aca="false">IF(ABS(BN218)&lt;0.1*ABS(BL218),BL218-BN218,BL218)</f>
        <v>-1</v>
      </c>
      <c r="BP218" s="60" t="n">
        <f aca="false">IF(BM218,IFERROR((((BO218+AQ218)*BO218+AR218)*BO218+AS218)/((3*BO218+2*AQ218)*BO218+AR218),0),0)</f>
        <v>0</v>
      </c>
      <c r="BQ218" s="60" t="n">
        <f aca="false">IF(ABS(BP218)&lt;0.1*ABS(BO218),BO218-BP218,BO218)</f>
        <v>-1</v>
      </c>
      <c r="BR218" s="60" t="n">
        <f aca="false">IF(BM218,MAX(BG218,BQ218),BG218)</f>
        <v>0.91158844983184</v>
      </c>
      <c r="BS218" s="60" t="n">
        <f aca="false">IF(BM218,MIN(BG218,BQ218),-1)</f>
        <v>-1</v>
      </c>
      <c r="BT218" s="60" t="n">
        <f aca="false">CHOOSE($C$7,AO218/BR218,AO218/AP218*LN(1+AP218/BR218),AO218/(2*SQRT(2)*AP218)*LN((BR218+(1+SQRT(2))*AP218)/(BR218+(1-SQRT(2))*AP218)))</f>
        <v>0.218240791233887</v>
      </c>
      <c r="BU218" s="60" t="n">
        <f aca="false">BR218-1-LN(BR218-AP218)-BT218</f>
        <v>-0.107840271021729</v>
      </c>
      <c r="BV218" s="60" t="n">
        <f aca="false">IF(BM218,CHOOSE($C$7,AO218/BS218,AO218/AP218*LN(1+AP218/BS218),AO218/(2*SQRT(2)*AP218)*LN((BS218+(1+SQRT(2))*AP218)/(BS218+(1-SQRT(2))*AP218))),0)</f>
        <v>0</v>
      </c>
      <c r="BW218" s="60" t="n">
        <f aca="false">IF(BM218,BS218-1-LN(BS218-AP218)-BV218,0)</f>
        <v>0</v>
      </c>
      <c r="BX218" s="60" t="n">
        <f aca="false">AND(BM218,BW218&lt;BU218)</f>
        <v>0</v>
      </c>
      <c r="BY218" s="60" t="n">
        <f aca="false">IF(BX218,BS218,BR218)</f>
        <v>0.91158844983184</v>
      </c>
      <c r="BZ218" s="60" t="n">
        <f aca="false">IF(BX218,BV218,BT218)</f>
        <v>0.218240791233887</v>
      </c>
      <c r="CA218" s="60" t="n">
        <f aca="false">LN(BY218-AP218)</f>
        <v>-0.198812070380318</v>
      </c>
      <c r="CB218" s="60" t="n">
        <f aca="false">$E$27/AN218*(BY218-1)-CA218-BZ218*(2*AA218/AM218-$E$27/AN218)</f>
        <v>-0.107840271021729</v>
      </c>
      <c r="CC218" s="60" t="n">
        <f aca="false">$F$27/AN218*(BY218-1)-CA218-BZ218*(2*AB218/AM218-$F$27/AN218)</f>
        <v>0.198812070380318</v>
      </c>
      <c r="CD218" s="60" t="n">
        <f aca="false">$G$27/AN218*(BY218-1)-CA218-BZ218*(2*AC218/AM218-$G$27/AN218)</f>
        <v>0.198812070380318</v>
      </c>
      <c r="CE218" s="60" t="n">
        <f aca="false">$H$27/AN218*(BY218-1)-CA218-BZ218*(2*AD218/AM218-$H$27/AN218)</f>
        <v>0.198812070380318</v>
      </c>
      <c r="CF218" s="60" t="n">
        <f aca="false">$I$27/AN218*(BY218-1)-CA218-BZ218*(2*AE218/AM218-$I$27/AN218)</f>
        <v>0.198812070380318</v>
      </c>
      <c r="CG218" s="60" t="n">
        <f aca="false">$J$27/AN218*(BY218-1)-CA218-BZ218*(2*AF218/AM218-$J$27/AN218)</f>
        <v>0.198812070380318</v>
      </c>
      <c r="CH218" s="60" t="n">
        <f aca="false">$K$27/AN218*(BY218-1)-CA218-BZ218*(2*AG218/AM218-$K$27/AN218)</f>
        <v>0.198812070380318</v>
      </c>
      <c r="CI218" s="60" t="n">
        <f aca="false">$L$27/AN218*(BY218-1)-CA218-BZ218*(2*AH218/AM218-$L$27/AN218)</f>
        <v>0.198812070380318</v>
      </c>
      <c r="CJ218" s="60" t="n">
        <f aca="false">$M$27/AN218*(BY218-1)-CA218-BZ218*(2*AI218/AM218-$M$27/AN218)</f>
        <v>0.198812070380318</v>
      </c>
      <c r="CK218" s="60" t="n">
        <f aca="false">$N$27/AN218*(BY218-1)-CA218-BZ218*(2*AJ218/AM218-$N$27/AN218)</f>
        <v>0.198812070380318</v>
      </c>
      <c r="CL218" s="60" t="n">
        <f aca="false">$O$27/AN218*(BY218-1)-CA218-BZ218*(2*AK218/AM218-$O$27/AN218)</f>
        <v>0.198812070380318</v>
      </c>
      <c r="CM218" s="60" t="n">
        <f aca="false">$P$27/AN218*(BY218-1)-CA218-BZ218*(2*AL218/AM218-$P$27/AN218)</f>
        <v>0.198812070380318</v>
      </c>
      <c r="CN218" s="60" t="n">
        <f aca="false">AP218/BY218&gt;$C$22</f>
        <v>0</v>
      </c>
      <c r="CO218" s="60" t="n">
        <f aca="false">1-N218+SUMPRODUCT(B218:M218,CB218:CM218)-SUMPRODUCT(B218:M218,CB217:CM217)</f>
        <v>0</v>
      </c>
      <c r="CP218" s="60" t="n">
        <f aca="false">SUMXMY2(O218:Z218,$E$13:$P$13)</f>
        <v>0</v>
      </c>
    </row>
    <row r="219" customFormat="false" ht="15" hidden="false" customHeight="false" outlineLevel="0" collapsed="false">
      <c r="A219" s="59" t="n">
        <v>10</v>
      </c>
      <c r="B219" s="60" t="n">
        <f aca="false">$E$13*EXP(MAX(-700,MIN(700,$E$86-CB218)))</f>
        <v>1</v>
      </c>
      <c r="C219" s="60" t="n">
        <f aca="false">$F$13*EXP(MAX(-700,MIN(700,$F$86-CC218)))</f>
        <v>0</v>
      </c>
      <c r="D219" s="60" t="n">
        <f aca="false">$G$13*EXP(MAX(-700,MIN(700,$G$86-CD218)))</f>
        <v>0</v>
      </c>
      <c r="E219" s="60" t="n">
        <f aca="false">$H$13*EXP(MAX(-700,MIN(700,$H$86-CE218)))</f>
        <v>0</v>
      </c>
      <c r="F219" s="60" t="n">
        <f aca="false">$I$13*EXP(MAX(-700,MIN(700,$I$86-CF218)))</f>
        <v>0</v>
      </c>
      <c r="G219" s="60" t="n">
        <f aca="false">$J$13*EXP(MAX(-700,MIN(700,$J$86-CG218)))</f>
        <v>0</v>
      </c>
      <c r="H219" s="60" t="n">
        <f aca="false">$K$13*EXP(MAX(-700,MIN(700,$K$86-CH218)))</f>
        <v>0</v>
      </c>
      <c r="I219" s="60" t="n">
        <f aca="false">$L$13*EXP(MAX(-700,MIN(700,$L$86-CI218)))</f>
        <v>0</v>
      </c>
      <c r="J219" s="60" t="n">
        <f aca="false">$M$13*EXP(MAX(-700,MIN(700,$M$86-CJ218)))</f>
        <v>0</v>
      </c>
      <c r="K219" s="60" t="n">
        <f aca="false">$N$13*EXP(MAX(-700,MIN(700,$N$86-CK218)))</f>
        <v>0</v>
      </c>
      <c r="L219" s="60" t="n">
        <f aca="false">$O$13*EXP(MAX(-700,MIN(700,$O$86-CL218)))</f>
        <v>0</v>
      </c>
      <c r="M219" s="60" t="n">
        <f aca="false">$P$13*EXP(MAX(-700,MIN(700,$P$86-CM218)))</f>
        <v>0</v>
      </c>
      <c r="N219" s="60" t="n">
        <f aca="false">SUM(B219:M219)</f>
        <v>1</v>
      </c>
      <c r="O219" s="60" t="n">
        <f aca="false">B219/N219</f>
        <v>1</v>
      </c>
      <c r="P219" s="60" t="n">
        <f aca="false">C219/N219</f>
        <v>0</v>
      </c>
      <c r="Q219" s="60" t="n">
        <f aca="false">D219/N219</f>
        <v>0</v>
      </c>
      <c r="R219" s="60" t="n">
        <f aca="false">E219/N219</f>
        <v>0</v>
      </c>
      <c r="S219" s="60" t="n">
        <f aca="false">F219/N219</f>
        <v>0</v>
      </c>
      <c r="T219" s="60" t="n">
        <f aca="false">G219/N219</f>
        <v>0</v>
      </c>
      <c r="U219" s="60" t="n">
        <f aca="false">H219/N219</f>
        <v>0</v>
      </c>
      <c r="V219" s="60" t="n">
        <f aca="false">I219/N219</f>
        <v>0</v>
      </c>
      <c r="W219" s="60" t="n">
        <f aca="false">J219/N219</f>
        <v>0</v>
      </c>
      <c r="X219" s="60" t="n">
        <f aca="false">K219/N219</f>
        <v>0</v>
      </c>
      <c r="Y219" s="60" t="n">
        <f aca="false">L219/N219</f>
        <v>0</v>
      </c>
      <c r="Z219" s="60" t="n">
        <f aca="false">M219/N219</f>
        <v>0</v>
      </c>
      <c r="AA219" s="60" t="n">
        <f aca="false">$E$28*SUMPRODUCT($E$31:$P$31,O219:Z219,$E$28:$P$28)</f>
        <v>0.184416866619846</v>
      </c>
      <c r="AB219" s="60" t="n">
        <f aca="false">$F$28*SUMPRODUCT($E$32:$P$32,O219:Z219,$E$28:$P$28)</f>
        <v>0</v>
      </c>
      <c r="AC219" s="60" t="n">
        <f aca="false">$G$28*SUMPRODUCT($E$33:$P$33,O219:Z219,$E$28:$P$28)</f>
        <v>0</v>
      </c>
      <c r="AD219" s="60" t="n">
        <f aca="false">$H$28*SUMPRODUCT($E$34:$P$34,O219:Z219,$E$28:$P$28)</f>
        <v>0</v>
      </c>
      <c r="AE219" s="60" t="n">
        <f aca="false">$I$28*SUMPRODUCT($E$35:$P$35,O219:Z219,$E$28:$P$28)</f>
        <v>0</v>
      </c>
      <c r="AF219" s="60" t="n">
        <f aca="false">$J$28*SUMPRODUCT($E$36:$P$36,O219:Z219,$E$28:$P$28)</f>
        <v>0</v>
      </c>
      <c r="AG219" s="60" t="n">
        <f aca="false">$K$28*SUMPRODUCT($E$37:$P$37,O219:Z219,$E$28:$P$28)</f>
        <v>0</v>
      </c>
      <c r="AH219" s="60" t="n">
        <f aca="false">$L$28*SUMPRODUCT($E$38:$P$38,O219:Z219,$E$28:$P$28)</f>
        <v>0</v>
      </c>
      <c r="AI219" s="60" t="n">
        <f aca="false">$M$28*SUMPRODUCT($E$39:$P$39,O219:Z219,$E$28:$P$28)</f>
        <v>0</v>
      </c>
      <c r="AJ219" s="60" t="n">
        <f aca="false">$N$28*SUMPRODUCT($E$40:$P$40,O219:Z219,$E$28:$P$28)</f>
        <v>0</v>
      </c>
      <c r="AK219" s="60" t="n">
        <f aca="false">$O$28*SUMPRODUCT($E$41:$P$41,O219:Z219,$E$28:$P$28)</f>
        <v>0</v>
      </c>
      <c r="AL219" s="60" t="n">
        <f aca="false">$P$28*SUMPRODUCT($E$42:$P$42,O219:Z219,$E$28:$P$28)</f>
        <v>0</v>
      </c>
      <c r="AM219" s="60" t="n">
        <f aca="false">SUMPRODUCT(O219:Z219,AA219:AL219)</f>
        <v>0.184416866619846</v>
      </c>
      <c r="AN219" s="60" t="n">
        <f aca="false">SUMPRODUCT(O219:Z219,$E$27:$P$27)</f>
        <v>2.67389635063809E-005</v>
      </c>
      <c r="AO219" s="60" t="n">
        <f aca="false">AM219*$C$9/($C$10*$C$8)^2</f>
        <v>0.21776909410545</v>
      </c>
      <c r="AP219" s="60" t="n">
        <f aca="false">AN219*$C$9/($C$10*$C$8)</f>
        <v>0.0918845243259994</v>
      </c>
      <c r="AQ219" s="60" t="n">
        <f aca="false">CHOOSE($C$7,-(1+AP219),-1,-(1-AP219))</f>
        <v>-0.908115475674001</v>
      </c>
      <c r="AR219" s="60" t="n">
        <f aca="false">CHOOSE($C$7,AO219,AO219-AP219-AP219^2,AO219-3*AP219^2-2*AP219)</f>
        <v>0.00867174802160559</v>
      </c>
      <c r="AS219" s="60" t="n">
        <f aca="false">CHOOSE($C$7,-AO219*AP219,-AO219*AP219,-(AO219*AP219-AP219^2-AP219^3))</f>
        <v>-0.0107910842936637</v>
      </c>
      <c r="AT219" s="60" t="n">
        <f aca="false">AR219-AQ219^2/3</f>
        <v>-0.266219491031267</v>
      </c>
      <c r="AU219" s="60" t="n">
        <f aca="false">2*AQ219^3/27-AQ219*AR219/3+AS219</f>
        <v>-0.0636400988362784</v>
      </c>
      <c r="AV219" s="60" t="n">
        <f aca="false">AU219^2/4+AT219^3/27</f>
        <v>0.000313710901361829</v>
      </c>
      <c r="AW219" s="60" t="n">
        <f aca="false">-AU219/2-IF(AU219&gt;=0,1,-1)*SQRT(MAX(AV219,0))</f>
        <v>0.0495319352963236</v>
      </c>
      <c r="AX219" s="60" t="n">
        <f aca="false">SIGN(AW219)*ABS(AW219)^(1/3)</f>
        <v>0.367249967174439</v>
      </c>
      <c r="AY219" s="60" t="n">
        <f aca="false">IF(AX219=0,0,AX219-AT219/(3*AX219))</f>
        <v>0.60888329127384</v>
      </c>
      <c r="AZ219" s="60" t="n">
        <f aca="false">2*SQRT(MAX(-AT219,0)/3)</f>
        <v>0.595784626668918</v>
      </c>
      <c r="BA219" s="60" t="n">
        <f aca="false">ACOS(IF(AZ219=0,0,MAX(-1,MIN(1,3*AU219/(AT219*AZ219)))))</f>
        <v>0</v>
      </c>
      <c r="BB219" s="60" t="n">
        <f aca="false">AZ219*COS(BA219/3)</f>
        <v>0.595784626668918</v>
      </c>
      <c r="BC219" s="60" t="n">
        <f aca="false">IF(AV219&lt;0,BB219,AY219)-AQ219/3</f>
        <v>0.91158844983184</v>
      </c>
      <c r="BD219" s="60" t="n">
        <f aca="false">IFERROR((((BC219+AQ219)*BC219+AR219)*BC219+AS219)/((3*BC219+2*AQ219)*BC219+AR219),0)</f>
        <v>0</v>
      </c>
      <c r="BE219" s="60" t="n">
        <f aca="false">IF(ABS(BD219)&lt;0.1*ABS(BC219),BC219-BD219,BC219)</f>
        <v>0.91158844983184</v>
      </c>
      <c r="BF219" s="60" t="n">
        <f aca="false">IFERROR((((BE219+AQ219)*BE219+AR219)*BE219+AS219)/((3*BE219+2*AQ219)*BE219+AR219),0)</f>
        <v>0</v>
      </c>
      <c r="BG219" s="60" t="n">
        <f aca="false">IF(ABS(BF219)&lt;0.1*ABS(BE219),BE219-BF219,BE219)</f>
        <v>0.91158844983184</v>
      </c>
      <c r="BH219" s="60" t="n">
        <f aca="false">-AS219/BG219</f>
        <v>0.0118376711504565</v>
      </c>
      <c r="BI219" s="60" t="n">
        <f aca="false">(AR219-BH219)/BG219</f>
        <v>-0.00347297415783941</v>
      </c>
      <c r="BJ219" s="60" t="n">
        <f aca="false">BI219^2-4*BH219</f>
        <v>-0.0473386230523248</v>
      </c>
      <c r="BK219" s="60" t="n">
        <f aca="false">IF(BJ219&gt;=0,(BI219+IF(BI219&gt;=0,1,-1)*SQRT(BJ219))/2,0)</f>
        <v>0</v>
      </c>
      <c r="BL219" s="60" t="n">
        <f aca="false">IF(AND(BJ219&gt;=0,BK219&lt;&gt;0),MIN(BK219,BH219/BK219),-1)</f>
        <v>-1</v>
      </c>
      <c r="BM219" s="60" t="n">
        <f aca="false">AND(BJ219&gt;=0,BL219&gt;AP219,ABS(BG219-BL219)&gt;=0.00005*MAX(BG219,BL219))</f>
        <v>0</v>
      </c>
      <c r="BN219" s="60" t="n">
        <f aca="false">IF(BM219,IFERROR((((BL219+AQ219)*BL219+AR219)*BL219+AS219)/((3*BL219+2*AQ219)*BL219+AR219),0),0)</f>
        <v>0</v>
      </c>
      <c r="BO219" s="60" t="n">
        <f aca="false">IF(ABS(BN219)&lt;0.1*ABS(BL219),BL219-BN219,BL219)</f>
        <v>-1</v>
      </c>
      <c r="BP219" s="60" t="n">
        <f aca="false">IF(BM219,IFERROR((((BO219+AQ219)*BO219+AR219)*BO219+AS219)/((3*BO219+2*AQ219)*BO219+AR219),0),0)</f>
        <v>0</v>
      </c>
      <c r="BQ219" s="60" t="n">
        <f aca="false">IF(ABS(BP219)&lt;0.1*ABS(BO219),BO219-BP219,BO219)</f>
        <v>-1</v>
      </c>
      <c r="BR219" s="60" t="n">
        <f aca="false">IF(BM219,MAX(BG219,BQ219),BG219)</f>
        <v>0.91158844983184</v>
      </c>
      <c r="BS219" s="60" t="n">
        <f aca="false">IF(BM219,MIN(BG219,BQ219),-1)</f>
        <v>-1</v>
      </c>
      <c r="BT219" s="60" t="n">
        <f aca="false">CHOOSE($C$7,AO219/BR219,AO219/AP219*LN(1+AP219/BR219),AO219/(2*SQRT(2)*AP219)*LN((BR219+(1+SQRT(2))*AP219)/(BR219+(1-SQRT(2))*AP219)))</f>
        <v>0.218240791233887</v>
      </c>
      <c r="BU219" s="60" t="n">
        <f aca="false">BR219-1-LN(BR219-AP219)-BT219</f>
        <v>-0.107840271021729</v>
      </c>
      <c r="BV219" s="60" t="n">
        <f aca="false">IF(BM219,CHOOSE($C$7,AO219/BS219,AO219/AP219*LN(1+AP219/BS219),AO219/(2*SQRT(2)*AP219)*LN((BS219+(1+SQRT(2))*AP219)/(BS219+(1-SQRT(2))*AP219))),0)</f>
        <v>0</v>
      </c>
      <c r="BW219" s="60" t="n">
        <f aca="false">IF(BM219,BS219-1-LN(BS219-AP219)-BV219,0)</f>
        <v>0</v>
      </c>
      <c r="BX219" s="60" t="n">
        <f aca="false">AND(BM219,BW219&lt;BU219)</f>
        <v>0</v>
      </c>
      <c r="BY219" s="60" t="n">
        <f aca="false">IF(BX219,BS219,BR219)</f>
        <v>0.91158844983184</v>
      </c>
      <c r="BZ219" s="60" t="n">
        <f aca="false">IF(BX219,BV219,BT219)</f>
        <v>0.218240791233887</v>
      </c>
      <c r="CA219" s="60" t="n">
        <f aca="false">LN(BY219-AP219)</f>
        <v>-0.198812070380318</v>
      </c>
      <c r="CB219" s="60" t="n">
        <f aca="false">$E$27/AN219*(BY219-1)-CA219-BZ219*(2*AA219/AM219-$E$27/AN219)</f>
        <v>-0.107840271021729</v>
      </c>
      <c r="CC219" s="60" t="n">
        <f aca="false">$F$27/AN219*(BY219-1)-CA219-BZ219*(2*AB219/AM219-$F$27/AN219)</f>
        <v>0.198812070380318</v>
      </c>
      <c r="CD219" s="60" t="n">
        <f aca="false">$G$27/AN219*(BY219-1)-CA219-BZ219*(2*AC219/AM219-$G$27/AN219)</f>
        <v>0.198812070380318</v>
      </c>
      <c r="CE219" s="60" t="n">
        <f aca="false">$H$27/AN219*(BY219-1)-CA219-BZ219*(2*AD219/AM219-$H$27/AN219)</f>
        <v>0.198812070380318</v>
      </c>
      <c r="CF219" s="60" t="n">
        <f aca="false">$I$27/AN219*(BY219-1)-CA219-BZ219*(2*AE219/AM219-$I$27/AN219)</f>
        <v>0.198812070380318</v>
      </c>
      <c r="CG219" s="60" t="n">
        <f aca="false">$J$27/AN219*(BY219-1)-CA219-BZ219*(2*AF219/AM219-$J$27/AN219)</f>
        <v>0.198812070380318</v>
      </c>
      <c r="CH219" s="60" t="n">
        <f aca="false">$K$27/AN219*(BY219-1)-CA219-BZ219*(2*AG219/AM219-$K$27/AN219)</f>
        <v>0.198812070380318</v>
      </c>
      <c r="CI219" s="60" t="n">
        <f aca="false">$L$27/AN219*(BY219-1)-CA219-BZ219*(2*AH219/AM219-$L$27/AN219)</f>
        <v>0.198812070380318</v>
      </c>
      <c r="CJ219" s="60" t="n">
        <f aca="false">$M$27/AN219*(BY219-1)-CA219-BZ219*(2*AI219/AM219-$M$27/AN219)</f>
        <v>0.198812070380318</v>
      </c>
      <c r="CK219" s="60" t="n">
        <f aca="false">$N$27/AN219*(BY219-1)-CA219-BZ219*(2*AJ219/AM219-$N$27/AN219)</f>
        <v>0.198812070380318</v>
      </c>
      <c r="CL219" s="60" t="n">
        <f aca="false">$O$27/AN219*(BY219-1)-CA219-BZ219*(2*AK219/AM219-$O$27/AN219)</f>
        <v>0.198812070380318</v>
      </c>
      <c r="CM219" s="60" t="n">
        <f aca="false">$P$27/AN219*(BY219-1)-CA219-BZ219*(2*AL219/AM219-$P$27/AN219)</f>
        <v>0.198812070380318</v>
      </c>
      <c r="CN219" s="60" t="n">
        <f aca="false">AP219/BY219&gt;$C$22</f>
        <v>0</v>
      </c>
      <c r="CO219" s="60" t="n">
        <f aca="false">1-N219+SUMPRODUCT(B219:M219,CB219:CM219)-SUMPRODUCT(B219:M219,CB218:CM218)</f>
        <v>0</v>
      </c>
      <c r="CP219" s="60" t="n">
        <f aca="false">SUMXMY2(O219:Z219,$E$13:$P$13)</f>
        <v>0</v>
      </c>
    </row>
    <row r="220" customFormat="false" ht="15" hidden="false" customHeight="false" outlineLevel="0" collapsed="false">
      <c r="A220" s="59" t="n">
        <v>11</v>
      </c>
      <c r="B220" s="60" t="n">
        <f aca="false">$E$13*EXP(MAX(-700,MIN(700,$E$86-CB219)))</f>
        <v>1</v>
      </c>
      <c r="C220" s="60" t="n">
        <f aca="false">$F$13*EXP(MAX(-700,MIN(700,$F$86-CC219)))</f>
        <v>0</v>
      </c>
      <c r="D220" s="60" t="n">
        <f aca="false">$G$13*EXP(MAX(-700,MIN(700,$G$86-CD219)))</f>
        <v>0</v>
      </c>
      <c r="E220" s="60" t="n">
        <f aca="false">$H$13*EXP(MAX(-700,MIN(700,$H$86-CE219)))</f>
        <v>0</v>
      </c>
      <c r="F220" s="60" t="n">
        <f aca="false">$I$13*EXP(MAX(-700,MIN(700,$I$86-CF219)))</f>
        <v>0</v>
      </c>
      <c r="G220" s="60" t="n">
        <f aca="false">$J$13*EXP(MAX(-700,MIN(700,$J$86-CG219)))</f>
        <v>0</v>
      </c>
      <c r="H220" s="60" t="n">
        <f aca="false">$K$13*EXP(MAX(-700,MIN(700,$K$86-CH219)))</f>
        <v>0</v>
      </c>
      <c r="I220" s="60" t="n">
        <f aca="false">$L$13*EXP(MAX(-700,MIN(700,$L$86-CI219)))</f>
        <v>0</v>
      </c>
      <c r="J220" s="60" t="n">
        <f aca="false">$M$13*EXP(MAX(-700,MIN(700,$M$86-CJ219)))</f>
        <v>0</v>
      </c>
      <c r="K220" s="60" t="n">
        <f aca="false">$N$13*EXP(MAX(-700,MIN(700,$N$86-CK219)))</f>
        <v>0</v>
      </c>
      <c r="L220" s="60" t="n">
        <f aca="false">$O$13*EXP(MAX(-700,MIN(700,$O$86-CL219)))</f>
        <v>0</v>
      </c>
      <c r="M220" s="60" t="n">
        <f aca="false">$P$13*EXP(MAX(-700,MIN(700,$P$86-CM219)))</f>
        <v>0</v>
      </c>
      <c r="N220" s="60" t="n">
        <f aca="false">SUM(B220:M220)</f>
        <v>1</v>
      </c>
      <c r="O220" s="60" t="n">
        <f aca="false">B220/N220</f>
        <v>1</v>
      </c>
      <c r="P220" s="60" t="n">
        <f aca="false">C220/N220</f>
        <v>0</v>
      </c>
      <c r="Q220" s="60" t="n">
        <f aca="false">D220/N220</f>
        <v>0</v>
      </c>
      <c r="R220" s="60" t="n">
        <f aca="false">E220/N220</f>
        <v>0</v>
      </c>
      <c r="S220" s="60" t="n">
        <f aca="false">F220/N220</f>
        <v>0</v>
      </c>
      <c r="T220" s="60" t="n">
        <f aca="false">G220/N220</f>
        <v>0</v>
      </c>
      <c r="U220" s="60" t="n">
        <f aca="false">H220/N220</f>
        <v>0</v>
      </c>
      <c r="V220" s="60" t="n">
        <f aca="false">I220/N220</f>
        <v>0</v>
      </c>
      <c r="W220" s="60" t="n">
        <f aca="false">J220/N220</f>
        <v>0</v>
      </c>
      <c r="X220" s="60" t="n">
        <f aca="false">K220/N220</f>
        <v>0</v>
      </c>
      <c r="Y220" s="60" t="n">
        <f aca="false">L220/N220</f>
        <v>0</v>
      </c>
      <c r="Z220" s="60" t="n">
        <f aca="false">M220/N220</f>
        <v>0</v>
      </c>
      <c r="AA220" s="60" t="n">
        <f aca="false">$E$28*SUMPRODUCT($E$31:$P$31,O220:Z220,$E$28:$P$28)</f>
        <v>0.184416866619846</v>
      </c>
      <c r="AB220" s="60" t="n">
        <f aca="false">$F$28*SUMPRODUCT($E$32:$P$32,O220:Z220,$E$28:$P$28)</f>
        <v>0</v>
      </c>
      <c r="AC220" s="60" t="n">
        <f aca="false">$G$28*SUMPRODUCT($E$33:$P$33,O220:Z220,$E$28:$P$28)</f>
        <v>0</v>
      </c>
      <c r="AD220" s="60" t="n">
        <f aca="false">$H$28*SUMPRODUCT($E$34:$P$34,O220:Z220,$E$28:$P$28)</f>
        <v>0</v>
      </c>
      <c r="AE220" s="60" t="n">
        <f aca="false">$I$28*SUMPRODUCT($E$35:$P$35,O220:Z220,$E$28:$P$28)</f>
        <v>0</v>
      </c>
      <c r="AF220" s="60" t="n">
        <f aca="false">$J$28*SUMPRODUCT($E$36:$P$36,O220:Z220,$E$28:$P$28)</f>
        <v>0</v>
      </c>
      <c r="AG220" s="60" t="n">
        <f aca="false">$K$28*SUMPRODUCT($E$37:$P$37,O220:Z220,$E$28:$P$28)</f>
        <v>0</v>
      </c>
      <c r="AH220" s="60" t="n">
        <f aca="false">$L$28*SUMPRODUCT($E$38:$P$38,O220:Z220,$E$28:$P$28)</f>
        <v>0</v>
      </c>
      <c r="AI220" s="60" t="n">
        <f aca="false">$M$28*SUMPRODUCT($E$39:$P$39,O220:Z220,$E$28:$P$28)</f>
        <v>0</v>
      </c>
      <c r="AJ220" s="60" t="n">
        <f aca="false">$N$28*SUMPRODUCT($E$40:$P$40,O220:Z220,$E$28:$P$28)</f>
        <v>0</v>
      </c>
      <c r="AK220" s="60" t="n">
        <f aca="false">$O$28*SUMPRODUCT($E$41:$P$41,O220:Z220,$E$28:$P$28)</f>
        <v>0</v>
      </c>
      <c r="AL220" s="60" t="n">
        <f aca="false">$P$28*SUMPRODUCT($E$42:$P$42,O220:Z220,$E$28:$P$28)</f>
        <v>0</v>
      </c>
      <c r="AM220" s="60" t="n">
        <f aca="false">SUMPRODUCT(O220:Z220,AA220:AL220)</f>
        <v>0.184416866619846</v>
      </c>
      <c r="AN220" s="60" t="n">
        <f aca="false">SUMPRODUCT(O220:Z220,$E$27:$P$27)</f>
        <v>2.67389635063809E-005</v>
      </c>
      <c r="AO220" s="60" t="n">
        <f aca="false">AM220*$C$9/($C$10*$C$8)^2</f>
        <v>0.21776909410545</v>
      </c>
      <c r="AP220" s="60" t="n">
        <f aca="false">AN220*$C$9/($C$10*$C$8)</f>
        <v>0.0918845243259994</v>
      </c>
      <c r="AQ220" s="60" t="n">
        <f aca="false">CHOOSE($C$7,-(1+AP220),-1,-(1-AP220))</f>
        <v>-0.908115475674001</v>
      </c>
      <c r="AR220" s="60" t="n">
        <f aca="false">CHOOSE($C$7,AO220,AO220-AP220-AP220^2,AO220-3*AP220^2-2*AP220)</f>
        <v>0.00867174802160559</v>
      </c>
      <c r="AS220" s="60" t="n">
        <f aca="false">CHOOSE($C$7,-AO220*AP220,-AO220*AP220,-(AO220*AP220-AP220^2-AP220^3))</f>
        <v>-0.0107910842936637</v>
      </c>
      <c r="AT220" s="60" t="n">
        <f aca="false">AR220-AQ220^2/3</f>
        <v>-0.266219491031267</v>
      </c>
      <c r="AU220" s="60" t="n">
        <f aca="false">2*AQ220^3/27-AQ220*AR220/3+AS220</f>
        <v>-0.0636400988362784</v>
      </c>
      <c r="AV220" s="60" t="n">
        <f aca="false">AU220^2/4+AT220^3/27</f>
        <v>0.000313710901361829</v>
      </c>
      <c r="AW220" s="60" t="n">
        <f aca="false">-AU220/2-IF(AU220&gt;=0,1,-1)*SQRT(MAX(AV220,0))</f>
        <v>0.0495319352963236</v>
      </c>
      <c r="AX220" s="60" t="n">
        <f aca="false">SIGN(AW220)*ABS(AW220)^(1/3)</f>
        <v>0.367249967174439</v>
      </c>
      <c r="AY220" s="60" t="n">
        <f aca="false">IF(AX220=0,0,AX220-AT220/(3*AX220))</f>
        <v>0.60888329127384</v>
      </c>
      <c r="AZ220" s="60" t="n">
        <f aca="false">2*SQRT(MAX(-AT220,0)/3)</f>
        <v>0.595784626668918</v>
      </c>
      <c r="BA220" s="60" t="n">
        <f aca="false">ACOS(IF(AZ220=0,0,MAX(-1,MIN(1,3*AU220/(AT220*AZ220)))))</f>
        <v>0</v>
      </c>
      <c r="BB220" s="60" t="n">
        <f aca="false">AZ220*COS(BA220/3)</f>
        <v>0.595784626668918</v>
      </c>
      <c r="BC220" s="60" t="n">
        <f aca="false">IF(AV220&lt;0,BB220,AY220)-AQ220/3</f>
        <v>0.91158844983184</v>
      </c>
      <c r="BD220" s="60" t="n">
        <f aca="false">IFERROR((((BC220+AQ220)*BC220+AR220)*BC220+AS220)/((3*BC220+2*AQ220)*BC220+AR220),0)</f>
        <v>0</v>
      </c>
      <c r="BE220" s="60" t="n">
        <f aca="false">IF(ABS(BD220)&lt;0.1*ABS(BC220),BC220-BD220,BC220)</f>
        <v>0.91158844983184</v>
      </c>
      <c r="BF220" s="60" t="n">
        <f aca="false">IFERROR((((BE220+AQ220)*BE220+AR220)*BE220+AS220)/((3*BE220+2*AQ220)*BE220+AR220),0)</f>
        <v>0</v>
      </c>
      <c r="BG220" s="60" t="n">
        <f aca="false">IF(ABS(BF220)&lt;0.1*ABS(BE220),BE220-BF220,BE220)</f>
        <v>0.91158844983184</v>
      </c>
      <c r="BH220" s="60" t="n">
        <f aca="false">-AS220/BG220</f>
        <v>0.0118376711504565</v>
      </c>
      <c r="BI220" s="60" t="n">
        <f aca="false">(AR220-BH220)/BG220</f>
        <v>-0.00347297415783941</v>
      </c>
      <c r="BJ220" s="60" t="n">
        <f aca="false">BI220^2-4*BH220</f>
        <v>-0.0473386230523248</v>
      </c>
      <c r="BK220" s="60" t="n">
        <f aca="false">IF(BJ220&gt;=0,(BI220+IF(BI220&gt;=0,1,-1)*SQRT(BJ220))/2,0)</f>
        <v>0</v>
      </c>
      <c r="BL220" s="60" t="n">
        <f aca="false">IF(AND(BJ220&gt;=0,BK220&lt;&gt;0),MIN(BK220,BH220/BK220),-1)</f>
        <v>-1</v>
      </c>
      <c r="BM220" s="60" t="n">
        <f aca="false">AND(BJ220&gt;=0,BL220&gt;AP220,ABS(BG220-BL220)&gt;=0.00005*MAX(BG220,BL220))</f>
        <v>0</v>
      </c>
      <c r="BN220" s="60" t="n">
        <f aca="false">IF(BM220,IFERROR((((BL220+AQ220)*BL220+AR220)*BL220+AS220)/((3*BL220+2*AQ220)*BL220+AR220),0),0)</f>
        <v>0</v>
      </c>
      <c r="BO220" s="60" t="n">
        <f aca="false">IF(ABS(BN220)&lt;0.1*ABS(BL220),BL220-BN220,BL220)</f>
        <v>-1</v>
      </c>
      <c r="BP220" s="60" t="n">
        <f aca="false">IF(BM220,IFERROR((((BO220+AQ220)*BO220+AR220)*BO220+AS220)/((3*BO220+2*AQ220)*BO220+AR220),0),0)</f>
        <v>0</v>
      </c>
      <c r="BQ220" s="60" t="n">
        <f aca="false">IF(ABS(BP220)&lt;0.1*ABS(BO220),BO220-BP220,BO220)</f>
        <v>-1</v>
      </c>
      <c r="BR220" s="60" t="n">
        <f aca="false">IF(BM220,MAX(BG220,BQ220),BG220)</f>
        <v>0.91158844983184</v>
      </c>
      <c r="BS220" s="60" t="n">
        <f aca="false">IF(BM220,MIN(BG220,BQ220),-1)</f>
        <v>-1</v>
      </c>
      <c r="BT220" s="60" t="n">
        <f aca="false">CHOOSE($C$7,AO220/BR220,AO220/AP220*LN(1+AP220/BR220),AO220/(2*SQRT(2)*AP220)*LN((BR220+(1+SQRT(2))*AP220)/(BR220+(1-SQRT(2))*AP220)))</f>
        <v>0.218240791233887</v>
      </c>
      <c r="BU220" s="60" t="n">
        <f aca="false">BR220-1-LN(BR220-AP220)-BT220</f>
        <v>-0.107840271021729</v>
      </c>
      <c r="BV220" s="60" t="n">
        <f aca="false">IF(BM220,CHOOSE($C$7,AO220/BS220,AO220/AP220*LN(1+AP220/BS220),AO220/(2*SQRT(2)*AP220)*LN((BS220+(1+SQRT(2))*AP220)/(BS220+(1-SQRT(2))*AP220))),0)</f>
        <v>0</v>
      </c>
      <c r="BW220" s="60" t="n">
        <f aca="false">IF(BM220,BS220-1-LN(BS220-AP220)-BV220,0)</f>
        <v>0</v>
      </c>
      <c r="BX220" s="60" t="n">
        <f aca="false">AND(BM220,BW220&lt;BU220)</f>
        <v>0</v>
      </c>
      <c r="BY220" s="60" t="n">
        <f aca="false">IF(BX220,BS220,BR220)</f>
        <v>0.91158844983184</v>
      </c>
      <c r="BZ220" s="60" t="n">
        <f aca="false">IF(BX220,BV220,BT220)</f>
        <v>0.218240791233887</v>
      </c>
      <c r="CA220" s="60" t="n">
        <f aca="false">LN(BY220-AP220)</f>
        <v>-0.198812070380318</v>
      </c>
      <c r="CB220" s="60" t="n">
        <f aca="false">$E$27/AN220*(BY220-1)-CA220-BZ220*(2*AA220/AM220-$E$27/AN220)</f>
        <v>-0.107840271021729</v>
      </c>
      <c r="CC220" s="60" t="n">
        <f aca="false">$F$27/AN220*(BY220-1)-CA220-BZ220*(2*AB220/AM220-$F$27/AN220)</f>
        <v>0.198812070380318</v>
      </c>
      <c r="CD220" s="60" t="n">
        <f aca="false">$G$27/AN220*(BY220-1)-CA220-BZ220*(2*AC220/AM220-$G$27/AN220)</f>
        <v>0.198812070380318</v>
      </c>
      <c r="CE220" s="60" t="n">
        <f aca="false">$H$27/AN220*(BY220-1)-CA220-BZ220*(2*AD220/AM220-$H$27/AN220)</f>
        <v>0.198812070380318</v>
      </c>
      <c r="CF220" s="60" t="n">
        <f aca="false">$I$27/AN220*(BY220-1)-CA220-BZ220*(2*AE220/AM220-$I$27/AN220)</f>
        <v>0.198812070380318</v>
      </c>
      <c r="CG220" s="60" t="n">
        <f aca="false">$J$27/AN220*(BY220-1)-CA220-BZ220*(2*AF220/AM220-$J$27/AN220)</f>
        <v>0.198812070380318</v>
      </c>
      <c r="CH220" s="60" t="n">
        <f aca="false">$K$27/AN220*(BY220-1)-CA220-BZ220*(2*AG220/AM220-$K$27/AN220)</f>
        <v>0.198812070380318</v>
      </c>
      <c r="CI220" s="60" t="n">
        <f aca="false">$L$27/AN220*(BY220-1)-CA220-BZ220*(2*AH220/AM220-$L$27/AN220)</f>
        <v>0.198812070380318</v>
      </c>
      <c r="CJ220" s="60" t="n">
        <f aca="false">$M$27/AN220*(BY220-1)-CA220-BZ220*(2*AI220/AM220-$M$27/AN220)</f>
        <v>0.198812070380318</v>
      </c>
      <c r="CK220" s="60" t="n">
        <f aca="false">$N$27/AN220*(BY220-1)-CA220-BZ220*(2*AJ220/AM220-$N$27/AN220)</f>
        <v>0.198812070380318</v>
      </c>
      <c r="CL220" s="60" t="n">
        <f aca="false">$O$27/AN220*(BY220-1)-CA220-BZ220*(2*AK220/AM220-$O$27/AN220)</f>
        <v>0.198812070380318</v>
      </c>
      <c r="CM220" s="60" t="n">
        <f aca="false">$P$27/AN220*(BY220-1)-CA220-BZ220*(2*AL220/AM220-$P$27/AN220)</f>
        <v>0.198812070380318</v>
      </c>
      <c r="CN220" s="60" t="n">
        <f aca="false">AP220/BY220&gt;$C$22</f>
        <v>0</v>
      </c>
      <c r="CO220" s="60" t="n">
        <f aca="false">1-N220+SUMPRODUCT(B220:M220,CB220:CM220)-SUMPRODUCT(B220:M220,CB219:CM219)</f>
        <v>0</v>
      </c>
      <c r="CP220" s="60" t="n">
        <f aca="false">SUMXMY2(O220:Z220,$E$13:$P$13)</f>
        <v>0</v>
      </c>
    </row>
    <row r="221" customFormat="false" ht="15" hidden="false" customHeight="false" outlineLevel="0" collapsed="false">
      <c r="A221" s="59" t="n">
        <v>12</v>
      </c>
      <c r="B221" s="60" t="n">
        <f aca="false">$E$13*EXP(MAX(-700,MIN(700,$E$86-CB220)))</f>
        <v>1</v>
      </c>
      <c r="C221" s="60" t="n">
        <f aca="false">$F$13*EXP(MAX(-700,MIN(700,$F$86-CC220)))</f>
        <v>0</v>
      </c>
      <c r="D221" s="60" t="n">
        <f aca="false">$G$13*EXP(MAX(-700,MIN(700,$G$86-CD220)))</f>
        <v>0</v>
      </c>
      <c r="E221" s="60" t="n">
        <f aca="false">$H$13*EXP(MAX(-700,MIN(700,$H$86-CE220)))</f>
        <v>0</v>
      </c>
      <c r="F221" s="60" t="n">
        <f aca="false">$I$13*EXP(MAX(-700,MIN(700,$I$86-CF220)))</f>
        <v>0</v>
      </c>
      <c r="G221" s="60" t="n">
        <f aca="false">$J$13*EXP(MAX(-700,MIN(700,$J$86-CG220)))</f>
        <v>0</v>
      </c>
      <c r="H221" s="60" t="n">
        <f aca="false">$K$13*EXP(MAX(-700,MIN(700,$K$86-CH220)))</f>
        <v>0</v>
      </c>
      <c r="I221" s="60" t="n">
        <f aca="false">$L$13*EXP(MAX(-700,MIN(700,$L$86-CI220)))</f>
        <v>0</v>
      </c>
      <c r="J221" s="60" t="n">
        <f aca="false">$M$13*EXP(MAX(-700,MIN(700,$M$86-CJ220)))</f>
        <v>0</v>
      </c>
      <c r="K221" s="60" t="n">
        <f aca="false">$N$13*EXP(MAX(-700,MIN(700,$N$86-CK220)))</f>
        <v>0</v>
      </c>
      <c r="L221" s="60" t="n">
        <f aca="false">$O$13*EXP(MAX(-700,MIN(700,$O$86-CL220)))</f>
        <v>0</v>
      </c>
      <c r="M221" s="60" t="n">
        <f aca="false">$P$13*EXP(MAX(-700,MIN(700,$P$86-CM220)))</f>
        <v>0</v>
      </c>
      <c r="N221" s="60" t="n">
        <f aca="false">SUM(B221:M221)</f>
        <v>1</v>
      </c>
      <c r="O221" s="60" t="n">
        <f aca="false">B221/N221</f>
        <v>1</v>
      </c>
      <c r="P221" s="60" t="n">
        <f aca="false">C221/N221</f>
        <v>0</v>
      </c>
      <c r="Q221" s="60" t="n">
        <f aca="false">D221/N221</f>
        <v>0</v>
      </c>
      <c r="R221" s="60" t="n">
        <f aca="false">E221/N221</f>
        <v>0</v>
      </c>
      <c r="S221" s="60" t="n">
        <f aca="false">F221/N221</f>
        <v>0</v>
      </c>
      <c r="T221" s="60" t="n">
        <f aca="false">G221/N221</f>
        <v>0</v>
      </c>
      <c r="U221" s="60" t="n">
        <f aca="false">H221/N221</f>
        <v>0</v>
      </c>
      <c r="V221" s="60" t="n">
        <f aca="false">I221/N221</f>
        <v>0</v>
      </c>
      <c r="W221" s="60" t="n">
        <f aca="false">J221/N221</f>
        <v>0</v>
      </c>
      <c r="X221" s="60" t="n">
        <f aca="false">K221/N221</f>
        <v>0</v>
      </c>
      <c r="Y221" s="60" t="n">
        <f aca="false">L221/N221</f>
        <v>0</v>
      </c>
      <c r="Z221" s="60" t="n">
        <f aca="false">M221/N221</f>
        <v>0</v>
      </c>
      <c r="AA221" s="60" t="n">
        <f aca="false">$E$28*SUMPRODUCT($E$31:$P$31,O221:Z221,$E$28:$P$28)</f>
        <v>0.184416866619846</v>
      </c>
      <c r="AB221" s="60" t="n">
        <f aca="false">$F$28*SUMPRODUCT($E$32:$P$32,O221:Z221,$E$28:$P$28)</f>
        <v>0</v>
      </c>
      <c r="AC221" s="60" t="n">
        <f aca="false">$G$28*SUMPRODUCT($E$33:$P$33,O221:Z221,$E$28:$P$28)</f>
        <v>0</v>
      </c>
      <c r="AD221" s="60" t="n">
        <f aca="false">$H$28*SUMPRODUCT($E$34:$P$34,O221:Z221,$E$28:$P$28)</f>
        <v>0</v>
      </c>
      <c r="AE221" s="60" t="n">
        <f aca="false">$I$28*SUMPRODUCT($E$35:$P$35,O221:Z221,$E$28:$P$28)</f>
        <v>0</v>
      </c>
      <c r="AF221" s="60" t="n">
        <f aca="false">$J$28*SUMPRODUCT($E$36:$P$36,O221:Z221,$E$28:$P$28)</f>
        <v>0</v>
      </c>
      <c r="AG221" s="60" t="n">
        <f aca="false">$K$28*SUMPRODUCT($E$37:$P$37,O221:Z221,$E$28:$P$28)</f>
        <v>0</v>
      </c>
      <c r="AH221" s="60" t="n">
        <f aca="false">$L$28*SUMPRODUCT($E$38:$P$38,O221:Z221,$E$28:$P$28)</f>
        <v>0</v>
      </c>
      <c r="AI221" s="60" t="n">
        <f aca="false">$M$28*SUMPRODUCT($E$39:$P$39,O221:Z221,$E$28:$P$28)</f>
        <v>0</v>
      </c>
      <c r="AJ221" s="60" t="n">
        <f aca="false">$N$28*SUMPRODUCT($E$40:$P$40,O221:Z221,$E$28:$P$28)</f>
        <v>0</v>
      </c>
      <c r="AK221" s="60" t="n">
        <f aca="false">$O$28*SUMPRODUCT($E$41:$P$41,O221:Z221,$E$28:$P$28)</f>
        <v>0</v>
      </c>
      <c r="AL221" s="60" t="n">
        <f aca="false">$P$28*SUMPRODUCT($E$42:$P$42,O221:Z221,$E$28:$P$28)</f>
        <v>0</v>
      </c>
      <c r="AM221" s="60" t="n">
        <f aca="false">SUMPRODUCT(O221:Z221,AA221:AL221)</f>
        <v>0.184416866619846</v>
      </c>
      <c r="AN221" s="60" t="n">
        <f aca="false">SUMPRODUCT(O221:Z221,$E$27:$P$27)</f>
        <v>2.67389635063809E-005</v>
      </c>
      <c r="AO221" s="60" t="n">
        <f aca="false">AM221*$C$9/($C$10*$C$8)^2</f>
        <v>0.21776909410545</v>
      </c>
      <c r="AP221" s="60" t="n">
        <f aca="false">AN221*$C$9/($C$10*$C$8)</f>
        <v>0.0918845243259994</v>
      </c>
      <c r="AQ221" s="60" t="n">
        <f aca="false">CHOOSE($C$7,-(1+AP221),-1,-(1-AP221))</f>
        <v>-0.908115475674001</v>
      </c>
      <c r="AR221" s="60" t="n">
        <f aca="false">CHOOSE($C$7,AO221,AO221-AP221-AP221^2,AO221-3*AP221^2-2*AP221)</f>
        <v>0.00867174802160559</v>
      </c>
      <c r="AS221" s="60" t="n">
        <f aca="false">CHOOSE($C$7,-AO221*AP221,-AO221*AP221,-(AO221*AP221-AP221^2-AP221^3))</f>
        <v>-0.0107910842936637</v>
      </c>
      <c r="AT221" s="60" t="n">
        <f aca="false">AR221-AQ221^2/3</f>
        <v>-0.266219491031267</v>
      </c>
      <c r="AU221" s="60" t="n">
        <f aca="false">2*AQ221^3/27-AQ221*AR221/3+AS221</f>
        <v>-0.0636400988362784</v>
      </c>
      <c r="AV221" s="60" t="n">
        <f aca="false">AU221^2/4+AT221^3/27</f>
        <v>0.000313710901361829</v>
      </c>
      <c r="AW221" s="60" t="n">
        <f aca="false">-AU221/2-IF(AU221&gt;=0,1,-1)*SQRT(MAX(AV221,0))</f>
        <v>0.0495319352963236</v>
      </c>
      <c r="AX221" s="60" t="n">
        <f aca="false">SIGN(AW221)*ABS(AW221)^(1/3)</f>
        <v>0.367249967174439</v>
      </c>
      <c r="AY221" s="60" t="n">
        <f aca="false">IF(AX221=0,0,AX221-AT221/(3*AX221))</f>
        <v>0.60888329127384</v>
      </c>
      <c r="AZ221" s="60" t="n">
        <f aca="false">2*SQRT(MAX(-AT221,0)/3)</f>
        <v>0.595784626668918</v>
      </c>
      <c r="BA221" s="60" t="n">
        <f aca="false">ACOS(IF(AZ221=0,0,MAX(-1,MIN(1,3*AU221/(AT221*AZ221)))))</f>
        <v>0</v>
      </c>
      <c r="BB221" s="60" t="n">
        <f aca="false">AZ221*COS(BA221/3)</f>
        <v>0.595784626668918</v>
      </c>
      <c r="BC221" s="60" t="n">
        <f aca="false">IF(AV221&lt;0,BB221,AY221)-AQ221/3</f>
        <v>0.91158844983184</v>
      </c>
      <c r="BD221" s="60" t="n">
        <f aca="false">IFERROR((((BC221+AQ221)*BC221+AR221)*BC221+AS221)/((3*BC221+2*AQ221)*BC221+AR221),0)</f>
        <v>0</v>
      </c>
      <c r="BE221" s="60" t="n">
        <f aca="false">IF(ABS(BD221)&lt;0.1*ABS(BC221),BC221-BD221,BC221)</f>
        <v>0.91158844983184</v>
      </c>
      <c r="BF221" s="60" t="n">
        <f aca="false">IFERROR((((BE221+AQ221)*BE221+AR221)*BE221+AS221)/((3*BE221+2*AQ221)*BE221+AR221),0)</f>
        <v>0</v>
      </c>
      <c r="BG221" s="60" t="n">
        <f aca="false">IF(ABS(BF221)&lt;0.1*ABS(BE221),BE221-BF221,BE221)</f>
        <v>0.91158844983184</v>
      </c>
      <c r="BH221" s="60" t="n">
        <f aca="false">-AS221/BG221</f>
        <v>0.0118376711504565</v>
      </c>
      <c r="BI221" s="60" t="n">
        <f aca="false">(AR221-BH221)/BG221</f>
        <v>-0.00347297415783941</v>
      </c>
      <c r="BJ221" s="60" t="n">
        <f aca="false">BI221^2-4*BH221</f>
        <v>-0.0473386230523248</v>
      </c>
      <c r="BK221" s="60" t="n">
        <f aca="false">IF(BJ221&gt;=0,(BI221+IF(BI221&gt;=0,1,-1)*SQRT(BJ221))/2,0)</f>
        <v>0</v>
      </c>
      <c r="BL221" s="60" t="n">
        <f aca="false">IF(AND(BJ221&gt;=0,BK221&lt;&gt;0),MIN(BK221,BH221/BK221),-1)</f>
        <v>-1</v>
      </c>
      <c r="BM221" s="60" t="n">
        <f aca="false">AND(BJ221&gt;=0,BL221&gt;AP221,ABS(BG221-BL221)&gt;=0.00005*MAX(BG221,BL221))</f>
        <v>0</v>
      </c>
      <c r="BN221" s="60" t="n">
        <f aca="false">IF(BM221,IFERROR((((BL221+AQ221)*BL221+AR221)*BL221+AS221)/((3*BL221+2*AQ221)*BL221+AR221),0),0)</f>
        <v>0</v>
      </c>
      <c r="BO221" s="60" t="n">
        <f aca="false">IF(ABS(BN221)&lt;0.1*ABS(BL221),BL221-BN221,BL221)</f>
        <v>-1</v>
      </c>
      <c r="BP221" s="60" t="n">
        <f aca="false">IF(BM221,IFERROR((((BO221+AQ221)*BO221+AR221)*BO221+AS221)/((3*BO221+2*AQ221)*BO221+AR221),0),0)</f>
        <v>0</v>
      </c>
      <c r="BQ221" s="60" t="n">
        <f aca="false">IF(ABS(BP221)&lt;0.1*ABS(BO221),BO221-BP221,BO221)</f>
        <v>-1</v>
      </c>
      <c r="BR221" s="60" t="n">
        <f aca="false">IF(BM221,MAX(BG221,BQ221),BG221)</f>
        <v>0.91158844983184</v>
      </c>
      <c r="BS221" s="60" t="n">
        <f aca="false">IF(BM221,MIN(BG221,BQ221),-1)</f>
        <v>-1</v>
      </c>
      <c r="BT221" s="60" t="n">
        <f aca="false">CHOOSE($C$7,AO221/BR221,AO221/AP221*LN(1+AP221/BR221),AO221/(2*SQRT(2)*AP221)*LN((BR221+(1+SQRT(2))*AP221)/(BR221+(1-SQRT(2))*AP221)))</f>
        <v>0.218240791233887</v>
      </c>
      <c r="BU221" s="60" t="n">
        <f aca="false">BR221-1-LN(BR221-AP221)-BT221</f>
        <v>-0.107840271021729</v>
      </c>
      <c r="BV221" s="60" t="n">
        <f aca="false">IF(BM221,CHOOSE($C$7,AO221/BS221,AO221/AP221*LN(1+AP221/BS221),AO221/(2*SQRT(2)*AP221)*LN((BS221+(1+SQRT(2))*AP221)/(BS221+(1-SQRT(2))*AP221))),0)</f>
        <v>0</v>
      </c>
      <c r="BW221" s="60" t="n">
        <f aca="false">IF(BM221,BS221-1-LN(BS221-AP221)-BV221,0)</f>
        <v>0</v>
      </c>
      <c r="BX221" s="60" t="n">
        <f aca="false">AND(BM221,BW221&lt;BU221)</f>
        <v>0</v>
      </c>
      <c r="BY221" s="60" t="n">
        <f aca="false">IF(BX221,BS221,BR221)</f>
        <v>0.91158844983184</v>
      </c>
      <c r="BZ221" s="60" t="n">
        <f aca="false">IF(BX221,BV221,BT221)</f>
        <v>0.218240791233887</v>
      </c>
      <c r="CA221" s="60" t="n">
        <f aca="false">LN(BY221-AP221)</f>
        <v>-0.198812070380318</v>
      </c>
      <c r="CB221" s="60" t="n">
        <f aca="false">$E$27/AN221*(BY221-1)-CA221-BZ221*(2*AA221/AM221-$E$27/AN221)</f>
        <v>-0.107840271021729</v>
      </c>
      <c r="CC221" s="60" t="n">
        <f aca="false">$F$27/AN221*(BY221-1)-CA221-BZ221*(2*AB221/AM221-$F$27/AN221)</f>
        <v>0.198812070380318</v>
      </c>
      <c r="CD221" s="60" t="n">
        <f aca="false">$G$27/AN221*(BY221-1)-CA221-BZ221*(2*AC221/AM221-$G$27/AN221)</f>
        <v>0.198812070380318</v>
      </c>
      <c r="CE221" s="60" t="n">
        <f aca="false">$H$27/AN221*(BY221-1)-CA221-BZ221*(2*AD221/AM221-$H$27/AN221)</f>
        <v>0.198812070380318</v>
      </c>
      <c r="CF221" s="60" t="n">
        <f aca="false">$I$27/AN221*(BY221-1)-CA221-BZ221*(2*AE221/AM221-$I$27/AN221)</f>
        <v>0.198812070380318</v>
      </c>
      <c r="CG221" s="60" t="n">
        <f aca="false">$J$27/AN221*(BY221-1)-CA221-BZ221*(2*AF221/AM221-$J$27/AN221)</f>
        <v>0.198812070380318</v>
      </c>
      <c r="CH221" s="60" t="n">
        <f aca="false">$K$27/AN221*(BY221-1)-CA221-BZ221*(2*AG221/AM221-$K$27/AN221)</f>
        <v>0.198812070380318</v>
      </c>
      <c r="CI221" s="60" t="n">
        <f aca="false">$L$27/AN221*(BY221-1)-CA221-BZ221*(2*AH221/AM221-$L$27/AN221)</f>
        <v>0.198812070380318</v>
      </c>
      <c r="CJ221" s="60" t="n">
        <f aca="false">$M$27/AN221*(BY221-1)-CA221-BZ221*(2*AI221/AM221-$M$27/AN221)</f>
        <v>0.198812070380318</v>
      </c>
      <c r="CK221" s="60" t="n">
        <f aca="false">$N$27/AN221*(BY221-1)-CA221-BZ221*(2*AJ221/AM221-$N$27/AN221)</f>
        <v>0.198812070380318</v>
      </c>
      <c r="CL221" s="60" t="n">
        <f aca="false">$O$27/AN221*(BY221-1)-CA221-BZ221*(2*AK221/AM221-$O$27/AN221)</f>
        <v>0.198812070380318</v>
      </c>
      <c r="CM221" s="60" t="n">
        <f aca="false">$P$27/AN221*(BY221-1)-CA221-BZ221*(2*AL221/AM221-$P$27/AN221)</f>
        <v>0.198812070380318</v>
      </c>
      <c r="CN221" s="60" t="n">
        <f aca="false">AP221/BY221&gt;$C$22</f>
        <v>0</v>
      </c>
      <c r="CO221" s="60" t="n">
        <f aca="false">1-N221+SUMPRODUCT(B221:M221,CB221:CM221)-SUMPRODUCT(B221:M221,CB220:CM220)</f>
        <v>0</v>
      </c>
      <c r="CP221" s="60" t="n">
        <f aca="false">SUMXMY2(O221:Z221,$E$13:$P$13)</f>
        <v>0</v>
      </c>
    </row>
    <row r="222" customFormat="false" ht="15" hidden="false" customHeight="false" outlineLevel="0" collapsed="false">
      <c r="A222" s="59" t="n">
        <v>13</v>
      </c>
      <c r="B222" s="60" t="n">
        <f aca="false">$E$13*EXP(MAX(-700,MIN(700,$E$86-CB221)))</f>
        <v>1</v>
      </c>
      <c r="C222" s="60" t="n">
        <f aca="false">$F$13*EXP(MAX(-700,MIN(700,$F$86-CC221)))</f>
        <v>0</v>
      </c>
      <c r="D222" s="60" t="n">
        <f aca="false">$G$13*EXP(MAX(-700,MIN(700,$G$86-CD221)))</f>
        <v>0</v>
      </c>
      <c r="E222" s="60" t="n">
        <f aca="false">$H$13*EXP(MAX(-700,MIN(700,$H$86-CE221)))</f>
        <v>0</v>
      </c>
      <c r="F222" s="60" t="n">
        <f aca="false">$I$13*EXP(MAX(-700,MIN(700,$I$86-CF221)))</f>
        <v>0</v>
      </c>
      <c r="G222" s="60" t="n">
        <f aca="false">$J$13*EXP(MAX(-700,MIN(700,$J$86-CG221)))</f>
        <v>0</v>
      </c>
      <c r="H222" s="60" t="n">
        <f aca="false">$K$13*EXP(MAX(-700,MIN(700,$K$86-CH221)))</f>
        <v>0</v>
      </c>
      <c r="I222" s="60" t="n">
        <f aca="false">$L$13*EXP(MAX(-700,MIN(700,$L$86-CI221)))</f>
        <v>0</v>
      </c>
      <c r="J222" s="60" t="n">
        <f aca="false">$M$13*EXP(MAX(-700,MIN(700,$M$86-CJ221)))</f>
        <v>0</v>
      </c>
      <c r="K222" s="60" t="n">
        <f aca="false">$N$13*EXP(MAX(-700,MIN(700,$N$86-CK221)))</f>
        <v>0</v>
      </c>
      <c r="L222" s="60" t="n">
        <f aca="false">$O$13*EXP(MAX(-700,MIN(700,$O$86-CL221)))</f>
        <v>0</v>
      </c>
      <c r="M222" s="60" t="n">
        <f aca="false">$P$13*EXP(MAX(-700,MIN(700,$P$86-CM221)))</f>
        <v>0</v>
      </c>
      <c r="N222" s="60" t="n">
        <f aca="false">SUM(B222:M222)</f>
        <v>1</v>
      </c>
      <c r="O222" s="60" t="n">
        <f aca="false">B222/N222</f>
        <v>1</v>
      </c>
      <c r="P222" s="60" t="n">
        <f aca="false">C222/N222</f>
        <v>0</v>
      </c>
      <c r="Q222" s="60" t="n">
        <f aca="false">D222/N222</f>
        <v>0</v>
      </c>
      <c r="R222" s="60" t="n">
        <f aca="false">E222/N222</f>
        <v>0</v>
      </c>
      <c r="S222" s="60" t="n">
        <f aca="false">F222/N222</f>
        <v>0</v>
      </c>
      <c r="T222" s="60" t="n">
        <f aca="false">G222/N222</f>
        <v>0</v>
      </c>
      <c r="U222" s="60" t="n">
        <f aca="false">H222/N222</f>
        <v>0</v>
      </c>
      <c r="V222" s="60" t="n">
        <f aca="false">I222/N222</f>
        <v>0</v>
      </c>
      <c r="W222" s="60" t="n">
        <f aca="false">J222/N222</f>
        <v>0</v>
      </c>
      <c r="X222" s="60" t="n">
        <f aca="false">K222/N222</f>
        <v>0</v>
      </c>
      <c r="Y222" s="60" t="n">
        <f aca="false">L222/N222</f>
        <v>0</v>
      </c>
      <c r="Z222" s="60" t="n">
        <f aca="false">M222/N222</f>
        <v>0</v>
      </c>
      <c r="AA222" s="60" t="n">
        <f aca="false">$E$28*SUMPRODUCT($E$31:$P$31,O222:Z222,$E$28:$P$28)</f>
        <v>0.184416866619846</v>
      </c>
      <c r="AB222" s="60" t="n">
        <f aca="false">$F$28*SUMPRODUCT($E$32:$P$32,O222:Z222,$E$28:$P$28)</f>
        <v>0</v>
      </c>
      <c r="AC222" s="60" t="n">
        <f aca="false">$G$28*SUMPRODUCT($E$33:$P$33,O222:Z222,$E$28:$P$28)</f>
        <v>0</v>
      </c>
      <c r="AD222" s="60" t="n">
        <f aca="false">$H$28*SUMPRODUCT($E$34:$P$34,O222:Z222,$E$28:$P$28)</f>
        <v>0</v>
      </c>
      <c r="AE222" s="60" t="n">
        <f aca="false">$I$28*SUMPRODUCT($E$35:$P$35,O222:Z222,$E$28:$P$28)</f>
        <v>0</v>
      </c>
      <c r="AF222" s="60" t="n">
        <f aca="false">$J$28*SUMPRODUCT($E$36:$P$36,O222:Z222,$E$28:$P$28)</f>
        <v>0</v>
      </c>
      <c r="AG222" s="60" t="n">
        <f aca="false">$K$28*SUMPRODUCT($E$37:$P$37,O222:Z222,$E$28:$P$28)</f>
        <v>0</v>
      </c>
      <c r="AH222" s="60" t="n">
        <f aca="false">$L$28*SUMPRODUCT($E$38:$P$38,O222:Z222,$E$28:$P$28)</f>
        <v>0</v>
      </c>
      <c r="AI222" s="60" t="n">
        <f aca="false">$M$28*SUMPRODUCT($E$39:$P$39,O222:Z222,$E$28:$P$28)</f>
        <v>0</v>
      </c>
      <c r="AJ222" s="60" t="n">
        <f aca="false">$N$28*SUMPRODUCT($E$40:$P$40,O222:Z222,$E$28:$P$28)</f>
        <v>0</v>
      </c>
      <c r="AK222" s="60" t="n">
        <f aca="false">$O$28*SUMPRODUCT($E$41:$P$41,O222:Z222,$E$28:$P$28)</f>
        <v>0</v>
      </c>
      <c r="AL222" s="60" t="n">
        <f aca="false">$P$28*SUMPRODUCT($E$42:$P$42,O222:Z222,$E$28:$P$28)</f>
        <v>0</v>
      </c>
      <c r="AM222" s="60" t="n">
        <f aca="false">SUMPRODUCT(O222:Z222,AA222:AL222)</f>
        <v>0.184416866619846</v>
      </c>
      <c r="AN222" s="60" t="n">
        <f aca="false">SUMPRODUCT(O222:Z222,$E$27:$P$27)</f>
        <v>2.67389635063809E-005</v>
      </c>
      <c r="AO222" s="60" t="n">
        <f aca="false">AM222*$C$9/($C$10*$C$8)^2</f>
        <v>0.21776909410545</v>
      </c>
      <c r="AP222" s="60" t="n">
        <f aca="false">AN222*$C$9/($C$10*$C$8)</f>
        <v>0.0918845243259994</v>
      </c>
      <c r="AQ222" s="60" t="n">
        <f aca="false">CHOOSE($C$7,-(1+AP222),-1,-(1-AP222))</f>
        <v>-0.908115475674001</v>
      </c>
      <c r="AR222" s="60" t="n">
        <f aca="false">CHOOSE($C$7,AO222,AO222-AP222-AP222^2,AO222-3*AP222^2-2*AP222)</f>
        <v>0.00867174802160559</v>
      </c>
      <c r="AS222" s="60" t="n">
        <f aca="false">CHOOSE($C$7,-AO222*AP222,-AO222*AP222,-(AO222*AP222-AP222^2-AP222^3))</f>
        <v>-0.0107910842936637</v>
      </c>
      <c r="AT222" s="60" t="n">
        <f aca="false">AR222-AQ222^2/3</f>
        <v>-0.266219491031267</v>
      </c>
      <c r="AU222" s="60" t="n">
        <f aca="false">2*AQ222^3/27-AQ222*AR222/3+AS222</f>
        <v>-0.0636400988362784</v>
      </c>
      <c r="AV222" s="60" t="n">
        <f aca="false">AU222^2/4+AT222^3/27</f>
        <v>0.000313710901361829</v>
      </c>
      <c r="AW222" s="60" t="n">
        <f aca="false">-AU222/2-IF(AU222&gt;=0,1,-1)*SQRT(MAX(AV222,0))</f>
        <v>0.0495319352963236</v>
      </c>
      <c r="AX222" s="60" t="n">
        <f aca="false">SIGN(AW222)*ABS(AW222)^(1/3)</f>
        <v>0.367249967174439</v>
      </c>
      <c r="AY222" s="60" t="n">
        <f aca="false">IF(AX222=0,0,AX222-AT222/(3*AX222))</f>
        <v>0.60888329127384</v>
      </c>
      <c r="AZ222" s="60" t="n">
        <f aca="false">2*SQRT(MAX(-AT222,0)/3)</f>
        <v>0.595784626668918</v>
      </c>
      <c r="BA222" s="60" t="n">
        <f aca="false">ACOS(IF(AZ222=0,0,MAX(-1,MIN(1,3*AU222/(AT222*AZ222)))))</f>
        <v>0</v>
      </c>
      <c r="BB222" s="60" t="n">
        <f aca="false">AZ222*COS(BA222/3)</f>
        <v>0.595784626668918</v>
      </c>
      <c r="BC222" s="60" t="n">
        <f aca="false">IF(AV222&lt;0,BB222,AY222)-AQ222/3</f>
        <v>0.91158844983184</v>
      </c>
      <c r="BD222" s="60" t="n">
        <f aca="false">IFERROR((((BC222+AQ222)*BC222+AR222)*BC222+AS222)/((3*BC222+2*AQ222)*BC222+AR222),0)</f>
        <v>0</v>
      </c>
      <c r="BE222" s="60" t="n">
        <f aca="false">IF(ABS(BD222)&lt;0.1*ABS(BC222),BC222-BD222,BC222)</f>
        <v>0.91158844983184</v>
      </c>
      <c r="BF222" s="60" t="n">
        <f aca="false">IFERROR((((BE222+AQ222)*BE222+AR222)*BE222+AS222)/((3*BE222+2*AQ222)*BE222+AR222),0)</f>
        <v>0</v>
      </c>
      <c r="BG222" s="60" t="n">
        <f aca="false">IF(ABS(BF222)&lt;0.1*ABS(BE222),BE222-BF222,BE222)</f>
        <v>0.91158844983184</v>
      </c>
      <c r="BH222" s="60" t="n">
        <f aca="false">-AS222/BG222</f>
        <v>0.0118376711504565</v>
      </c>
      <c r="BI222" s="60" t="n">
        <f aca="false">(AR222-BH222)/BG222</f>
        <v>-0.00347297415783941</v>
      </c>
      <c r="BJ222" s="60" t="n">
        <f aca="false">BI222^2-4*BH222</f>
        <v>-0.0473386230523248</v>
      </c>
      <c r="BK222" s="60" t="n">
        <f aca="false">IF(BJ222&gt;=0,(BI222+IF(BI222&gt;=0,1,-1)*SQRT(BJ222))/2,0)</f>
        <v>0</v>
      </c>
      <c r="BL222" s="60" t="n">
        <f aca="false">IF(AND(BJ222&gt;=0,BK222&lt;&gt;0),MIN(BK222,BH222/BK222),-1)</f>
        <v>-1</v>
      </c>
      <c r="BM222" s="60" t="n">
        <f aca="false">AND(BJ222&gt;=0,BL222&gt;AP222,ABS(BG222-BL222)&gt;=0.00005*MAX(BG222,BL222))</f>
        <v>0</v>
      </c>
      <c r="BN222" s="60" t="n">
        <f aca="false">IF(BM222,IFERROR((((BL222+AQ222)*BL222+AR222)*BL222+AS222)/((3*BL222+2*AQ222)*BL222+AR222),0),0)</f>
        <v>0</v>
      </c>
      <c r="BO222" s="60" t="n">
        <f aca="false">IF(ABS(BN222)&lt;0.1*ABS(BL222),BL222-BN222,BL222)</f>
        <v>-1</v>
      </c>
      <c r="BP222" s="60" t="n">
        <f aca="false">IF(BM222,IFERROR((((BO222+AQ222)*BO222+AR222)*BO222+AS222)/((3*BO222+2*AQ222)*BO222+AR222),0),0)</f>
        <v>0</v>
      </c>
      <c r="BQ222" s="60" t="n">
        <f aca="false">IF(ABS(BP222)&lt;0.1*ABS(BO222),BO222-BP222,BO222)</f>
        <v>-1</v>
      </c>
      <c r="BR222" s="60" t="n">
        <f aca="false">IF(BM222,MAX(BG222,BQ222),BG222)</f>
        <v>0.91158844983184</v>
      </c>
      <c r="BS222" s="60" t="n">
        <f aca="false">IF(BM222,MIN(BG222,BQ222),-1)</f>
        <v>-1</v>
      </c>
      <c r="BT222" s="60" t="n">
        <f aca="false">CHOOSE($C$7,AO222/BR222,AO222/AP222*LN(1+AP222/BR222),AO222/(2*SQRT(2)*AP222)*LN((BR222+(1+SQRT(2))*AP222)/(BR222+(1-SQRT(2))*AP222)))</f>
        <v>0.218240791233887</v>
      </c>
      <c r="BU222" s="60" t="n">
        <f aca="false">BR222-1-LN(BR222-AP222)-BT222</f>
        <v>-0.107840271021729</v>
      </c>
      <c r="BV222" s="60" t="n">
        <f aca="false">IF(BM222,CHOOSE($C$7,AO222/BS222,AO222/AP222*LN(1+AP222/BS222),AO222/(2*SQRT(2)*AP222)*LN((BS222+(1+SQRT(2))*AP222)/(BS222+(1-SQRT(2))*AP222))),0)</f>
        <v>0</v>
      </c>
      <c r="BW222" s="60" t="n">
        <f aca="false">IF(BM222,BS222-1-LN(BS222-AP222)-BV222,0)</f>
        <v>0</v>
      </c>
      <c r="BX222" s="60" t="n">
        <f aca="false">AND(BM222,BW222&lt;BU222)</f>
        <v>0</v>
      </c>
      <c r="BY222" s="60" t="n">
        <f aca="false">IF(BX222,BS222,BR222)</f>
        <v>0.91158844983184</v>
      </c>
      <c r="BZ222" s="60" t="n">
        <f aca="false">IF(BX222,BV222,BT222)</f>
        <v>0.218240791233887</v>
      </c>
      <c r="CA222" s="60" t="n">
        <f aca="false">LN(BY222-AP222)</f>
        <v>-0.198812070380318</v>
      </c>
      <c r="CB222" s="60" t="n">
        <f aca="false">$E$27/AN222*(BY222-1)-CA222-BZ222*(2*AA222/AM222-$E$27/AN222)</f>
        <v>-0.107840271021729</v>
      </c>
      <c r="CC222" s="60" t="n">
        <f aca="false">$F$27/AN222*(BY222-1)-CA222-BZ222*(2*AB222/AM222-$F$27/AN222)</f>
        <v>0.198812070380318</v>
      </c>
      <c r="CD222" s="60" t="n">
        <f aca="false">$G$27/AN222*(BY222-1)-CA222-BZ222*(2*AC222/AM222-$G$27/AN222)</f>
        <v>0.198812070380318</v>
      </c>
      <c r="CE222" s="60" t="n">
        <f aca="false">$H$27/AN222*(BY222-1)-CA222-BZ222*(2*AD222/AM222-$H$27/AN222)</f>
        <v>0.198812070380318</v>
      </c>
      <c r="CF222" s="60" t="n">
        <f aca="false">$I$27/AN222*(BY222-1)-CA222-BZ222*(2*AE222/AM222-$I$27/AN222)</f>
        <v>0.198812070380318</v>
      </c>
      <c r="CG222" s="60" t="n">
        <f aca="false">$J$27/AN222*(BY222-1)-CA222-BZ222*(2*AF222/AM222-$J$27/AN222)</f>
        <v>0.198812070380318</v>
      </c>
      <c r="CH222" s="60" t="n">
        <f aca="false">$K$27/AN222*(BY222-1)-CA222-BZ222*(2*AG222/AM222-$K$27/AN222)</f>
        <v>0.198812070380318</v>
      </c>
      <c r="CI222" s="60" t="n">
        <f aca="false">$L$27/AN222*(BY222-1)-CA222-BZ222*(2*AH222/AM222-$L$27/AN222)</f>
        <v>0.198812070380318</v>
      </c>
      <c r="CJ222" s="60" t="n">
        <f aca="false">$M$27/AN222*(BY222-1)-CA222-BZ222*(2*AI222/AM222-$M$27/AN222)</f>
        <v>0.198812070380318</v>
      </c>
      <c r="CK222" s="60" t="n">
        <f aca="false">$N$27/AN222*(BY222-1)-CA222-BZ222*(2*AJ222/AM222-$N$27/AN222)</f>
        <v>0.198812070380318</v>
      </c>
      <c r="CL222" s="60" t="n">
        <f aca="false">$O$27/AN222*(BY222-1)-CA222-BZ222*(2*AK222/AM222-$O$27/AN222)</f>
        <v>0.198812070380318</v>
      </c>
      <c r="CM222" s="60" t="n">
        <f aca="false">$P$27/AN222*(BY222-1)-CA222-BZ222*(2*AL222/AM222-$P$27/AN222)</f>
        <v>0.198812070380318</v>
      </c>
      <c r="CN222" s="60" t="n">
        <f aca="false">AP222/BY222&gt;$C$22</f>
        <v>0</v>
      </c>
      <c r="CO222" s="60" t="n">
        <f aca="false">1-N222+SUMPRODUCT(B222:M222,CB222:CM222)-SUMPRODUCT(B222:M222,CB221:CM221)</f>
        <v>0</v>
      </c>
      <c r="CP222" s="60" t="n">
        <f aca="false">SUMXMY2(O222:Z222,$E$13:$P$13)</f>
        <v>0</v>
      </c>
    </row>
    <row r="223" customFormat="false" ht="15" hidden="false" customHeight="false" outlineLevel="0" collapsed="false">
      <c r="A223" s="59" t="n">
        <v>14</v>
      </c>
      <c r="B223" s="60" t="n">
        <f aca="false">$E$13*EXP(MAX(-700,MIN(700,$E$86-CB222)))</f>
        <v>1</v>
      </c>
      <c r="C223" s="60" t="n">
        <f aca="false">$F$13*EXP(MAX(-700,MIN(700,$F$86-CC222)))</f>
        <v>0</v>
      </c>
      <c r="D223" s="60" t="n">
        <f aca="false">$G$13*EXP(MAX(-700,MIN(700,$G$86-CD222)))</f>
        <v>0</v>
      </c>
      <c r="E223" s="60" t="n">
        <f aca="false">$H$13*EXP(MAX(-700,MIN(700,$H$86-CE222)))</f>
        <v>0</v>
      </c>
      <c r="F223" s="60" t="n">
        <f aca="false">$I$13*EXP(MAX(-700,MIN(700,$I$86-CF222)))</f>
        <v>0</v>
      </c>
      <c r="G223" s="60" t="n">
        <f aca="false">$J$13*EXP(MAX(-700,MIN(700,$J$86-CG222)))</f>
        <v>0</v>
      </c>
      <c r="H223" s="60" t="n">
        <f aca="false">$K$13*EXP(MAX(-700,MIN(700,$K$86-CH222)))</f>
        <v>0</v>
      </c>
      <c r="I223" s="60" t="n">
        <f aca="false">$L$13*EXP(MAX(-700,MIN(700,$L$86-CI222)))</f>
        <v>0</v>
      </c>
      <c r="J223" s="60" t="n">
        <f aca="false">$M$13*EXP(MAX(-700,MIN(700,$M$86-CJ222)))</f>
        <v>0</v>
      </c>
      <c r="K223" s="60" t="n">
        <f aca="false">$N$13*EXP(MAX(-700,MIN(700,$N$86-CK222)))</f>
        <v>0</v>
      </c>
      <c r="L223" s="60" t="n">
        <f aca="false">$O$13*EXP(MAX(-700,MIN(700,$O$86-CL222)))</f>
        <v>0</v>
      </c>
      <c r="M223" s="60" t="n">
        <f aca="false">$P$13*EXP(MAX(-700,MIN(700,$P$86-CM222)))</f>
        <v>0</v>
      </c>
      <c r="N223" s="60" t="n">
        <f aca="false">SUM(B223:M223)</f>
        <v>1</v>
      </c>
      <c r="O223" s="60" t="n">
        <f aca="false">B223/N223</f>
        <v>1</v>
      </c>
      <c r="P223" s="60" t="n">
        <f aca="false">C223/N223</f>
        <v>0</v>
      </c>
      <c r="Q223" s="60" t="n">
        <f aca="false">D223/N223</f>
        <v>0</v>
      </c>
      <c r="R223" s="60" t="n">
        <f aca="false">E223/N223</f>
        <v>0</v>
      </c>
      <c r="S223" s="60" t="n">
        <f aca="false">F223/N223</f>
        <v>0</v>
      </c>
      <c r="T223" s="60" t="n">
        <f aca="false">G223/N223</f>
        <v>0</v>
      </c>
      <c r="U223" s="60" t="n">
        <f aca="false">H223/N223</f>
        <v>0</v>
      </c>
      <c r="V223" s="60" t="n">
        <f aca="false">I223/N223</f>
        <v>0</v>
      </c>
      <c r="W223" s="60" t="n">
        <f aca="false">J223/N223</f>
        <v>0</v>
      </c>
      <c r="X223" s="60" t="n">
        <f aca="false">K223/N223</f>
        <v>0</v>
      </c>
      <c r="Y223" s="60" t="n">
        <f aca="false">L223/N223</f>
        <v>0</v>
      </c>
      <c r="Z223" s="60" t="n">
        <f aca="false">M223/N223</f>
        <v>0</v>
      </c>
      <c r="AA223" s="60" t="n">
        <f aca="false">$E$28*SUMPRODUCT($E$31:$P$31,O223:Z223,$E$28:$P$28)</f>
        <v>0.184416866619846</v>
      </c>
      <c r="AB223" s="60" t="n">
        <f aca="false">$F$28*SUMPRODUCT($E$32:$P$32,O223:Z223,$E$28:$P$28)</f>
        <v>0</v>
      </c>
      <c r="AC223" s="60" t="n">
        <f aca="false">$G$28*SUMPRODUCT($E$33:$P$33,O223:Z223,$E$28:$P$28)</f>
        <v>0</v>
      </c>
      <c r="AD223" s="60" t="n">
        <f aca="false">$H$28*SUMPRODUCT($E$34:$P$34,O223:Z223,$E$28:$P$28)</f>
        <v>0</v>
      </c>
      <c r="AE223" s="60" t="n">
        <f aca="false">$I$28*SUMPRODUCT($E$35:$P$35,O223:Z223,$E$28:$P$28)</f>
        <v>0</v>
      </c>
      <c r="AF223" s="60" t="n">
        <f aca="false">$J$28*SUMPRODUCT($E$36:$P$36,O223:Z223,$E$28:$P$28)</f>
        <v>0</v>
      </c>
      <c r="AG223" s="60" t="n">
        <f aca="false">$K$28*SUMPRODUCT($E$37:$P$37,O223:Z223,$E$28:$P$28)</f>
        <v>0</v>
      </c>
      <c r="AH223" s="60" t="n">
        <f aca="false">$L$28*SUMPRODUCT($E$38:$P$38,O223:Z223,$E$28:$P$28)</f>
        <v>0</v>
      </c>
      <c r="AI223" s="60" t="n">
        <f aca="false">$M$28*SUMPRODUCT($E$39:$P$39,O223:Z223,$E$28:$P$28)</f>
        <v>0</v>
      </c>
      <c r="AJ223" s="60" t="n">
        <f aca="false">$N$28*SUMPRODUCT($E$40:$P$40,O223:Z223,$E$28:$P$28)</f>
        <v>0</v>
      </c>
      <c r="AK223" s="60" t="n">
        <f aca="false">$O$28*SUMPRODUCT($E$41:$P$41,O223:Z223,$E$28:$P$28)</f>
        <v>0</v>
      </c>
      <c r="AL223" s="60" t="n">
        <f aca="false">$P$28*SUMPRODUCT($E$42:$P$42,O223:Z223,$E$28:$P$28)</f>
        <v>0</v>
      </c>
      <c r="AM223" s="60" t="n">
        <f aca="false">SUMPRODUCT(O223:Z223,AA223:AL223)</f>
        <v>0.184416866619846</v>
      </c>
      <c r="AN223" s="60" t="n">
        <f aca="false">SUMPRODUCT(O223:Z223,$E$27:$P$27)</f>
        <v>2.67389635063809E-005</v>
      </c>
      <c r="AO223" s="60" t="n">
        <f aca="false">AM223*$C$9/($C$10*$C$8)^2</f>
        <v>0.21776909410545</v>
      </c>
      <c r="AP223" s="60" t="n">
        <f aca="false">AN223*$C$9/($C$10*$C$8)</f>
        <v>0.0918845243259994</v>
      </c>
      <c r="AQ223" s="60" t="n">
        <f aca="false">CHOOSE($C$7,-(1+AP223),-1,-(1-AP223))</f>
        <v>-0.908115475674001</v>
      </c>
      <c r="AR223" s="60" t="n">
        <f aca="false">CHOOSE($C$7,AO223,AO223-AP223-AP223^2,AO223-3*AP223^2-2*AP223)</f>
        <v>0.00867174802160559</v>
      </c>
      <c r="AS223" s="60" t="n">
        <f aca="false">CHOOSE($C$7,-AO223*AP223,-AO223*AP223,-(AO223*AP223-AP223^2-AP223^3))</f>
        <v>-0.0107910842936637</v>
      </c>
      <c r="AT223" s="60" t="n">
        <f aca="false">AR223-AQ223^2/3</f>
        <v>-0.266219491031267</v>
      </c>
      <c r="AU223" s="60" t="n">
        <f aca="false">2*AQ223^3/27-AQ223*AR223/3+AS223</f>
        <v>-0.0636400988362784</v>
      </c>
      <c r="AV223" s="60" t="n">
        <f aca="false">AU223^2/4+AT223^3/27</f>
        <v>0.000313710901361829</v>
      </c>
      <c r="AW223" s="60" t="n">
        <f aca="false">-AU223/2-IF(AU223&gt;=0,1,-1)*SQRT(MAX(AV223,0))</f>
        <v>0.0495319352963236</v>
      </c>
      <c r="AX223" s="60" t="n">
        <f aca="false">SIGN(AW223)*ABS(AW223)^(1/3)</f>
        <v>0.367249967174439</v>
      </c>
      <c r="AY223" s="60" t="n">
        <f aca="false">IF(AX223=0,0,AX223-AT223/(3*AX223))</f>
        <v>0.60888329127384</v>
      </c>
      <c r="AZ223" s="60" t="n">
        <f aca="false">2*SQRT(MAX(-AT223,0)/3)</f>
        <v>0.595784626668918</v>
      </c>
      <c r="BA223" s="60" t="n">
        <f aca="false">ACOS(IF(AZ223=0,0,MAX(-1,MIN(1,3*AU223/(AT223*AZ223)))))</f>
        <v>0</v>
      </c>
      <c r="BB223" s="60" t="n">
        <f aca="false">AZ223*COS(BA223/3)</f>
        <v>0.595784626668918</v>
      </c>
      <c r="BC223" s="60" t="n">
        <f aca="false">IF(AV223&lt;0,BB223,AY223)-AQ223/3</f>
        <v>0.91158844983184</v>
      </c>
      <c r="BD223" s="60" t="n">
        <f aca="false">IFERROR((((BC223+AQ223)*BC223+AR223)*BC223+AS223)/((3*BC223+2*AQ223)*BC223+AR223),0)</f>
        <v>0</v>
      </c>
      <c r="BE223" s="60" t="n">
        <f aca="false">IF(ABS(BD223)&lt;0.1*ABS(BC223),BC223-BD223,BC223)</f>
        <v>0.91158844983184</v>
      </c>
      <c r="BF223" s="60" t="n">
        <f aca="false">IFERROR((((BE223+AQ223)*BE223+AR223)*BE223+AS223)/((3*BE223+2*AQ223)*BE223+AR223),0)</f>
        <v>0</v>
      </c>
      <c r="BG223" s="60" t="n">
        <f aca="false">IF(ABS(BF223)&lt;0.1*ABS(BE223),BE223-BF223,BE223)</f>
        <v>0.91158844983184</v>
      </c>
      <c r="BH223" s="60" t="n">
        <f aca="false">-AS223/BG223</f>
        <v>0.0118376711504565</v>
      </c>
      <c r="BI223" s="60" t="n">
        <f aca="false">(AR223-BH223)/BG223</f>
        <v>-0.00347297415783941</v>
      </c>
      <c r="BJ223" s="60" t="n">
        <f aca="false">BI223^2-4*BH223</f>
        <v>-0.0473386230523248</v>
      </c>
      <c r="BK223" s="60" t="n">
        <f aca="false">IF(BJ223&gt;=0,(BI223+IF(BI223&gt;=0,1,-1)*SQRT(BJ223))/2,0)</f>
        <v>0</v>
      </c>
      <c r="BL223" s="60" t="n">
        <f aca="false">IF(AND(BJ223&gt;=0,BK223&lt;&gt;0),MIN(BK223,BH223/BK223),-1)</f>
        <v>-1</v>
      </c>
      <c r="BM223" s="60" t="n">
        <f aca="false">AND(BJ223&gt;=0,BL223&gt;AP223,ABS(BG223-BL223)&gt;=0.00005*MAX(BG223,BL223))</f>
        <v>0</v>
      </c>
      <c r="BN223" s="60" t="n">
        <f aca="false">IF(BM223,IFERROR((((BL223+AQ223)*BL223+AR223)*BL223+AS223)/((3*BL223+2*AQ223)*BL223+AR223),0),0)</f>
        <v>0</v>
      </c>
      <c r="BO223" s="60" t="n">
        <f aca="false">IF(ABS(BN223)&lt;0.1*ABS(BL223),BL223-BN223,BL223)</f>
        <v>-1</v>
      </c>
      <c r="BP223" s="60" t="n">
        <f aca="false">IF(BM223,IFERROR((((BO223+AQ223)*BO223+AR223)*BO223+AS223)/((3*BO223+2*AQ223)*BO223+AR223),0),0)</f>
        <v>0</v>
      </c>
      <c r="BQ223" s="60" t="n">
        <f aca="false">IF(ABS(BP223)&lt;0.1*ABS(BO223),BO223-BP223,BO223)</f>
        <v>-1</v>
      </c>
      <c r="BR223" s="60" t="n">
        <f aca="false">IF(BM223,MAX(BG223,BQ223),BG223)</f>
        <v>0.91158844983184</v>
      </c>
      <c r="BS223" s="60" t="n">
        <f aca="false">IF(BM223,MIN(BG223,BQ223),-1)</f>
        <v>-1</v>
      </c>
      <c r="BT223" s="60" t="n">
        <f aca="false">CHOOSE($C$7,AO223/BR223,AO223/AP223*LN(1+AP223/BR223),AO223/(2*SQRT(2)*AP223)*LN((BR223+(1+SQRT(2))*AP223)/(BR223+(1-SQRT(2))*AP223)))</f>
        <v>0.218240791233887</v>
      </c>
      <c r="BU223" s="60" t="n">
        <f aca="false">BR223-1-LN(BR223-AP223)-BT223</f>
        <v>-0.107840271021729</v>
      </c>
      <c r="BV223" s="60" t="n">
        <f aca="false">IF(BM223,CHOOSE($C$7,AO223/BS223,AO223/AP223*LN(1+AP223/BS223),AO223/(2*SQRT(2)*AP223)*LN((BS223+(1+SQRT(2))*AP223)/(BS223+(1-SQRT(2))*AP223))),0)</f>
        <v>0</v>
      </c>
      <c r="BW223" s="60" t="n">
        <f aca="false">IF(BM223,BS223-1-LN(BS223-AP223)-BV223,0)</f>
        <v>0</v>
      </c>
      <c r="BX223" s="60" t="n">
        <f aca="false">AND(BM223,BW223&lt;BU223)</f>
        <v>0</v>
      </c>
      <c r="BY223" s="60" t="n">
        <f aca="false">IF(BX223,BS223,BR223)</f>
        <v>0.91158844983184</v>
      </c>
      <c r="BZ223" s="60" t="n">
        <f aca="false">IF(BX223,BV223,BT223)</f>
        <v>0.218240791233887</v>
      </c>
      <c r="CA223" s="60" t="n">
        <f aca="false">LN(BY223-AP223)</f>
        <v>-0.198812070380318</v>
      </c>
      <c r="CB223" s="60" t="n">
        <f aca="false">$E$27/AN223*(BY223-1)-CA223-BZ223*(2*AA223/AM223-$E$27/AN223)</f>
        <v>-0.107840271021729</v>
      </c>
      <c r="CC223" s="60" t="n">
        <f aca="false">$F$27/AN223*(BY223-1)-CA223-BZ223*(2*AB223/AM223-$F$27/AN223)</f>
        <v>0.198812070380318</v>
      </c>
      <c r="CD223" s="60" t="n">
        <f aca="false">$G$27/AN223*(BY223-1)-CA223-BZ223*(2*AC223/AM223-$G$27/AN223)</f>
        <v>0.198812070380318</v>
      </c>
      <c r="CE223" s="60" t="n">
        <f aca="false">$H$27/AN223*(BY223-1)-CA223-BZ223*(2*AD223/AM223-$H$27/AN223)</f>
        <v>0.198812070380318</v>
      </c>
      <c r="CF223" s="60" t="n">
        <f aca="false">$I$27/AN223*(BY223-1)-CA223-BZ223*(2*AE223/AM223-$I$27/AN223)</f>
        <v>0.198812070380318</v>
      </c>
      <c r="CG223" s="60" t="n">
        <f aca="false">$J$27/AN223*(BY223-1)-CA223-BZ223*(2*AF223/AM223-$J$27/AN223)</f>
        <v>0.198812070380318</v>
      </c>
      <c r="CH223" s="60" t="n">
        <f aca="false">$K$27/AN223*(BY223-1)-CA223-BZ223*(2*AG223/AM223-$K$27/AN223)</f>
        <v>0.198812070380318</v>
      </c>
      <c r="CI223" s="60" t="n">
        <f aca="false">$L$27/AN223*(BY223-1)-CA223-BZ223*(2*AH223/AM223-$L$27/AN223)</f>
        <v>0.198812070380318</v>
      </c>
      <c r="CJ223" s="60" t="n">
        <f aca="false">$M$27/AN223*(BY223-1)-CA223-BZ223*(2*AI223/AM223-$M$27/AN223)</f>
        <v>0.198812070380318</v>
      </c>
      <c r="CK223" s="60" t="n">
        <f aca="false">$N$27/AN223*(BY223-1)-CA223-BZ223*(2*AJ223/AM223-$N$27/AN223)</f>
        <v>0.198812070380318</v>
      </c>
      <c r="CL223" s="60" t="n">
        <f aca="false">$O$27/AN223*(BY223-1)-CA223-BZ223*(2*AK223/AM223-$O$27/AN223)</f>
        <v>0.198812070380318</v>
      </c>
      <c r="CM223" s="60" t="n">
        <f aca="false">$P$27/AN223*(BY223-1)-CA223-BZ223*(2*AL223/AM223-$P$27/AN223)</f>
        <v>0.198812070380318</v>
      </c>
      <c r="CN223" s="60" t="n">
        <f aca="false">AP223/BY223&gt;$C$22</f>
        <v>0</v>
      </c>
      <c r="CO223" s="60" t="n">
        <f aca="false">1-N223+SUMPRODUCT(B223:M223,CB223:CM223)-SUMPRODUCT(B223:M223,CB222:CM222)</f>
        <v>0</v>
      </c>
      <c r="CP223" s="60" t="n">
        <f aca="false">SUMXMY2(O223:Z223,$E$13:$P$13)</f>
        <v>0</v>
      </c>
    </row>
    <row r="224" customFormat="false" ht="15" hidden="false" customHeight="false" outlineLevel="0" collapsed="false">
      <c r="A224" s="59" t="n">
        <v>15</v>
      </c>
      <c r="B224" s="60" t="n">
        <f aca="false">$E$13*EXP(MAX(-700,MIN(700,$E$86-CB223)))</f>
        <v>1</v>
      </c>
      <c r="C224" s="60" t="n">
        <f aca="false">$F$13*EXP(MAX(-700,MIN(700,$F$86-CC223)))</f>
        <v>0</v>
      </c>
      <c r="D224" s="60" t="n">
        <f aca="false">$G$13*EXP(MAX(-700,MIN(700,$G$86-CD223)))</f>
        <v>0</v>
      </c>
      <c r="E224" s="60" t="n">
        <f aca="false">$H$13*EXP(MAX(-700,MIN(700,$H$86-CE223)))</f>
        <v>0</v>
      </c>
      <c r="F224" s="60" t="n">
        <f aca="false">$I$13*EXP(MAX(-700,MIN(700,$I$86-CF223)))</f>
        <v>0</v>
      </c>
      <c r="G224" s="60" t="n">
        <f aca="false">$J$13*EXP(MAX(-700,MIN(700,$J$86-CG223)))</f>
        <v>0</v>
      </c>
      <c r="H224" s="60" t="n">
        <f aca="false">$K$13*EXP(MAX(-700,MIN(700,$K$86-CH223)))</f>
        <v>0</v>
      </c>
      <c r="I224" s="60" t="n">
        <f aca="false">$L$13*EXP(MAX(-700,MIN(700,$L$86-CI223)))</f>
        <v>0</v>
      </c>
      <c r="J224" s="60" t="n">
        <f aca="false">$M$13*EXP(MAX(-700,MIN(700,$M$86-CJ223)))</f>
        <v>0</v>
      </c>
      <c r="K224" s="60" t="n">
        <f aca="false">$N$13*EXP(MAX(-700,MIN(700,$N$86-CK223)))</f>
        <v>0</v>
      </c>
      <c r="L224" s="60" t="n">
        <f aca="false">$O$13*EXP(MAX(-700,MIN(700,$O$86-CL223)))</f>
        <v>0</v>
      </c>
      <c r="M224" s="60" t="n">
        <f aca="false">$P$13*EXP(MAX(-700,MIN(700,$P$86-CM223)))</f>
        <v>0</v>
      </c>
      <c r="N224" s="60" t="n">
        <f aca="false">SUM(B224:M224)</f>
        <v>1</v>
      </c>
      <c r="O224" s="60" t="n">
        <f aca="false">B224/N224</f>
        <v>1</v>
      </c>
      <c r="P224" s="60" t="n">
        <f aca="false">C224/N224</f>
        <v>0</v>
      </c>
      <c r="Q224" s="60" t="n">
        <f aca="false">D224/N224</f>
        <v>0</v>
      </c>
      <c r="R224" s="60" t="n">
        <f aca="false">E224/N224</f>
        <v>0</v>
      </c>
      <c r="S224" s="60" t="n">
        <f aca="false">F224/N224</f>
        <v>0</v>
      </c>
      <c r="T224" s="60" t="n">
        <f aca="false">G224/N224</f>
        <v>0</v>
      </c>
      <c r="U224" s="60" t="n">
        <f aca="false">H224/N224</f>
        <v>0</v>
      </c>
      <c r="V224" s="60" t="n">
        <f aca="false">I224/N224</f>
        <v>0</v>
      </c>
      <c r="W224" s="60" t="n">
        <f aca="false">J224/N224</f>
        <v>0</v>
      </c>
      <c r="X224" s="60" t="n">
        <f aca="false">K224/N224</f>
        <v>0</v>
      </c>
      <c r="Y224" s="60" t="n">
        <f aca="false">L224/N224</f>
        <v>0</v>
      </c>
      <c r="Z224" s="60" t="n">
        <f aca="false">M224/N224</f>
        <v>0</v>
      </c>
      <c r="AA224" s="60" t="n">
        <f aca="false">$E$28*SUMPRODUCT($E$31:$P$31,O224:Z224,$E$28:$P$28)</f>
        <v>0.184416866619846</v>
      </c>
      <c r="AB224" s="60" t="n">
        <f aca="false">$F$28*SUMPRODUCT($E$32:$P$32,O224:Z224,$E$28:$P$28)</f>
        <v>0</v>
      </c>
      <c r="AC224" s="60" t="n">
        <f aca="false">$G$28*SUMPRODUCT($E$33:$P$33,O224:Z224,$E$28:$P$28)</f>
        <v>0</v>
      </c>
      <c r="AD224" s="60" t="n">
        <f aca="false">$H$28*SUMPRODUCT($E$34:$P$34,O224:Z224,$E$28:$P$28)</f>
        <v>0</v>
      </c>
      <c r="AE224" s="60" t="n">
        <f aca="false">$I$28*SUMPRODUCT($E$35:$P$35,O224:Z224,$E$28:$P$28)</f>
        <v>0</v>
      </c>
      <c r="AF224" s="60" t="n">
        <f aca="false">$J$28*SUMPRODUCT($E$36:$P$36,O224:Z224,$E$28:$P$28)</f>
        <v>0</v>
      </c>
      <c r="AG224" s="60" t="n">
        <f aca="false">$K$28*SUMPRODUCT($E$37:$P$37,O224:Z224,$E$28:$P$28)</f>
        <v>0</v>
      </c>
      <c r="AH224" s="60" t="n">
        <f aca="false">$L$28*SUMPRODUCT($E$38:$P$38,O224:Z224,$E$28:$P$28)</f>
        <v>0</v>
      </c>
      <c r="AI224" s="60" t="n">
        <f aca="false">$M$28*SUMPRODUCT($E$39:$P$39,O224:Z224,$E$28:$P$28)</f>
        <v>0</v>
      </c>
      <c r="AJ224" s="60" t="n">
        <f aca="false">$N$28*SUMPRODUCT($E$40:$P$40,O224:Z224,$E$28:$P$28)</f>
        <v>0</v>
      </c>
      <c r="AK224" s="60" t="n">
        <f aca="false">$O$28*SUMPRODUCT($E$41:$P$41,O224:Z224,$E$28:$P$28)</f>
        <v>0</v>
      </c>
      <c r="AL224" s="60" t="n">
        <f aca="false">$P$28*SUMPRODUCT($E$42:$P$42,O224:Z224,$E$28:$P$28)</f>
        <v>0</v>
      </c>
      <c r="AM224" s="60" t="n">
        <f aca="false">SUMPRODUCT(O224:Z224,AA224:AL224)</f>
        <v>0.184416866619846</v>
      </c>
      <c r="AN224" s="60" t="n">
        <f aca="false">SUMPRODUCT(O224:Z224,$E$27:$P$27)</f>
        <v>2.67389635063809E-005</v>
      </c>
      <c r="AO224" s="60" t="n">
        <f aca="false">AM224*$C$9/($C$10*$C$8)^2</f>
        <v>0.21776909410545</v>
      </c>
      <c r="AP224" s="60" t="n">
        <f aca="false">AN224*$C$9/($C$10*$C$8)</f>
        <v>0.0918845243259994</v>
      </c>
      <c r="AQ224" s="60" t="n">
        <f aca="false">CHOOSE($C$7,-(1+AP224),-1,-(1-AP224))</f>
        <v>-0.908115475674001</v>
      </c>
      <c r="AR224" s="60" t="n">
        <f aca="false">CHOOSE($C$7,AO224,AO224-AP224-AP224^2,AO224-3*AP224^2-2*AP224)</f>
        <v>0.00867174802160559</v>
      </c>
      <c r="AS224" s="60" t="n">
        <f aca="false">CHOOSE($C$7,-AO224*AP224,-AO224*AP224,-(AO224*AP224-AP224^2-AP224^3))</f>
        <v>-0.0107910842936637</v>
      </c>
      <c r="AT224" s="60" t="n">
        <f aca="false">AR224-AQ224^2/3</f>
        <v>-0.266219491031267</v>
      </c>
      <c r="AU224" s="60" t="n">
        <f aca="false">2*AQ224^3/27-AQ224*AR224/3+AS224</f>
        <v>-0.0636400988362784</v>
      </c>
      <c r="AV224" s="60" t="n">
        <f aca="false">AU224^2/4+AT224^3/27</f>
        <v>0.000313710901361829</v>
      </c>
      <c r="AW224" s="60" t="n">
        <f aca="false">-AU224/2-IF(AU224&gt;=0,1,-1)*SQRT(MAX(AV224,0))</f>
        <v>0.0495319352963236</v>
      </c>
      <c r="AX224" s="60" t="n">
        <f aca="false">SIGN(AW224)*ABS(AW224)^(1/3)</f>
        <v>0.367249967174439</v>
      </c>
      <c r="AY224" s="60" t="n">
        <f aca="false">IF(AX224=0,0,AX224-AT224/(3*AX224))</f>
        <v>0.60888329127384</v>
      </c>
      <c r="AZ224" s="60" t="n">
        <f aca="false">2*SQRT(MAX(-AT224,0)/3)</f>
        <v>0.595784626668918</v>
      </c>
      <c r="BA224" s="60" t="n">
        <f aca="false">ACOS(IF(AZ224=0,0,MAX(-1,MIN(1,3*AU224/(AT224*AZ224)))))</f>
        <v>0</v>
      </c>
      <c r="BB224" s="60" t="n">
        <f aca="false">AZ224*COS(BA224/3)</f>
        <v>0.595784626668918</v>
      </c>
      <c r="BC224" s="60" t="n">
        <f aca="false">IF(AV224&lt;0,BB224,AY224)-AQ224/3</f>
        <v>0.91158844983184</v>
      </c>
      <c r="BD224" s="60" t="n">
        <f aca="false">IFERROR((((BC224+AQ224)*BC224+AR224)*BC224+AS224)/((3*BC224+2*AQ224)*BC224+AR224),0)</f>
        <v>0</v>
      </c>
      <c r="BE224" s="60" t="n">
        <f aca="false">IF(ABS(BD224)&lt;0.1*ABS(BC224),BC224-BD224,BC224)</f>
        <v>0.91158844983184</v>
      </c>
      <c r="BF224" s="60" t="n">
        <f aca="false">IFERROR((((BE224+AQ224)*BE224+AR224)*BE224+AS224)/((3*BE224+2*AQ224)*BE224+AR224),0)</f>
        <v>0</v>
      </c>
      <c r="BG224" s="60" t="n">
        <f aca="false">IF(ABS(BF224)&lt;0.1*ABS(BE224),BE224-BF224,BE224)</f>
        <v>0.91158844983184</v>
      </c>
      <c r="BH224" s="60" t="n">
        <f aca="false">-AS224/BG224</f>
        <v>0.0118376711504565</v>
      </c>
      <c r="BI224" s="60" t="n">
        <f aca="false">(AR224-BH224)/BG224</f>
        <v>-0.00347297415783941</v>
      </c>
      <c r="BJ224" s="60" t="n">
        <f aca="false">BI224^2-4*BH224</f>
        <v>-0.0473386230523248</v>
      </c>
      <c r="BK224" s="60" t="n">
        <f aca="false">IF(BJ224&gt;=0,(BI224+IF(BI224&gt;=0,1,-1)*SQRT(BJ224))/2,0)</f>
        <v>0</v>
      </c>
      <c r="BL224" s="60" t="n">
        <f aca="false">IF(AND(BJ224&gt;=0,BK224&lt;&gt;0),MIN(BK224,BH224/BK224),-1)</f>
        <v>-1</v>
      </c>
      <c r="BM224" s="60" t="n">
        <f aca="false">AND(BJ224&gt;=0,BL224&gt;AP224,ABS(BG224-BL224)&gt;=0.00005*MAX(BG224,BL224))</f>
        <v>0</v>
      </c>
      <c r="BN224" s="60" t="n">
        <f aca="false">IF(BM224,IFERROR((((BL224+AQ224)*BL224+AR224)*BL224+AS224)/((3*BL224+2*AQ224)*BL224+AR224),0),0)</f>
        <v>0</v>
      </c>
      <c r="BO224" s="60" t="n">
        <f aca="false">IF(ABS(BN224)&lt;0.1*ABS(BL224),BL224-BN224,BL224)</f>
        <v>-1</v>
      </c>
      <c r="BP224" s="60" t="n">
        <f aca="false">IF(BM224,IFERROR((((BO224+AQ224)*BO224+AR224)*BO224+AS224)/((3*BO224+2*AQ224)*BO224+AR224),0),0)</f>
        <v>0</v>
      </c>
      <c r="BQ224" s="60" t="n">
        <f aca="false">IF(ABS(BP224)&lt;0.1*ABS(BO224),BO224-BP224,BO224)</f>
        <v>-1</v>
      </c>
      <c r="BR224" s="60" t="n">
        <f aca="false">IF(BM224,MAX(BG224,BQ224),BG224)</f>
        <v>0.91158844983184</v>
      </c>
      <c r="BS224" s="60" t="n">
        <f aca="false">IF(BM224,MIN(BG224,BQ224),-1)</f>
        <v>-1</v>
      </c>
      <c r="BT224" s="60" t="n">
        <f aca="false">CHOOSE($C$7,AO224/BR224,AO224/AP224*LN(1+AP224/BR224),AO224/(2*SQRT(2)*AP224)*LN((BR224+(1+SQRT(2))*AP224)/(BR224+(1-SQRT(2))*AP224)))</f>
        <v>0.218240791233887</v>
      </c>
      <c r="BU224" s="60" t="n">
        <f aca="false">BR224-1-LN(BR224-AP224)-BT224</f>
        <v>-0.107840271021729</v>
      </c>
      <c r="BV224" s="60" t="n">
        <f aca="false">IF(BM224,CHOOSE($C$7,AO224/BS224,AO224/AP224*LN(1+AP224/BS224),AO224/(2*SQRT(2)*AP224)*LN((BS224+(1+SQRT(2))*AP224)/(BS224+(1-SQRT(2))*AP224))),0)</f>
        <v>0</v>
      </c>
      <c r="BW224" s="60" t="n">
        <f aca="false">IF(BM224,BS224-1-LN(BS224-AP224)-BV224,0)</f>
        <v>0</v>
      </c>
      <c r="BX224" s="60" t="n">
        <f aca="false">AND(BM224,BW224&lt;BU224)</f>
        <v>0</v>
      </c>
      <c r="BY224" s="60" t="n">
        <f aca="false">IF(BX224,BS224,BR224)</f>
        <v>0.91158844983184</v>
      </c>
      <c r="BZ224" s="60" t="n">
        <f aca="false">IF(BX224,BV224,BT224)</f>
        <v>0.218240791233887</v>
      </c>
      <c r="CA224" s="60" t="n">
        <f aca="false">LN(BY224-AP224)</f>
        <v>-0.198812070380318</v>
      </c>
      <c r="CB224" s="60" t="n">
        <f aca="false">$E$27/AN224*(BY224-1)-CA224-BZ224*(2*AA224/AM224-$E$27/AN224)</f>
        <v>-0.107840271021729</v>
      </c>
      <c r="CC224" s="60" t="n">
        <f aca="false">$F$27/AN224*(BY224-1)-CA224-BZ224*(2*AB224/AM224-$F$27/AN224)</f>
        <v>0.198812070380318</v>
      </c>
      <c r="CD224" s="60" t="n">
        <f aca="false">$G$27/AN224*(BY224-1)-CA224-BZ224*(2*AC224/AM224-$G$27/AN224)</f>
        <v>0.198812070380318</v>
      </c>
      <c r="CE224" s="60" t="n">
        <f aca="false">$H$27/AN224*(BY224-1)-CA224-BZ224*(2*AD224/AM224-$H$27/AN224)</f>
        <v>0.198812070380318</v>
      </c>
      <c r="CF224" s="60" t="n">
        <f aca="false">$I$27/AN224*(BY224-1)-CA224-BZ224*(2*AE224/AM224-$I$27/AN224)</f>
        <v>0.198812070380318</v>
      </c>
      <c r="CG224" s="60" t="n">
        <f aca="false">$J$27/AN224*(BY224-1)-CA224-BZ224*(2*AF224/AM224-$J$27/AN224)</f>
        <v>0.198812070380318</v>
      </c>
      <c r="CH224" s="60" t="n">
        <f aca="false">$K$27/AN224*(BY224-1)-CA224-BZ224*(2*AG224/AM224-$K$27/AN224)</f>
        <v>0.198812070380318</v>
      </c>
      <c r="CI224" s="60" t="n">
        <f aca="false">$L$27/AN224*(BY224-1)-CA224-BZ224*(2*AH224/AM224-$L$27/AN224)</f>
        <v>0.198812070380318</v>
      </c>
      <c r="CJ224" s="60" t="n">
        <f aca="false">$M$27/AN224*(BY224-1)-CA224-BZ224*(2*AI224/AM224-$M$27/AN224)</f>
        <v>0.198812070380318</v>
      </c>
      <c r="CK224" s="60" t="n">
        <f aca="false">$N$27/AN224*(BY224-1)-CA224-BZ224*(2*AJ224/AM224-$N$27/AN224)</f>
        <v>0.198812070380318</v>
      </c>
      <c r="CL224" s="60" t="n">
        <f aca="false">$O$27/AN224*(BY224-1)-CA224-BZ224*(2*AK224/AM224-$O$27/AN224)</f>
        <v>0.198812070380318</v>
      </c>
      <c r="CM224" s="60" t="n">
        <f aca="false">$P$27/AN224*(BY224-1)-CA224-BZ224*(2*AL224/AM224-$P$27/AN224)</f>
        <v>0.198812070380318</v>
      </c>
      <c r="CN224" s="60" t="n">
        <f aca="false">AP224/BY224&gt;$C$22</f>
        <v>0</v>
      </c>
      <c r="CO224" s="60" t="n">
        <f aca="false">1-N224+SUMPRODUCT(B224:M224,CB224:CM224)-SUMPRODUCT(B224:M224,CB223:CM223)</f>
        <v>0</v>
      </c>
      <c r="CP224" s="60" t="n">
        <f aca="false">SUMXMY2(O224:Z224,$E$13:$P$13)</f>
        <v>0</v>
      </c>
    </row>
    <row r="225" customFormat="false" ht="15" hidden="false" customHeight="false" outlineLevel="0" collapsed="false">
      <c r="A225" s="59" t="n">
        <v>16</v>
      </c>
      <c r="B225" s="60" t="n">
        <f aca="false">$E$13*EXP(MAX(-700,MIN(700,$E$86-CB224)))</f>
        <v>1</v>
      </c>
      <c r="C225" s="60" t="n">
        <f aca="false">$F$13*EXP(MAX(-700,MIN(700,$F$86-CC224)))</f>
        <v>0</v>
      </c>
      <c r="D225" s="60" t="n">
        <f aca="false">$G$13*EXP(MAX(-700,MIN(700,$G$86-CD224)))</f>
        <v>0</v>
      </c>
      <c r="E225" s="60" t="n">
        <f aca="false">$H$13*EXP(MAX(-700,MIN(700,$H$86-CE224)))</f>
        <v>0</v>
      </c>
      <c r="F225" s="60" t="n">
        <f aca="false">$I$13*EXP(MAX(-700,MIN(700,$I$86-CF224)))</f>
        <v>0</v>
      </c>
      <c r="G225" s="60" t="n">
        <f aca="false">$J$13*EXP(MAX(-700,MIN(700,$J$86-CG224)))</f>
        <v>0</v>
      </c>
      <c r="H225" s="60" t="n">
        <f aca="false">$K$13*EXP(MAX(-700,MIN(700,$K$86-CH224)))</f>
        <v>0</v>
      </c>
      <c r="I225" s="60" t="n">
        <f aca="false">$L$13*EXP(MAX(-700,MIN(700,$L$86-CI224)))</f>
        <v>0</v>
      </c>
      <c r="J225" s="60" t="n">
        <f aca="false">$M$13*EXP(MAX(-700,MIN(700,$M$86-CJ224)))</f>
        <v>0</v>
      </c>
      <c r="K225" s="60" t="n">
        <f aca="false">$N$13*EXP(MAX(-700,MIN(700,$N$86-CK224)))</f>
        <v>0</v>
      </c>
      <c r="L225" s="60" t="n">
        <f aca="false">$O$13*EXP(MAX(-700,MIN(700,$O$86-CL224)))</f>
        <v>0</v>
      </c>
      <c r="M225" s="60" t="n">
        <f aca="false">$P$13*EXP(MAX(-700,MIN(700,$P$86-CM224)))</f>
        <v>0</v>
      </c>
      <c r="N225" s="60" t="n">
        <f aca="false">SUM(B225:M225)</f>
        <v>1</v>
      </c>
      <c r="O225" s="60" t="n">
        <f aca="false">B225/N225</f>
        <v>1</v>
      </c>
      <c r="P225" s="60" t="n">
        <f aca="false">C225/N225</f>
        <v>0</v>
      </c>
      <c r="Q225" s="60" t="n">
        <f aca="false">D225/N225</f>
        <v>0</v>
      </c>
      <c r="R225" s="60" t="n">
        <f aca="false">E225/N225</f>
        <v>0</v>
      </c>
      <c r="S225" s="60" t="n">
        <f aca="false">F225/N225</f>
        <v>0</v>
      </c>
      <c r="T225" s="60" t="n">
        <f aca="false">G225/N225</f>
        <v>0</v>
      </c>
      <c r="U225" s="60" t="n">
        <f aca="false">H225/N225</f>
        <v>0</v>
      </c>
      <c r="V225" s="60" t="n">
        <f aca="false">I225/N225</f>
        <v>0</v>
      </c>
      <c r="W225" s="60" t="n">
        <f aca="false">J225/N225</f>
        <v>0</v>
      </c>
      <c r="X225" s="60" t="n">
        <f aca="false">K225/N225</f>
        <v>0</v>
      </c>
      <c r="Y225" s="60" t="n">
        <f aca="false">L225/N225</f>
        <v>0</v>
      </c>
      <c r="Z225" s="60" t="n">
        <f aca="false">M225/N225</f>
        <v>0</v>
      </c>
      <c r="AA225" s="60" t="n">
        <f aca="false">$E$28*SUMPRODUCT($E$31:$P$31,O225:Z225,$E$28:$P$28)</f>
        <v>0.184416866619846</v>
      </c>
      <c r="AB225" s="60" t="n">
        <f aca="false">$F$28*SUMPRODUCT($E$32:$P$32,O225:Z225,$E$28:$P$28)</f>
        <v>0</v>
      </c>
      <c r="AC225" s="60" t="n">
        <f aca="false">$G$28*SUMPRODUCT($E$33:$P$33,O225:Z225,$E$28:$P$28)</f>
        <v>0</v>
      </c>
      <c r="AD225" s="60" t="n">
        <f aca="false">$H$28*SUMPRODUCT($E$34:$P$34,O225:Z225,$E$28:$P$28)</f>
        <v>0</v>
      </c>
      <c r="AE225" s="60" t="n">
        <f aca="false">$I$28*SUMPRODUCT($E$35:$P$35,O225:Z225,$E$28:$P$28)</f>
        <v>0</v>
      </c>
      <c r="AF225" s="60" t="n">
        <f aca="false">$J$28*SUMPRODUCT($E$36:$P$36,O225:Z225,$E$28:$P$28)</f>
        <v>0</v>
      </c>
      <c r="AG225" s="60" t="n">
        <f aca="false">$K$28*SUMPRODUCT($E$37:$P$37,O225:Z225,$E$28:$P$28)</f>
        <v>0</v>
      </c>
      <c r="AH225" s="60" t="n">
        <f aca="false">$L$28*SUMPRODUCT($E$38:$P$38,O225:Z225,$E$28:$P$28)</f>
        <v>0</v>
      </c>
      <c r="AI225" s="60" t="n">
        <f aca="false">$M$28*SUMPRODUCT($E$39:$P$39,O225:Z225,$E$28:$P$28)</f>
        <v>0</v>
      </c>
      <c r="AJ225" s="60" t="n">
        <f aca="false">$N$28*SUMPRODUCT($E$40:$P$40,O225:Z225,$E$28:$P$28)</f>
        <v>0</v>
      </c>
      <c r="AK225" s="60" t="n">
        <f aca="false">$O$28*SUMPRODUCT($E$41:$P$41,O225:Z225,$E$28:$P$28)</f>
        <v>0</v>
      </c>
      <c r="AL225" s="60" t="n">
        <f aca="false">$P$28*SUMPRODUCT($E$42:$P$42,O225:Z225,$E$28:$P$28)</f>
        <v>0</v>
      </c>
      <c r="AM225" s="60" t="n">
        <f aca="false">SUMPRODUCT(O225:Z225,AA225:AL225)</f>
        <v>0.184416866619846</v>
      </c>
      <c r="AN225" s="60" t="n">
        <f aca="false">SUMPRODUCT(O225:Z225,$E$27:$P$27)</f>
        <v>2.67389635063809E-005</v>
      </c>
      <c r="AO225" s="60" t="n">
        <f aca="false">AM225*$C$9/($C$10*$C$8)^2</f>
        <v>0.21776909410545</v>
      </c>
      <c r="AP225" s="60" t="n">
        <f aca="false">AN225*$C$9/($C$10*$C$8)</f>
        <v>0.0918845243259994</v>
      </c>
      <c r="AQ225" s="60" t="n">
        <f aca="false">CHOOSE($C$7,-(1+AP225),-1,-(1-AP225))</f>
        <v>-0.908115475674001</v>
      </c>
      <c r="AR225" s="60" t="n">
        <f aca="false">CHOOSE($C$7,AO225,AO225-AP225-AP225^2,AO225-3*AP225^2-2*AP225)</f>
        <v>0.00867174802160559</v>
      </c>
      <c r="AS225" s="60" t="n">
        <f aca="false">CHOOSE($C$7,-AO225*AP225,-AO225*AP225,-(AO225*AP225-AP225^2-AP225^3))</f>
        <v>-0.0107910842936637</v>
      </c>
      <c r="AT225" s="60" t="n">
        <f aca="false">AR225-AQ225^2/3</f>
        <v>-0.266219491031267</v>
      </c>
      <c r="AU225" s="60" t="n">
        <f aca="false">2*AQ225^3/27-AQ225*AR225/3+AS225</f>
        <v>-0.0636400988362784</v>
      </c>
      <c r="AV225" s="60" t="n">
        <f aca="false">AU225^2/4+AT225^3/27</f>
        <v>0.000313710901361829</v>
      </c>
      <c r="AW225" s="60" t="n">
        <f aca="false">-AU225/2-IF(AU225&gt;=0,1,-1)*SQRT(MAX(AV225,0))</f>
        <v>0.0495319352963236</v>
      </c>
      <c r="AX225" s="60" t="n">
        <f aca="false">SIGN(AW225)*ABS(AW225)^(1/3)</f>
        <v>0.367249967174439</v>
      </c>
      <c r="AY225" s="60" t="n">
        <f aca="false">IF(AX225=0,0,AX225-AT225/(3*AX225))</f>
        <v>0.60888329127384</v>
      </c>
      <c r="AZ225" s="60" t="n">
        <f aca="false">2*SQRT(MAX(-AT225,0)/3)</f>
        <v>0.595784626668918</v>
      </c>
      <c r="BA225" s="60" t="n">
        <f aca="false">ACOS(IF(AZ225=0,0,MAX(-1,MIN(1,3*AU225/(AT225*AZ225)))))</f>
        <v>0</v>
      </c>
      <c r="BB225" s="60" t="n">
        <f aca="false">AZ225*COS(BA225/3)</f>
        <v>0.595784626668918</v>
      </c>
      <c r="BC225" s="60" t="n">
        <f aca="false">IF(AV225&lt;0,BB225,AY225)-AQ225/3</f>
        <v>0.91158844983184</v>
      </c>
      <c r="BD225" s="60" t="n">
        <f aca="false">IFERROR((((BC225+AQ225)*BC225+AR225)*BC225+AS225)/((3*BC225+2*AQ225)*BC225+AR225),0)</f>
        <v>0</v>
      </c>
      <c r="BE225" s="60" t="n">
        <f aca="false">IF(ABS(BD225)&lt;0.1*ABS(BC225),BC225-BD225,BC225)</f>
        <v>0.91158844983184</v>
      </c>
      <c r="BF225" s="60" t="n">
        <f aca="false">IFERROR((((BE225+AQ225)*BE225+AR225)*BE225+AS225)/((3*BE225+2*AQ225)*BE225+AR225),0)</f>
        <v>0</v>
      </c>
      <c r="BG225" s="60" t="n">
        <f aca="false">IF(ABS(BF225)&lt;0.1*ABS(BE225),BE225-BF225,BE225)</f>
        <v>0.91158844983184</v>
      </c>
      <c r="BH225" s="60" t="n">
        <f aca="false">-AS225/BG225</f>
        <v>0.0118376711504565</v>
      </c>
      <c r="BI225" s="60" t="n">
        <f aca="false">(AR225-BH225)/BG225</f>
        <v>-0.00347297415783941</v>
      </c>
      <c r="BJ225" s="60" t="n">
        <f aca="false">BI225^2-4*BH225</f>
        <v>-0.0473386230523248</v>
      </c>
      <c r="BK225" s="60" t="n">
        <f aca="false">IF(BJ225&gt;=0,(BI225+IF(BI225&gt;=0,1,-1)*SQRT(BJ225))/2,0)</f>
        <v>0</v>
      </c>
      <c r="BL225" s="60" t="n">
        <f aca="false">IF(AND(BJ225&gt;=0,BK225&lt;&gt;0),MIN(BK225,BH225/BK225),-1)</f>
        <v>-1</v>
      </c>
      <c r="BM225" s="60" t="n">
        <f aca="false">AND(BJ225&gt;=0,BL225&gt;AP225,ABS(BG225-BL225)&gt;=0.00005*MAX(BG225,BL225))</f>
        <v>0</v>
      </c>
      <c r="BN225" s="60" t="n">
        <f aca="false">IF(BM225,IFERROR((((BL225+AQ225)*BL225+AR225)*BL225+AS225)/((3*BL225+2*AQ225)*BL225+AR225),0),0)</f>
        <v>0</v>
      </c>
      <c r="BO225" s="60" t="n">
        <f aca="false">IF(ABS(BN225)&lt;0.1*ABS(BL225),BL225-BN225,BL225)</f>
        <v>-1</v>
      </c>
      <c r="BP225" s="60" t="n">
        <f aca="false">IF(BM225,IFERROR((((BO225+AQ225)*BO225+AR225)*BO225+AS225)/((3*BO225+2*AQ225)*BO225+AR225),0),0)</f>
        <v>0</v>
      </c>
      <c r="BQ225" s="60" t="n">
        <f aca="false">IF(ABS(BP225)&lt;0.1*ABS(BO225),BO225-BP225,BO225)</f>
        <v>-1</v>
      </c>
      <c r="BR225" s="60" t="n">
        <f aca="false">IF(BM225,MAX(BG225,BQ225),BG225)</f>
        <v>0.91158844983184</v>
      </c>
      <c r="BS225" s="60" t="n">
        <f aca="false">IF(BM225,MIN(BG225,BQ225),-1)</f>
        <v>-1</v>
      </c>
      <c r="BT225" s="60" t="n">
        <f aca="false">CHOOSE($C$7,AO225/BR225,AO225/AP225*LN(1+AP225/BR225),AO225/(2*SQRT(2)*AP225)*LN((BR225+(1+SQRT(2))*AP225)/(BR225+(1-SQRT(2))*AP225)))</f>
        <v>0.218240791233887</v>
      </c>
      <c r="BU225" s="60" t="n">
        <f aca="false">BR225-1-LN(BR225-AP225)-BT225</f>
        <v>-0.107840271021729</v>
      </c>
      <c r="BV225" s="60" t="n">
        <f aca="false">IF(BM225,CHOOSE($C$7,AO225/BS225,AO225/AP225*LN(1+AP225/BS225),AO225/(2*SQRT(2)*AP225)*LN((BS225+(1+SQRT(2))*AP225)/(BS225+(1-SQRT(2))*AP225))),0)</f>
        <v>0</v>
      </c>
      <c r="BW225" s="60" t="n">
        <f aca="false">IF(BM225,BS225-1-LN(BS225-AP225)-BV225,0)</f>
        <v>0</v>
      </c>
      <c r="BX225" s="60" t="n">
        <f aca="false">AND(BM225,BW225&lt;BU225)</f>
        <v>0</v>
      </c>
      <c r="BY225" s="60" t="n">
        <f aca="false">IF(BX225,BS225,BR225)</f>
        <v>0.91158844983184</v>
      </c>
      <c r="BZ225" s="60" t="n">
        <f aca="false">IF(BX225,BV225,BT225)</f>
        <v>0.218240791233887</v>
      </c>
      <c r="CA225" s="60" t="n">
        <f aca="false">LN(BY225-AP225)</f>
        <v>-0.198812070380318</v>
      </c>
      <c r="CB225" s="60" t="n">
        <f aca="false">$E$27/AN225*(BY225-1)-CA225-BZ225*(2*AA225/AM225-$E$27/AN225)</f>
        <v>-0.107840271021729</v>
      </c>
      <c r="CC225" s="60" t="n">
        <f aca="false">$F$27/AN225*(BY225-1)-CA225-BZ225*(2*AB225/AM225-$F$27/AN225)</f>
        <v>0.198812070380318</v>
      </c>
      <c r="CD225" s="60" t="n">
        <f aca="false">$G$27/AN225*(BY225-1)-CA225-BZ225*(2*AC225/AM225-$G$27/AN225)</f>
        <v>0.198812070380318</v>
      </c>
      <c r="CE225" s="60" t="n">
        <f aca="false">$H$27/AN225*(BY225-1)-CA225-BZ225*(2*AD225/AM225-$H$27/AN225)</f>
        <v>0.198812070380318</v>
      </c>
      <c r="CF225" s="60" t="n">
        <f aca="false">$I$27/AN225*(BY225-1)-CA225-BZ225*(2*AE225/AM225-$I$27/AN225)</f>
        <v>0.198812070380318</v>
      </c>
      <c r="CG225" s="60" t="n">
        <f aca="false">$J$27/AN225*(BY225-1)-CA225-BZ225*(2*AF225/AM225-$J$27/AN225)</f>
        <v>0.198812070380318</v>
      </c>
      <c r="CH225" s="60" t="n">
        <f aca="false">$K$27/AN225*(BY225-1)-CA225-BZ225*(2*AG225/AM225-$K$27/AN225)</f>
        <v>0.198812070380318</v>
      </c>
      <c r="CI225" s="60" t="n">
        <f aca="false">$L$27/AN225*(BY225-1)-CA225-BZ225*(2*AH225/AM225-$L$27/AN225)</f>
        <v>0.198812070380318</v>
      </c>
      <c r="CJ225" s="60" t="n">
        <f aca="false">$M$27/AN225*(BY225-1)-CA225-BZ225*(2*AI225/AM225-$M$27/AN225)</f>
        <v>0.198812070380318</v>
      </c>
      <c r="CK225" s="60" t="n">
        <f aca="false">$N$27/AN225*(BY225-1)-CA225-BZ225*(2*AJ225/AM225-$N$27/AN225)</f>
        <v>0.198812070380318</v>
      </c>
      <c r="CL225" s="60" t="n">
        <f aca="false">$O$27/AN225*(BY225-1)-CA225-BZ225*(2*AK225/AM225-$O$27/AN225)</f>
        <v>0.198812070380318</v>
      </c>
      <c r="CM225" s="60" t="n">
        <f aca="false">$P$27/AN225*(BY225-1)-CA225-BZ225*(2*AL225/AM225-$P$27/AN225)</f>
        <v>0.198812070380318</v>
      </c>
      <c r="CN225" s="60" t="n">
        <f aca="false">AP225/BY225&gt;$C$22</f>
        <v>0</v>
      </c>
      <c r="CO225" s="60" t="n">
        <f aca="false">1-N225+SUMPRODUCT(B225:M225,CB225:CM225)-SUMPRODUCT(B225:M225,CB224:CM224)</f>
        <v>0</v>
      </c>
      <c r="CP225" s="60" t="n">
        <f aca="false">SUMXMY2(O225:Z225,$E$13:$P$13)</f>
        <v>0</v>
      </c>
    </row>
    <row r="226" customFormat="false" ht="15" hidden="false" customHeight="false" outlineLevel="0" collapsed="false">
      <c r="A226" s="59" t="n">
        <v>17</v>
      </c>
      <c r="B226" s="60" t="n">
        <f aca="false">$E$13*EXP(MAX(-700,MIN(700,$E$86-CB225)))</f>
        <v>1</v>
      </c>
      <c r="C226" s="60" t="n">
        <f aca="false">$F$13*EXP(MAX(-700,MIN(700,$F$86-CC225)))</f>
        <v>0</v>
      </c>
      <c r="D226" s="60" t="n">
        <f aca="false">$G$13*EXP(MAX(-700,MIN(700,$G$86-CD225)))</f>
        <v>0</v>
      </c>
      <c r="E226" s="60" t="n">
        <f aca="false">$H$13*EXP(MAX(-700,MIN(700,$H$86-CE225)))</f>
        <v>0</v>
      </c>
      <c r="F226" s="60" t="n">
        <f aca="false">$I$13*EXP(MAX(-700,MIN(700,$I$86-CF225)))</f>
        <v>0</v>
      </c>
      <c r="G226" s="60" t="n">
        <f aca="false">$J$13*EXP(MAX(-700,MIN(700,$J$86-CG225)))</f>
        <v>0</v>
      </c>
      <c r="H226" s="60" t="n">
        <f aca="false">$K$13*EXP(MAX(-700,MIN(700,$K$86-CH225)))</f>
        <v>0</v>
      </c>
      <c r="I226" s="60" t="n">
        <f aca="false">$L$13*EXP(MAX(-700,MIN(700,$L$86-CI225)))</f>
        <v>0</v>
      </c>
      <c r="J226" s="60" t="n">
        <f aca="false">$M$13*EXP(MAX(-700,MIN(700,$M$86-CJ225)))</f>
        <v>0</v>
      </c>
      <c r="K226" s="60" t="n">
        <f aca="false">$N$13*EXP(MAX(-700,MIN(700,$N$86-CK225)))</f>
        <v>0</v>
      </c>
      <c r="L226" s="60" t="n">
        <f aca="false">$O$13*EXP(MAX(-700,MIN(700,$O$86-CL225)))</f>
        <v>0</v>
      </c>
      <c r="M226" s="60" t="n">
        <f aca="false">$P$13*EXP(MAX(-700,MIN(700,$P$86-CM225)))</f>
        <v>0</v>
      </c>
      <c r="N226" s="60" t="n">
        <f aca="false">SUM(B226:M226)</f>
        <v>1</v>
      </c>
      <c r="O226" s="60" t="n">
        <f aca="false">B226/N226</f>
        <v>1</v>
      </c>
      <c r="P226" s="60" t="n">
        <f aca="false">C226/N226</f>
        <v>0</v>
      </c>
      <c r="Q226" s="60" t="n">
        <f aca="false">D226/N226</f>
        <v>0</v>
      </c>
      <c r="R226" s="60" t="n">
        <f aca="false">E226/N226</f>
        <v>0</v>
      </c>
      <c r="S226" s="60" t="n">
        <f aca="false">F226/N226</f>
        <v>0</v>
      </c>
      <c r="T226" s="60" t="n">
        <f aca="false">G226/N226</f>
        <v>0</v>
      </c>
      <c r="U226" s="60" t="n">
        <f aca="false">H226/N226</f>
        <v>0</v>
      </c>
      <c r="V226" s="60" t="n">
        <f aca="false">I226/N226</f>
        <v>0</v>
      </c>
      <c r="W226" s="60" t="n">
        <f aca="false">J226/N226</f>
        <v>0</v>
      </c>
      <c r="X226" s="60" t="n">
        <f aca="false">K226/N226</f>
        <v>0</v>
      </c>
      <c r="Y226" s="60" t="n">
        <f aca="false">L226/N226</f>
        <v>0</v>
      </c>
      <c r="Z226" s="60" t="n">
        <f aca="false">M226/N226</f>
        <v>0</v>
      </c>
      <c r="AA226" s="60" t="n">
        <f aca="false">$E$28*SUMPRODUCT($E$31:$P$31,O226:Z226,$E$28:$P$28)</f>
        <v>0.184416866619846</v>
      </c>
      <c r="AB226" s="60" t="n">
        <f aca="false">$F$28*SUMPRODUCT($E$32:$P$32,O226:Z226,$E$28:$P$28)</f>
        <v>0</v>
      </c>
      <c r="AC226" s="60" t="n">
        <f aca="false">$G$28*SUMPRODUCT($E$33:$P$33,O226:Z226,$E$28:$P$28)</f>
        <v>0</v>
      </c>
      <c r="AD226" s="60" t="n">
        <f aca="false">$H$28*SUMPRODUCT($E$34:$P$34,O226:Z226,$E$28:$P$28)</f>
        <v>0</v>
      </c>
      <c r="AE226" s="60" t="n">
        <f aca="false">$I$28*SUMPRODUCT($E$35:$P$35,O226:Z226,$E$28:$P$28)</f>
        <v>0</v>
      </c>
      <c r="AF226" s="60" t="n">
        <f aca="false">$J$28*SUMPRODUCT($E$36:$P$36,O226:Z226,$E$28:$P$28)</f>
        <v>0</v>
      </c>
      <c r="AG226" s="60" t="n">
        <f aca="false">$K$28*SUMPRODUCT($E$37:$P$37,O226:Z226,$E$28:$P$28)</f>
        <v>0</v>
      </c>
      <c r="AH226" s="60" t="n">
        <f aca="false">$L$28*SUMPRODUCT($E$38:$P$38,O226:Z226,$E$28:$P$28)</f>
        <v>0</v>
      </c>
      <c r="AI226" s="60" t="n">
        <f aca="false">$M$28*SUMPRODUCT($E$39:$P$39,O226:Z226,$E$28:$P$28)</f>
        <v>0</v>
      </c>
      <c r="AJ226" s="60" t="n">
        <f aca="false">$N$28*SUMPRODUCT($E$40:$P$40,O226:Z226,$E$28:$P$28)</f>
        <v>0</v>
      </c>
      <c r="AK226" s="60" t="n">
        <f aca="false">$O$28*SUMPRODUCT($E$41:$P$41,O226:Z226,$E$28:$P$28)</f>
        <v>0</v>
      </c>
      <c r="AL226" s="60" t="n">
        <f aca="false">$P$28*SUMPRODUCT($E$42:$P$42,O226:Z226,$E$28:$P$28)</f>
        <v>0</v>
      </c>
      <c r="AM226" s="60" t="n">
        <f aca="false">SUMPRODUCT(O226:Z226,AA226:AL226)</f>
        <v>0.184416866619846</v>
      </c>
      <c r="AN226" s="60" t="n">
        <f aca="false">SUMPRODUCT(O226:Z226,$E$27:$P$27)</f>
        <v>2.67389635063809E-005</v>
      </c>
      <c r="AO226" s="60" t="n">
        <f aca="false">AM226*$C$9/($C$10*$C$8)^2</f>
        <v>0.21776909410545</v>
      </c>
      <c r="AP226" s="60" t="n">
        <f aca="false">AN226*$C$9/($C$10*$C$8)</f>
        <v>0.0918845243259994</v>
      </c>
      <c r="AQ226" s="60" t="n">
        <f aca="false">CHOOSE($C$7,-(1+AP226),-1,-(1-AP226))</f>
        <v>-0.908115475674001</v>
      </c>
      <c r="AR226" s="60" t="n">
        <f aca="false">CHOOSE($C$7,AO226,AO226-AP226-AP226^2,AO226-3*AP226^2-2*AP226)</f>
        <v>0.00867174802160559</v>
      </c>
      <c r="AS226" s="60" t="n">
        <f aca="false">CHOOSE($C$7,-AO226*AP226,-AO226*AP226,-(AO226*AP226-AP226^2-AP226^3))</f>
        <v>-0.0107910842936637</v>
      </c>
      <c r="AT226" s="60" t="n">
        <f aca="false">AR226-AQ226^2/3</f>
        <v>-0.266219491031267</v>
      </c>
      <c r="AU226" s="60" t="n">
        <f aca="false">2*AQ226^3/27-AQ226*AR226/3+AS226</f>
        <v>-0.0636400988362784</v>
      </c>
      <c r="AV226" s="60" t="n">
        <f aca="false">AU226^2/4+AT226^3/27</f>
        <v>0.000313710901361829</v>
      </c>
      <c r="AW226" s="60" t="n">
        <f aca="false">-AU226/2-IF(AU226&gt;=0,1,-1)*SQRT(MAX(AV226,0))</f>
        <v>0.0495319352963236</v>
      </c>
      <c r="AX226" s="60" t="n">
        <f aca="false">SIGN(AW226)*ABS(AW226)^(1/3)</f>
        <v>0.367249967174439</v>
      </c>
      <c r="AY226" s="60" t="n">
        <f aca="false">IF(AX226=0,0,AX226-AT226/(3*AX226))</f>
        <v>0.60888329127384</v>
      </c>
      <c r="AZ226" s="60" t="n">
        <f aca="false">2*SQRT(MAX(-AT226,0)/3)</f>
        <v>0.595784626668918</v>
      </c>
      <c r="BA226" s="60" t="n">
        <f aca="false">ACOS(IF(AZ226=0,0,MAX(-1,MIN(1,3*AU226/(AT226*AZ226)))))</f>
        <v>0</v>
      </c>
      <c r="BB226" s="60" t="n">
        <f aca="false">AZ226*COS(BA226/3)</f>
        <v>0.595784626668918</v>
      </c>
      <c r="BC226" s="60" t="n">
        <f aca="false">IF(AV226&lt;0,BB226,AY226)-AQ226/3</f>
        <v>0.91158844983184</v>
      </c>
      <c r="BD226" s="60" t="n">
        <f aca="false">IFERROR((((BC226+AQ226)*BC226+AR226)*BC226+AS226)/((3*BC226+2*AQ226)*BC226+AR226),0)</f>
        <v>0</v>
      </c>
      <c r="BE226" s="60" t="n">
        <f aca="false">IF(ABS(BD226)&lt;0.1*ABS(BC226),BC226-BD226,BC226)</f>
        <v>0.91158844983184</v>
      </c>
      <c r="BF226" s="60" t="n">
        <f aca="false">IFERROR((((BE226+AQ226)*BE226+AR226)*BE226+AS226)/((3*BE226+2*AQ226)*BE226+AR226),0)</f>
        <v>0</v>
      </c>
      <c r="BG226" s="60" t="n">
        <f aca="false">IF(ABS(BF226)&lt;0.1*ABS(BE226),BE226-BF226,BE226)</f>
        <v>0.91158844983184</v>
      </c>
      <c r="BH226" s="60" t="n">
        <f aca="false">-AS226/BG226</f>
        <v>0.0118376711504565</v>
      </c>
      <c r="BI226" s="60" t="n">
        <f aca="false">(AR226-BH226)/BG226</f>
        <v>-0.00347297415783941</v>
      </c>
      <c r="BJ226" s="60" t="n">
        <f aca="false">BI226^2-4*BH226</f>
        <v>-0.0473386230523248</v>
      </c>
      <c r="BK226" s="60" t="n">
        <f aca="false">IF(BJ226&gt;=0,(BI226+IF(BI226&gt;=0,1,-1)*SQRT(BJ226))/2,0)</f>
        <v>0</v>
      </c>
      <c r="BL226" s="60" t="n">
        <f aca="false">IF(AND(BJ226&gt;=0,BK226&lt;&gt;0),MIN(BK226,BH226/BK226),-1)</f>
        <v>-1</v>
      </c>
      <c r="BM226" s="60" t="n">
        <f aca="false">AND(BJ226&gt;=0,BL226&gt;AP226,ABS(BG226-BL226)&gt;=0.00005*MAX(BG226,BL226))</f>
        <v>0</v>
      </c>
      <c r="BN226" s="60" t="n">
        <f aca="false">IF(BM226,IFERROR((((BL226+AQ226)*BL226+AR226)*BL226+AS226)/((3*BL226+2*AQ226)*BL226+AR226),0),0)</f>
        <v>0</v>
      </c>
      <c r="BO226" s="60" t="n">
        <f aca="false">IF(ABS(BN226)&lt;0.1*ABS(BL226),BL226-BN226,BL226)</f>
        <v>-1</v>
      </c>
      <c r="BP226" s="60" t="n">
        <f aca="false">IF(BM226,IFERROR((((BO226+AQ226)*BO226+AR226)*BO226+AS226)/((3*BO226+2*AQ226)*BO226+AR226),0),0)</f>
        <v>0</v>
      </c>
      <c r="BQ226" s="60" t="n">
        <f aca="false">IF(ABS(BP226)&lt;0.1*ABS(BO226),BO226-BP226,BO226)</f>
        <v>-1</v>
      </c>
      <c r="BR226" s="60" t="n">
        <f aca="false">IF(BM226,MAX(BG226,BQ226),BG226)</f>
        <v>0.91158844983184</v>
      </c>
      <c r="BS226" s="60" t="n">
        <f aca="false">IF(BM226,MIN(BG226,BQ226),-1)</f>
        <v>-1</v>
      </c>
      <c r="BT226" s="60" t="n">
        <f aca="false">CHOOSE($C$7,AO226/BR226,AO226/AP226*LN(1+AP226/BR226),AO226/(2*SQRT(2)*AP226)*LN((BR226+(1+SQRT(2))*AP226)/(BR226+(1-SQRT(2))*AP226)))</f>
        <v>0.218240791233887</v>
      </c>
      <c r="BU226" s="60" t="n">
        <f aca="false">BR226-1-LN(BR226-AP226)-BT226</f>
        <v>-0.107840271021729</v>
      </c>
      <c r="BV226" s="60" t="n">
        <f aca="false">IF(BM226,CHOOSE($C$7,AO226/BS226,AO226/AP226*LN(1+AP226/BS226),AO226/(2*SQRT(2)*AP226)*LN((BS226+(1+SQRT(2))*AP226)/(BS226+(1-SQRT(2))*AP226))),0)</f>
        <v>0</v>
      </c>
      <c r="BW226" s="60" t="n">
        <f aca="false">IF(BM226,BS226-1-LN(BS226-AP226)-BV226,0)</f>
        <v>0</v>
      </c>
      <c r="BX226" s="60" t="n">
        <f aca="false">AND(BM226,BW226&lt;BU226)</f>
        <v>0</v>
      </c>
      <c r="BY226" s="60" t="n">
        <f aca="false">IF(BX226,BS226,BR226)</f>
        <v>0.91158844983184</v>
      </c>
      <c r="BZ226" s="60" t="n">
        <f aca="false">IF(BX226,BV226,BT226)</f>
        <v>0.218240791233887</v>
      </c>
      <c r="CA226" s="60" t="n">
        <f aca="false">LN(BY226-AP226)</f>
        <v>-0.198812070380318</v>
      </c>
      <c r="CB226" s="60" t="n">
        <f aca="false">$E$27/AN226*(BY226-1)-CA226-BZ226*(2*AA226/AM226-$E$27/AN226)</f>
        <v>-0.107840271021729</v>
      </c>
      <c r="CC226" s="60" t="n">
        <f aca="false">$F$27/AN226*(BY226-1)-CA226-BZ226*(2*AB226/AM226-$F$27/AN226)</f>
        <v>0.198812070380318</v>
      </c>
      <c r="CD226" s="60" t="n">
        <f aca="false">$G$27/AN226*(BY226-1)-CA226-BZ226*(2*AC226/AM226-$G$27/AN226)</f>
        <v>0.198812070380318</v>
      </c>
      <c r="CE226" s="60" t="n">
        <f aca="false">$H$27/AN226*(BY226-1)-CA226-BZ226*(2*AD226/AM226-$H$27/AN226)</f>
        <v>0.198812070380318</v>
      </c>
      <c r="CF226" s="60" t="n">
        <f aca="false">$I$27/AN226*(BY226-1)-CA226-BZ226*(2*AE226/AM226-$I$27/AN226)</f>
        <v>0.198812070380318</v>
      </c>
      <c r="CG226" s="60" t="n">
        <f aca="false">$J$27/AN226*(BY226-1)-CA226-BZ226*(2*AF226/AM226-$J$27/AN226)</f>
        <v>0.198812070380318</v>
      </c>
      <c r="CH226" s="60" t="n">
        <f aca="false">$K$27/AN226*(BY226-1)-CA226-BZ226*(2*AG226/AM226-$K$27/AN226)</f>
        <v>0.198812070380318</v>
      </c>
      <c r="CI226" s="60" t="n">
        <f aca="false">$L$27/AN226*(BY226-1)-CA226-BZ226*(2*AH226/AM226-$L$27/AN226)</f>
        <v>0.198812070380318</v>
      </c>
      <c r="CJ226" s="60" t="n">
        <f aca="false">$M$27/AN226*(BY226-1)-CA226-BZ226*(2*AI226/AM226-$M$27/AN226)</f>
        <v>0.198812070380318</v>
      </c>
      <c r="CK226" s="60" t="n">
        <f aca="false">$N$27/AN226*(BY226-1)-CA226-BZ226*(2*AJ226/AM226-$N$27/AN226)</f>
        <v>0.198812070380318</v>
      </c>
      <c r="CL226" s="60" t="n">
        <f aca="false">$O$27/AN226*(BY226-1)-CA226-BZ226*(2*AK226/AM226-$O$27/AN226)</f>
        <v>0.198812070380318</v>
      </c>
      <c r="CM226" s="60" t="n">
        <f aca="false">$P$27/AN226*(BY226-1)-CA226-BZ226*(2*AL226/AM226-$P$27/AN226)</f>
        <v>0.198812070380318</v>
      </c>
      <c r="CN226" s="60" t="n">
        <f aca="false">AP226/BY226&gt;$C$22</f>
        <v>0</v>
      </c>
      <c r="CO226" s="60" t="n">
        <f aca="false">1-N226+SUMPRODUCT(B226:M226,CB226:CM226)-SUMPRODUCT(B226:M226,CB225:CM225)</f>
        <v>0</v>
      </c>
      <c r="CP226" s="60" t="n">
        <f aca="false">SUMXMY2(O226:Z226,$E$13:$P$13)</f>
        <v>0</v>
      </c>
    </row>
    <row r="227" customFormat="false" ht="15" hidden="false" customHeight="false" outlineLevel="0" collapsed="false">
      <c r="A227" s="59" t="n">
        <v>18</v>
      </c>
      <c r="B227" s="60" t="n">
        <f aca="false">$E$13*EXP(MAX(-700,MIN(700,$E$86-CB226)))</f>
        <v>1</v>
      </c>
      <c r="C227" s="60" t="n">
        <f aca="false">$F$13*EXP(MAX(-700,MIN(700,$F$86-CC226)))</f>
        <v>0</v>
      </c>
      <c r="D227" s="60" t="n">
        <f aca="false">$G$13*EXP(MAX(-700,MIN(700,$G$86-CD226)))</f>
        <v>0</v>
      </c>
      <c r="E227" s="60" t="n">
        <f aca="false">$H$13*EXP(MAX(-700,MIN(700,$H$86-CE226)))</f>
        <v>0</v>
      </c>
      <c r="F227" s="60" t="n">
        <f aca="false">$I$13*EXP(MAX(-700,MIN(700,$I$86-CF226)))</f>
        <v>0</v>
      </c>
      <c r="G227" s="60" t="n">
        <f aca="false">$J$13*EXP(MAX(-700,MIN(700,$J$86-CG226)))</f>
        <v>0</v>
      </c>
      <c r="H227" s="60" t="n">
        <f aca="false">$K$13*EXP(MAX(-700,MIN(700,$K$86-CH226)))</f>
        <v>0</v>
      </c>
      <c r="I227" s="60" t="n">
        <f aca="false">$L$13*EXP(MAX(-700,MIN(700,$L$86-CI226)))</f>
        <v>0</v>
      </c>
      <c r="J227" s="60" t="n">
        <f aca="false">$M$13*EXP(MAX(-700,MIN(700,$M$86-CJ226)))</f>
        <v>0</v>
      </c>
      <c r="K227" s="60" t="n">
        <f aca="false">$N$13*EXP(MAX(-700,MIN(700,$N$86-CK226)))</f>
        <v>0</v>
      </c>
      <c r="L227" s="60" t="n">
        <f aca="false">$O$13*EXP(MAX(-700,MIN(700,$O$86-CL226)))</f>
        <v>0</v>
      </c>
      <c r="M227" s="60" t="n">
        <f aca="false">$P$13*EXP(MAX(-700,MIN(700,$P$86-CM226)))</f>
        <v>0</v>
      </c>
      <c r="N227" s="60" t="n">
        <f aca="false">SUM(B227:M227)</f>
        <v>1</v>
      </c>
      <c r="O227" s="60" t="n">
        <f aca="false">B227/N227</f>
        <v>1</v>
      </c>
      <c r="P227" s="60" t="n">
        <f aca="false">C227/N227</f>
        <v>0</v>
      </c>
      <c r="Q227" s="60" t="n">
        <f aca="false">D227/N227</f>
        <v>0</v>
      </c>
      <c r="R227" s="60" t="n">
        <f aca="false">E227/N227</f>
        <v>0</v>
      </c>
      <c r="S227" s="60" t="n">
        <f aca="false">F227/N227</f>
        <v>0</v>
      </c>
      <c r="T227" s="60" t="n">
        <f aca="false">G227/N227</f>
        <v>0</v>
      </c>
      <c r="U227" s="60" t="n">
        <f aca="false">H227/N227</f>
        <v>0</v>
      </c>
      <c r="V227" s="60" t="n">
        <f aca="false">I227/N227</f>
        <v>0</v>
      </c>
      <c r="W227" s="60" t="n">
        <f aca="false">J227/N227</f>
        <v>0</v>
      </c>
      <c r="X227" s="60" t="n">
        <f aca="false">K227/N227</f>
        <v>0</v>
      </c>
      <c r="Y227" s="60" t="n">
        <f aca="false">L227/N227</f>
        <v>0</v>
      </c>
      <c r="Z227" s="60" t="n">
        <f aca="false">M227/N227</f>
        <v>0</v>
      </c>
      <c r="AA227" s="60" t="n">
        <f aca="false">$E$28*SUMPRODUCT($E$31:$P$31,O227:Z227,$E$28:$P$28)</f>
        <v>0.184416866619846</v>
      </c>
      <c r="AB227" s="60" t="n">
        <f aca="false">$F$28*SUMPRODUCT($E$32:$P$32,O227:Z227,$E$28:$P$28)</f>
        <v>0</v>
      </c>
      <c r="AC227" s="60" t="n">
        <f aca="false">$G$28*SUMPRODUCT($E$33:$P$33,O227:Z227,$E$28:$P$28)</f>
        <v>0</v>
      </c>
      <c r="AD227" s="60" t="n">
        <f aca="false">$H$28*SUMPRODUCT($E$34:$P$34,O227:Z227,$E$28:$P$28)</f>
        <v>0</v>
      </c>
      <c r="AE227" s="60" t="n">
        <f aca="false">$I$28*SUMPRODUCT($E$35:$P$35,O227:Z227,$E$28:$P$28)</f>
        <v>0</v>
      </c>
      <c r="AF227" s="60" t="n">
        <f aca="false">$J$28*SUMPRODUCT($E$36:$P$36,O227:Z227,$E$28:$P$28)</f>
        <v>0</v>
      </c>
      <c r="AG227" s="60" t="n">
        <f aca="false">$K$28*SUMPRODUCT($E$37:$P$37,O227:Z227,$E$28:$P$28)</f>
        <v>0</v>
      </c>
      <c r="AH227" s="60" t="n">
        <f aca="false">$L$28*SUMPRODUCT($E$38:$P$38,O227:Z227,$E$28:$P$28)</f>
        <v>0</v>
      </c>
      <c r="AI227" s="60" t="n">
        <f aca="false">$M$28*SUMPRODUCT($E$39:$P$39,O227:Z227,$E$28:$P$28)</f>
        <v>0</v>
      </c>
      <c r="AJ227" s="60" t="n">
        <f aca="false">$N$28*SUMPRODUCT($E$40:$P$40,O227:Z227,$E$28:$P$28)</f>
        <v>0</v>
      </c>
      <c r="AK227" s="60" t="n">
        <f aca="false">$O$28*SUMPRODUCT($E$41:$P$41,O227:Z227,$E$28:$P$28)</f>
        <v>0</v>
      </c>
      <c r="AL227" s="60" t="n">
        <f aca="false">$P$28*SUMPRODUCT($E$42:$P$42,O227:Z227,$E$28:$P$28)</f>
        <v>0</v>
      </c>
      <c r="AM227" s="60" t="n">
        <f aca="false">SUMPRODUCT(O227:Z227,AA227:AL227)</f>
        <v>0.184416866619846</v>
      </c>
      <c r="AN227" s="60" t="n">
        <f aca="false">SUMPRODUCT(O227:Z227,$E$27:$P$27)</f>
        <v>2.67389635063809E-005</v>
      </c>
      <c r="AO227" s="60" t="n">
        <f aca="false">AM227*$C$9/($C$10*$C$8)^2</f>
        <v>0.21776909410545</v>
      </c>
      <c r="AP227" s="60" t="n">
        <f aca="false">AN227*$C$9/($C$10*$C$8)</f>
        <v>0.0918845243259994</v>
      </c>
      <c r="AQ227" s="60" t="n">
        <f aca="false">CHOOSE($C$7,-(1+AP227),-1,-(1-AP227))</f>
        <v>-0.908115475674001</v>
      </c>
      <c r="AR227" s="60" t="n">
        <f aca="false">CHOOSE($C$7,AO227,AO227-AP227-AP227^2,AO227-3*AP227^2-2*AP227)</f>
        <v>0.00867174802160559</v>
      </c>
      <c r="AS227" s="60" t="n">
        <f aca="false">CHOOSE($C$7,-AO227*AP227,-AO227*AP227,-(AO227*AP227-AP227^2-AP227^3))</f>
        <v>-0.0107910842936637</v>
      </c>
      <c r="AT227" s="60" t="n">
        <f aca="false">AR227-AQ227^2/3</f>
        <v>-0.266219491031267</v>
      </c>
      <c r="AU227" s="60" t="n">
        <f aca="false">2*AQ227^3/27-AQ227*AR227/3+AS227</f>
        <v>-0.0636400988362784</v>
      </c>
      <c r="AV227" s="60" t="n">
        <f aca="false">AU227^2/4+AT227^3/27</f>
        <v>0.000313710901361829</v>
      </c>
      <c r="AW227" s="60" t="n">
        <f aca="false">-AU227/2-IF(AU227&gt;=0,1,-1)*SQRT(MAX(AV227,0))</f>
        <v>0.0495319352963236</v>
      </c>
      <c r="AX227" s="60" t="n">
        <f aca="false">SIGN(AW227)*ABS(AW227)^(1/3)</f>
        <v>0.367249967174439</v>
      </c>
      <c r="AY227" s="60" t="n">
        <f aca="false">IF(AX227=0,0,AX227-AT227/(3*AX227))</f>
        <v>0.60888329127384</v>
      </c>
      <c r="AZ227" s="60" t="n">
        <f aca="false">2*SQRT(MAX(-AT227,0)/3)</f>
        <v>0.595784626668918</v>
      </c>
      <c r="BA227" s="60" t="n">
        <f aca="false">ACOS(IF(AZ227=0,0,MAX(-1,MIN(1,3*AU227/(AT227*AZ227)))))</f>
        <v>0</v>
      </c>
      <c r="BB227" s="60" t="n">
        <f aca="false">AZ227*COS(BA227/3)</f>
        <v>0.595784626668918</v>
      </c>
      <c r="BC227" s="60" t="n">
        <f aca="false">IF(AV227&lt;0,BB227,AY227)-AQ227/3</f>
        <v>0.91158844983184</v>
      </c>
      <c r="BD227" s="60" t="n">
        <f aca="false">IFERROR((((BC227+AQ227)*BC227+AR227)*BC227+AS227)/((3*BC227+2*AQ227)*BC227+AR227),0)</f>
        <v>0</v>
      </c>
      <c r="BE227" s="60" t="n">
        <f aca="false">IF(ABS(BD227)&lt;0.1*ABS(BC227),BC227-BD227,BC227)</f>
        <v>0.91158844983184</v>
      </c>
      <c r="BF227" s="60" t="n">
        <f aca="false">IFERROR((((BE227+AQ227)*BE227+AR227)*BE227+AS227)/((3*BE227+2*AQ227)*BE227+AR227),0)</f>
        <v>0</v>
      </c>
      <c r="BG227" s="60" t="n">
        <f aca="false">IF(ABS(BF227)&lt;0.1*ABS(BE227),BE227-BF227,BE227)</f>
        <v>0.91158844983184</v>
      </c>
      <c r="BH227" s="60" t="n">
        <f aca="false">-AS227/BG227</f>
        <v>0.0118376711504565</v>
      </c>
      <c r="BI227" s="60" t="n">
        <f aca="false">(AR227-BH227)/BG227</f>
        <v>-0.00347297415783941</v>
      </c>
      <c r="BJ227" s="60" t="n">
        <f aca="false">BI227^2-4*BH227</f>
        <v>-0.0473386230523248</v>
      </c>
      <c r="BK227" s="60" t="n">
        <f aca="false">IF(BJ227&gt;=0,(BI227+IF(BI227&gt;=0,1,-1)*SQRT(BJ227))/2,0)</f>
        <v>0</v>
      </c>
      <c r="BL227" s="60" t="n">
        <f aca="false">IF(AND(BJ227&gt;=0,BK227&lt;&gt;0),MIN(BK227,BH227/BK227),-1)</f>
        <v>-1</v>
      </c>
      <c r="BM227" s="60" t="n">
        <f aca="false">AND(BJ227&gt;=0,BL227&gt;AP227,ABS(BG227-BL227)&gt;=0.00005*MAX(BG227,BL227))</f>
        <v>0</v>
      </c>
      <c r="BN227" s="60" t="n">
        <f aca="false">IF(BM227,IFERROR((((BL227+AQ227)*BL227+AR227)*BL227+AS227)/((3*BL227+2*AQ227)*BL227+AR227),0),0)</f>
        <v>0</v>
      </c>
      <c r="BO227" s="60" t="n">
        <f aca="false">IF(ABS(BN227)&lt;0.1*ABS(BL227),BL227-BN227,BL227)</f>
        <v>-1</v>
      </c>
      <c r="BP227" s="60" t="n">
        <f aca="false">IF(BM227,IFERROR((((BO227+AQ227)*BO227+AR227)*BO227+AS227)/((3*BO227+2*AQ227)*BO227+AR227),0),0)</f>
        <v>0</v>
      </c>
      <c r="BQ227" s="60" t="n">
        <f aca="false">IF(ABS(BP227)&lt;0.1*ABS(BO227),BO227-BP227,BO227)</f>
        <v>-1</v>
      </c>
      <c r="BR227" s="60" t="n">
        <f aca="false">IF(BM227,MAX(BG227,BQ227),BG227)</f>
        <v>0.91158844983184</v>
      </c>
      <c r="BS227" s="60" t="n">
        <f aca="false">IF(BM227,MIN(BG227,BQ227),-1)</f>
        <v>-1</v>
      </c>
      <c r="BT227" s="60" t="n">
        <f aca="false">CHOOSE($C$7,AO227/BR227,AO227/AP227*LN(1+AP227/BR227),AO227/(2*SQRT(2)*AP227)*LN((BR227+(1+SQRT(2))*AP227)/(BR227+(1-SQRT(2))*AP227)))</f>
        <v>0.218240791233887</v>
      </c>
      <c r="BU227" s="60" t="n">
        <f aca="false">BR227-1-LN(BR227-AP227)-BT227</f>
        <v>-0.107840271021729</v>
      </c>
      <c r="BV227" s="60" t="n">
        <f aca="false">IF(BM227,CHOOSE($C$7,AO227/BS227,AO227/AP227*LN(1+AP227/BS227),AO227/(2*SQRT(2)*AP227)*LN((BS227+(1+SQRT(2))*AP227)/(BS227+(1-SQRT(2))*AP227))),0)</f>
        <v>0</v>
      </c>
      <c r="BW227" s="60" t="n">
        <f aca="false">IF(BM227,BS227-1-LN(BS227-AP227)-BV227,0)</f>
        <v>0</v>
      </c>
      <c r="BX227" s="60" t="n">
        <f aca="false">AND(BM227,BW227&lt;BU227)</f>
        <v>0</v>
      </c>
      <c r="BY227" s="60" t="n">
        <f aca="false">IF(BX227,BS227,BR227)</f>
        <v>0.91158844983184</v>
      </c>
      <c r="BZ227" s="60" t="n">
        <f aca="false">IF(BX227,BV227,BT227)</f>
        <v>0.218240791233887</v>
      </c>
      <c r="CA227" s="60" t="n">
        <f aca="false">LN(BY227-AP227)</f>
        <v>-0.198812070380318</v>
      </c>
      <c r="CB227" s="60" t="n">
        <f aca="false">$E$27/AN227*(BY227-1)-CA227-BZ227*(2*AA227/AM227-$E$27/AN227)</f>
        <v>-0.107840271021729</v>
      </c>
      <c r="CC227" s="60" t="n">
        <f aca="false">$F$27/AN227*(BY227-1)-CA227-BZ227*(2*AB227/AM227-$F$27/AN227)</f>
        <v>0.198812070380318</v>
      </c>
      <c r="CD227" s="60" t="n">
        <f aca="false">$G$27/AN227*(BY227-1)-CA227-BZ227*(2*AC227/AM227-$G$27/AN227)</f>
        <v>0.198812070380318</v>
      </c>
      <c r="CE227" s="60" t="n">
        <f aca="false">$H$27/AN227*(BY227-1)-CA227-BZ227*(2*AD227/AM227-$H$27/AN227)</f>
        <v>0.198812070380318</v>
      </c>
      <c r="CF227" s="60" t="n">
        <f aca="false">$I$27/AN227*(BY227-1)-CA227-BZ227*(2*AE227/AM227-$I$27/AN227)</f>
        <v>0.198812070380318</v>
      </c>
      <c r="CG227" s="60" t="n">
        <f aca="false">$J$27/AN227*(BY227-1)-CA227-BZ227*(2*AF227/AM227-$J$27/AN227)</f>
        <v>0.198812070380318</v>
      </c>
      <c r="CH227" s="60" t="n">
        <f aca="false">$K$27/AN227*(BY227-1)-CA227-BZ227*(2*AG227/AM227-$K$27/AN227)</f>
        <v>0.198812070380318</v>
      </c>
      <c r="CI227" s="60" t="n">
        <f aca="false">$L$27/AN227*(BY227-1)-CA227-BZ227*(2*AH227/AM227-$L$27/AN227)</f>
        <v>0.198812070380318</v>
      </c>
      <c r="CJ227" s="60" t="n">
        <f aca="false">$M$27/AN227*(BY227-1)-CA227-BZ227*(2*AI227/AM227-$M$27/AN227)</f>
        <v>0.198812070380318</v>
      </c>
      <c r="CK227" s="60" t="n">
        <f aca="false">$N$27/AN227*(BY227-1)-CA227-BZ227*(2*AJ227/AM227-$N$27/AN227)</f>
        <v>0.198812070380318</v>
      </c>
      <c r="CL227" s="60" t="n">
        <f aca="false">$O$27/AN227*(BY227-1)-CA227-BZ227*(2*AK227/AM227-$O$27/AN227)</f>
        <v>0.198812070380318</v>
      </c>
      <c r="CM227" s="60" t="n">
        <f aca="false">$P$27/AN227*(BY227-1)-CA227-BZ227*(2*AL227/AM227-$P$27/AN227)</f>
        <v>0.198812070380318</v>
      </c>
      <c r="CN227" s="60" t="n">
        <f aca="false">AP227/BY227&gt;$C$22</f>
        <v>0</v>
      </c>
      <c r="CO227" s="60" t="n">
        <f aca="false">1-N227+SUMPRODUCT(B227:M227,CB227:CM227)-SUMPRODUCT(B227:M227,CB226:CM226)</f>
        <v>0</v>
      </c>
      <c r="CP227" s="60" t="n">
        <f aca="false">SUMXMY2(O227:Z227,$E$13:$P$13)</f>
        <v>0</v>
      </c>
    </row>
    <row r="228" customFormat="false" ht="15" hidden="false" customHeight="false" outlineLevel="0" collapsed="false">
      <c r="A228" s="59" t="n">
        <v>19</v>
      </c>
      <c r="B228" s="60" t="n">
        <f aca="false">$E$13*EXP(MAX(-700,MIN(700,$E$86-CB227)))</f>
        <v>1</v>
      </c>
      <c r="C228" s="60" t="n">
        <f aca="false">$F$13*EXP(MAX(-700,MIN(700,$F$86-CC227)))</f>
        <v>0</v>
      </c>
      <c r="D228" s="60" t="n">
        <f aca="false">$G$13*EXP(MAX(-700,MIN(700,$G$86-CD227)))</f>
        <v>0</v>
      </c>
      <c r="E228" s="60" t="n">
        <f aca="false">$H$13*EXP(MAX(-700,MIN(700,$H$86-CE227)))</f>
        <v>0</v>
      </c>
      <c r="F228" s="60" t="n">
        <f aca="false">$I$13*EXP(MAX(-700,MIN(700,$I$86-CF227)))</f>
        <v>0</v>
      </c>
      <c r="G228" s="60" t="n">
        <f aca="false">$J$13*EXP(MAX(-700,MIN(700,$J$86-CG227)))</f>
        <v>0</v>
      </c>
      <c r="H228" s="60" t="n">
        <f aca="false">$K$13*EXP(MAX(-700,MIN(700,$K$86-CH227)))</f>
        <v>0</v>
      </c>
      <c r="I228" s="60" t="n">
        <f aca="false">$L$13*EXP(MAX(-700,MIN(700,$L$86-CI227)))</f>
        <v>0</v>
      </c>
      <c r="J228" s="60" t="n">
        <f aca="false">$M$13*EXP(MAX(-700,MIN(700,$M$86-CJ227)))</f>
        <v>0</v>
      </c>
      <c r="K228" s="60" t="n">
        <f aca="false">$N$13*EXP(MAX(-700,MIN(700,$N$86-CK227)))</f>
        <v>0</v>
      </c>
      <c r="L228" s="60" t="n">
        <f aca="false">$O$13*EXP(MAX(-700,MIN(700,$O$86-CL227)))</f>
        <v>0</v>
      </c>
      <c r="M228" s="60" t="n">
        <f aca="false">$P$13*EXP(MAX(-700,MIN(700,$P$86-CM227)))</f>
        <v>0</v>
      </c>
      <c r="N228" s="60" t="n">
        <f aca="false">SUM(B228:M228)</f>
        <v>1</v>
      </c>
      <c r="O228" s="60" t="n">
        <f aca="false">B228/N228</f>
        <v>1</v>
      </c>
      <c r="P228" s="60" t="n">
        <f aca="false">C228/N228</f>
        <v>0</v>
      </c>
      <c r="Q228" s="60" t="n">
        <f aca="false">D228/N228</f>
        <v>0</v>
      </c>
      <c r="R228" s="60" t="n">
        <f aca="false">E228/N228</f>
        <v>0</v>
      </c>
      <c r="S228" s="60" t="n">
        <f aca="false">F228/N228</f>
        <v>0</v>
      </c>
      <c r="T228" s="60" t="n">
        <f aca="false">G228/N228</f>
        <v>0</v>
      </c>
      <c r="U228" s="60" t="n">
        <f aca="false">H228/N228</f>
        <v>0</v>
      </c>
      <c r="V228" s="60" t="n">
        <f aca="false">I228/N228</f>
        <v>0</v>
      </c>
      <c r="W228" s="60" t="n">
        <f aca="false">J228/N228</f>
        <v>0</v>
      </c>
      <c r="X228" s="60" t="n">
        <f aca="false">K228/N228</f>
        <v>0</v>
      </c>
      <c r="Y228" s="60" t="n">
        <f aca="false">L228/N228</f>
        <v>0</v>
      </c>
      <c r="Z228" s="60" t="n">
        <f aca="false">M228/N228</f>
        <v>0</v>
      </c>
      <c r="AA228" s="60" t="n">
        <f aca="false">$E$28*SUMPRODUCT($E$31:$P$31,O228:Z228,$E$28:$P$28)</f>
        <v>0.184416866619846</v>
      </c>
      <c r="AB228" s="60" t="n">
        <f aca="false">$F$28*SUMPRODUCT($E$32:$P$32,O228:Z228,$E$28:$P$28)</f>
        <v>0</v>
      </c>
      <c r="AC228" s="60" t="n">
        <f aca="false">$G$28*SUMPRODUCT($E$33:$P$33,O228:Z228,$E$28:$P$28)</f>
        <v>0</v>
      </c>
      <c r="AD228" s="60" t="n">
        <f aca="false">$H$28*SUMPRODUCT($E$34:$P$34,O228:Z228,$E$28:$P$28)</f>
        <v>0</v>
      </c>
      <c r="AE228" s="60" t="n">
        <f aca="false">$I$28*SUMPRODUCT($E$35:$P$35,O228:Z228,$E$28:$P$28)</f>
        <v>0</v>
      </c>
      <c r="AF228" s="60" t="n">
        <f aca="false">$J$28*SUMPRODUCT($E$36:$P$36,O228:Z228,$E$28:$P$28)</f>
        <v>0</v>
      </c>
      <c r="AG228" s="60" t="n">
        <f aca="false">$K$28*SUMPRODUCT($E$37:$P$37,O228:Z228,$E$28:$P$28)</f>
        <v>0</v>
      </c>
      <c r="AH228" s="60" t="n">
        <f aca="false">$L$28*SUMPRODUCT($E$38:$P$38,O228:Z228,$E$28:$P$28)</f>
        <v>0</v>
      </c>
      <c r="AI228" s="60" t="n">
        <f aca="false">$M$28*SUMPRODUCT($E$39:$P$39,O228:Z228,$E$28:$P$28)</f>
        <v>0</v>
      </c>
      <c r="AJ228" s="60" t="n">
        <f aca="false">$N$28*SUMPRODUCT($E$40:$P$40,O228:Z228,$E$28:$P$28)</f>
        <v>0</v>
      </c>
      <c r="AK228" s="60" t="n">
        <f aca="false">$O$28*SUMPRODUCT($E$41:$P$41,O228:Z228,$E$28:$P$28)</f>
        <v>0</v>
      </c>
      <c r="AL228" s="60" t="n">
        <f aca="false">$P$28*SUMPRODUCT($E$42:$P$42,O228:Z228,$E$28:$P$28)</f>
        <v>0</v>
      </c>
      <c r="AM228" s="60" t="n">
        <f aca="false">SUMPRODUCT(O228:Z228,AA228:AL228)</f>
        <v>0.184416866619846</v>
      </c>
      <c r="AN228" s="60" t="n">
        <f aca="false">SUMPRODUCT(O228:Z228,$E$27:$P$27)</f>
        <v>2.67389635063809E-005</v>
      </c>
      <c r="AO228" s="60" t="n">
        <f aca="false">AM228*$C$9/($C$10*$C$8)^2</f>
        <v>0.21776909410545</v>
      </c>
      <c r="AP228" s="60" t="n">
        <f aca="false">AN228*$C$9/($C$10*$C$8)</f>
        <v>0.0918845243259994</v>
      </c>
      <c r="AQ228" s="60" t="n">
        <f aca="false">CHOOSE($C$7,-(1+AP228),-1,-(1-AP228))</f>
        <v>-0.908115475674001</v>
      </c>
      <c r="AR228" s="60" t="n">
        <f aca="false">CHOOSE($C$7,AO228,AO228-AP228-AP228^2,AO228-3*AP228^2-2*AP228)</f>
        <v>0.00867174802160559</v>
      </c>
      <c r="AS228" s="60" t="n">
        <f aca="false">CHOOSE($C$7,-AO228*AP228,-AO228*AP228,-(AO228*AP228-AP228^2-AP228^3))</f>
        <v>-0.0107910842936637</v>
      </c>
      <c r="AT228" s="60" t="n">
        <f aca="false">AR228-AQ228^2/3</f>
        <v>-0.266219491031267</v>
      </c>
      <c r="AU228" s="60" t="n">
        <f aca="false">2*AQ228^3/27-AQ228*AR228/3+AS228</f>
        <v>-0.0636400988362784</v>
      </c>
      <c r="AV228" s="60" t="n">
        <f aca="false">AU228^2/4+AT228^3/27</f>
        <v>0.000313710901361829</v>
      </c>
      <c r="AW228" s="60" t="n">
        <f aca="false">-AU228/2-IF(AU228&gt;=0,1,-1)*SQRT(MAX(AV228,0))</f>
        <v>0.0495319352963236</v>
      </c>
      <c r="AX228" s="60" t="n">
        <f aca="false">SIGN(AW228)*ABS(AW228)^(1/3)</f>
        <v>0.367249967174439</v>
      </c>
      <c r="AY228" s="60" t="n">
        <f aca="false">IF(AX228=0,0,AX228-AT228/(3*AX228))</f>
        <v>0.60888329127384</v>
      </c>
      <c r="AZ228" s="60" t="n">
        <f aca="false">2*SQRT(MAX(-AT228,0)/3)</f>
        <v>0.595784626668918</v>
      </c>
      <c r="BA228" s="60" t="n">
        <f aca="false">ACOS(IF(AZ228=0,0,MAX(-1,MIN(1,3*AU228/(AT228*AZ228)))))</f>
        <v>0</v>
      </c>
      <c r="BB228" s="60" t="n">
        <f aca="false">AZ228*COS(BA228/3)</f>
        <v>0.595784626668918</v>
      </c>
      <c r="BC228" s="60" t="n">
        <f aca="false">IF(AV228&lt;0,BB228,AY228)-AQ228/3</f>
        <v>0.91158844983184</v>
      </c>
      <c r="BD228" s="60" t="n">
        <f aca="false">IFERROR((((BC228+AQ228)*BC228+AR228)*BC228+AS228)/((3*BC228+2*AQ228)*BC228+AR228),0)</f>
        <v>0</v>
      </c>
      <c r="BE228" s="60" t="n">
        <f aca="false">IF(ABS(BD228)&lt;0.1*ABS(BC228),BC228-BD228,BC228)</f>
        <v>0.91158844983184</v>
      </c>
      <c r="BF228" s="60" t="n">
        <f aca="false">IFERROR((((BE228+AQ228)*BE228+AR228)*BE228+AS228)/((3*BE228+2*AQ228)*BE228+AR228),0)</f>
        <v>0</v>
      </c>
      <c r="BG228" s="60" t="n">
        <f aca="false">IF(ABS(BF228)&lt;0.1*ABS(BE228),BE228-BF228,BE228)</f>
        <v>0.91158844983184</v>
      </c>
      <c r="BH228" s="60" t="n">
        <f aca="false">-AS228/BG228</f>
        <v>0.0118376711504565</v>
      </c>
      <c r="BI228" s="60" t="n">
        <f aca="false">(AR228-BH228)/BG228</f>
        <v>-0.00347297415783941</v>
      </c>
      <c r="BJ228" s="60" t="n">
        <f aca="false">BI228^2-4*BH228</f>
        <v>-0.0473386230523248</v>
      </c>
      <c r="BK228" s="60" t="n">
        <f aca="false">IF(BJ228&gt;=0,(BI228+IF(BI228&gt;=0,1,-1)*SQRT(BJ228))/2,0)</f>
        <v>0</v>
      </c>
      <c r="BL228" s="60" t="n">
        <f aca="false">IF(AND(BJ228&gt;=0,BK228&lt;&gt;0),MIN(BK228,BH228/BK228),-1)</f>
        <v>-1</v>
      </c>
      <c r="BM228" s="60" t="n">
        <f aca="false">AND(BJ228&gt;=0,BL228&gt;AP228,ABS(BG228-BL228)&gt;=0.00005*MAX(BG228,BL228))</f>
        <v>0</v>
      </c>
      <c r="BN228" s="60" t="n">
        <f aca="false">IF(BM228,IFERROR((((BL228+AQ228)*BL228+AR228)*BL228+AS228)/((3*BL228+2*AQ228)*BL228+AR228),0),0)</f>
        <v>0</v>
      </c>
      <c r="BO228" s="60" t="n">
        <f aca="false">IF(ABS(BN228)&lt;0.1*ABS(BL228),BL228-BN228,BL228)</f>
        <v>-1</v>
      </c>
      <c r="BP228" s="60" t="n">
        <f aca="false">IF(BM228,IFERROR((((BO228+AQ228)*BO228+AR228)*BO228+AS228)/((3*BO228+2*AQ228)*BO228+AR228),0),0)</f>
        <v>0</v>
      </c>
      <c r="BQ228" s="60" t="n">
        <f aca="false">IF(ABS(BP228)&lt;0.1*ABS(BO228),BO228-BP228,BO228)</f>
        <v>-1</v>
      </c>
      <c r="BR228" s="60" t="n">
        <f aca="false">IF(BM228,MAX(BG228,BQ228),BG228)</f>
        <v>0.91158844983184</v>
      </c>
      <c r="BS228" s="60" t="n">
        <f aca="false">IF(BM228,MIN(BG228,BQ228),-1)</f>
        <v>-1</v>
      </c>
      <c r="BT228" s="60" t="n">
        <f aca="false">CHOOSE($C$7,AO228/BR228,AO228/AP228*LN(1+AP228/BR228),AO228/(2*SQRT(2)*AP228)*LN((BR228+(1+SQRT(2))*AP228)/(BR228+(1-SQRT(2))*AP228)))</f>
        <v>0.218240791233887</v>
      </c>
      <c r="BU228" s="60" t="n">
        <f aca="false">BR228-1-LN(BR228-AP228)-BT228</f>
        <v>-0.107840271021729</v>
      </c>
      <c r="BV228" s="60" t="n">
        <f aca="false">IF(BM228,CHOOSE($C$7,AO228/BS228,AO228/AP228*LN(1+AP228/BS228),AO228/(2*SQRT(2)*AP228)*LN((BS228+(1+SQRT(2))*AP228)/(BS228+(1-SQRT(2))*AP228))),0)</f>
        <v>0</v>
      </c>
      <c r="BW228" s="60" t="n">
        <f aca="false">IF(BM228,BS228-1-LN(BS228-AP228)-BV228,0)</f>
        <v>0</v>
      </c>
      <c r="BX228" s="60" t="n">
        <f aca="false">AND(BM228,BW228&lt;BU228)</f>
        <v>0</v>
      </c>
      <c r="BY228" s="60" t="n">
        <f aca="false">IF(BX228,BS228,BR228)</f>
        <v>0.91158844983184</v>
      </c>
      <c r="BZ228" s="60" t="n">
        <f aca="false">IF(BX228,BV228,BT228)</f>
        <v>0.218240791233887</v>
      </c>
      <c r="CA228" s="60" t="n">
        <f aca="false">LN(BY228-AP228)</f>
        <v>-0.198812070380318</v>
      </c>
      <c r="CB228" s="60" t="n">
        <f aca="false">$E$27/AN228*(BY228-1)-CA228-BZ228*(2*AA228/AM228-$E$27/AN228)</f>
        <v>-0.107840271021729</v>
      </c>
      <c r="CC228" s="60" t="n">
        <f aca="false">$F$27/AN228*(BY228-1)-CA228-BZ228*(2*AB228/AM228-$F$27/AN228)</f>
        <v>0.198812070380318</v>
      </c>
      <c r="CD228" s="60" t="n">
        <f aca="false">$G$27/AN228*(BY228-1)-CA228-BZ228*(2*AC228/AM228-$G$27/AN228)</f>
        <v>0.198812070380318</v>
      </c>
      <c r="CE228" s="60" t="n">
        <f aca="false">$H$27/AN228*(BY228-1)-CA228-BZ228*(2*AD228/AM228-$H$27/AN228)</f>
        <v>0.198812070380318</v>
      </c>
      <c r="CF228" s="60" t="n">
        <f aca="false">$I$27/AN228*(BY228-1)-CA228-BZ228*(2*AE228/AM228-$I$27/AN228)</f>
        <v>0.198812070380318</v>
      </c>
      <c r="CG228" s="60" t="n">
        <f aca="false">$J$27/AN228*(BY228-1)-CA228-BZ228*(2*AF228/AM228-$J$27/AN228)</f>
        <v>0.198812070380318</v>
      </c>
      <c r="CH228" s="60" t="n">
        <f aca="false">$K$27/AN228*(BY228-1)-CA228-BZ228*(2*AG228/AM228-$K$27/AN228)</f>
        <v>0.198812070380318</v>
      </c>
      <c r="CI228" s="60" t="n">
        <f aca="false">$L$27/AN228*(BY228-1)-CA228-BZ228*(2*AH228/AM228-$L$27/AN228)</f>
        <v>0.198812070380318</v>
      </c>
      <c r="CJ228" s="60" t="n">
        <f aca="false">$M$27/AN228*(BY228-1)-CA228-BZ228*(2*AI228/AM228-$M$27/AN228)</f>
        <v>0.198812070380318</v>
      </c>
      <c r="CK228" s="60" t="n">
        <f aca="false">$N$27/AN228*(BY228-1)-CA228-BZ228*(2*AJ228/AM228-$N$27/AN228)</f>
        <v>0.198812070380318</v>
      </c>
      <c r="CL228" s="60" t="n">
        <f aca="false">$O$27/AN228*(BY228-1)-CA228-BZ228*(2*AK228/AM228-$O$27/AN228)</f>
        <v>0.198812070380318</v>
      </c>
      <c r="CM228" s="60" t="n">
        <f aca="false">$P$27/AN228*(BY228-1)-CA228-BZ228*(2*AL228/AM228-$P$27/AN228)</f>
        <v>0.198812070380318</v>
      </c>
      <c r="CN228" s="60" t="n">
        <f aca="false">AP228/BY228&gt;$C$22</f>
        <v>0</v>
      </c>
      <c r="CO228" s="60" t="n">
        <f aca="false">1-N228+SUMPRODUCT(B228:M228,CB228:CM228)-SUMPRODUCT(B228:M228,CB227:CM227)</f>
        <v>0</v>
      </c>
      <c r="CP228" s="60" t="n">
        <f aca="false">SUMXMY2(O228:Z228,$E$13:$P$13)</f>
        <v>0</v>
      </c>
    </row>
    <row r="229" customFormat="false" ht="15" hidden="false" customHeight="false" outlineLevel="0" collapsed="false">
      <c r="A229" s="59" t="n">
        <v>20</v>
      </c>
      <c r="B229" s="60" t="n">
        <f aca="false">$E$13*EXP(MAX(-700,MIN(700,$E$86-CB228)))</f>
        <v>1</v>
      </c>
      <c r="C229" s="60" t="n">
        <f aca="false">$F$13*EXP(MAX(-700,MIN(700,$F$86-CC228)))</f>
        <v>0</v>
      </c>
      <c r="D229" s="60" t="n">
        <f aca="false">$G$13*EXP(MAX(-700,MIN(700,$G$86-CD228)))</f>
        <v>0</v>
      </c>
      <c r="E229" s="60" t="n">
        <f aca="false">$H$13*EXP(MAX(-700,MIN(700,$H$86-CE228)))</f>
        <v>0</v>
      </c>
      <c r="F229" s="60" t="n">
        <f aca="false">$I$13*EXP(MAX(-700,MIN(700,$I$86-CF228)))</f>
        <v>0</v>
      </c>
      <c r="G229" s="60" t="n">
        <f aca="false">$J$13*EXP(MAX(-700,MIN(700,$J$86-CG228)))</f>
        <v>0</v>
      </c>
      <c r="H229" s="60" t="n">
        <f aca="false">$K$13*EXP(MAX(-700,MIN(700,$K$86-CH228)))</f>
        <v>0</v>
      </c>
      <c r="I229" s="60" t="n">
        <f aca="false">$L$13*EXP(MAX(-700,MIN(700,$L$86-CI228)))</f>
        <v>0</v>
      </c>
      <c r="J229" s="60" t="n">
        <f aca="false">$M$13*EXP(MAX(-700,MIN(700,$M$86-CJ228)))</f>
        <v>0</v>
      </c>
      <c r="K229" s="60" t="n">
        <f aca="false">$N$13*EXP(MAX(-700,MIN(700,$N$86-CK228)))</f>
        <v>0</v>
      </c>
      <c r="L229" s="60" t="n">
        <f aca="false">$O$13*EXP(MAX(-700,MIN(700,$O$86-CL228)))</f>
        <v>0</v>
      </c>
      <c r="M229" s="60" t="n">
        <f aca="false">$P$13*EXP(MAX(-700,MIN(700,$P$86-CM228)))</f>
        <v>0</v>
      </c>
      <c r="N229" s="60" t="n">
        <f aca="false">SUM(B229:M229)</f>
        <v>1</v>
      </c>
      <c r="O229" s="60" t="n">
        <f aca="false">B229/N229</f>
        <v>1</v>
      </c>
      <c r="P229" s="60" t="n">
        <f aca="false">C229/N229</f>
        <v>0</v>
      </c>
      <c r="Q229" s="60" t="n">
        <f aca="false">D229/N229</f>
        <v>0</v>
      </c>
      <c r="R229" s="60" t="n">
        <f aca="false">E229/N229</f>
        <v>0</v>
      </c>
      <c r="S229" s="60" t="n">
        <f aca="false">F229/N229</f>
        <v>0</v>
      </c>
      <c r="T229" s="60" t="n">
        <f aca="false">G229/N229</f>
        <v>0</v>
      </c>
      <c r="U229" s="60" t="n">
        <f aca="false">H229/N229</f>
        <v>0</v>
      </c>
      <c r="V229" s="60" t="n">
        <f aca="false">I229/N229</f>
        <v>0</v>
      </c>
      <c r="W229" s="60" t="n">
        <f aca="false">J229/N229</f>
        <v>0</v>
      </c>
      <c r="X229" s="60" t="n">
        <f aca="false">K229/N229</f>
        <v>0</v>
      </c>
      <c r="Y229" s="60" t="n">
        <f aca="false">L229/N229</f>
        <v>0</v>
      </c>
      <c r="Z229" s="60" t="n">
        <f aca="false">M229/N229</f>
        <v>0</v>
      </c>
      <c r="AA229" s="60" t="n">
        <f aca="false">$E$28*SUMPRODUCT($E$31:$P$31,O229:Z229,$E$28:$P$28)</f>
        <v>0.184416866619846</v>
      </c>
      <c r="AB229" s="60" t="n">
        <f aca="false">$F$28*SUMPRODUCT($E$32:$P$32,O229:Z229,$E$28:$P$28)</f>
        <v>0</v>
      </c>
      <c r="AC229" s="60" t="n">
        <f aca="false">$G$28*SUMPRODUCT($E$33:$P$33,O229:Z229,$E$28:$P$28)</f>
        <v>0</v>
      </c>
      <c r="AD229" s="60" t="n">
        <f aca="false">$H$28*SUMPRODUCT($E$34:$P$34,O229:Z229,$E$28:$P$28)</f>
        <v>0</v>
      </c>
      <c r="AE229" s="60" t="n">
        <f aca="false">$I$28*SUMPRODUCT($E$35:$P$35,O229:Z229,$E$28:$P$28)</f>
        <v>0</v>
      </c>
      <c r="AF229" s="60" t="n">
        <f aca="false">$J$28*SUMPRODUCT($E$36:$P$36,O229:Z229,$E$28:$P$28)</f>
        <v>0</v>
      </c>
      <c r="AG229" s="60" t="n">
        <f aca="false">$K$28*SUMPRODUCT($E$37:$P$37,O229:Z229,$E$28:$P$28)</f>
        <v>0</v>
      </c>
      <c r="AH229" s="60" t="n">
        <f aca="false">$L$28*SUMPRODUCT($E$38:$P$38,O229:Z229,$E$28:$P$28)</f>
        <v>0</v>
      </c>
      <c r="AI229" s="60" t="n">
        <f aca="false">$M$28*SUMPRODUCT($E$39:$P$39,O229:Z229,$E$28:$P$28)</f>
        <v>0</v>
      </c>
      <c r="AJ229" s="60" t="n">
        <f aca="false">$N$28*SUMPRODUCT($E$40:$P$40,O229:Z229,$E$28:$P$28)</f>
        <v>0</v>
      </c>
      <c r="AK229" s="60" t="n">
        <f aca="false">$O$28*SUMPRODUCT($E$41:$P$41,O229:Z229,$E$28:$P$28)</f>
        <v>0</v>
      </c>
      <c r="AL229" s="60" t="n">
        <f aca="false">$P$28*SUMPRODUCT($E$42:$P$42,O229:Z229,$E$28:$P$28)</f>
        <v>0</v>
      </c>
      <c r="AM229" s="60" t="n">
        <f aca="false">SUMPRODUCT(O229:Z229,AA229:AL229)</f>
        <v>0.184416866619846</v>
      </c>
      <c r="AN229" s="60" t="n">
        <f aca="false">SUMPRODUCT(O229:Z229,$E$27:$P$27)</f>
        <v>2.67389635063809E-005</v>
      </c>
      <c r="AO229" s="60" t="n">
        <f aca="false">AM229*$C$9/($C$10*$C$8)^2</f>
        <v>0.21776909410545</v>
      </c>
      <c r="AP229" s="60" t="n">
        <f aca="false">AN229*$C$9/($C$10*$C$8)</f>
        <v>0.0918845243259994</v>
      </c>
      <c r="AQ229" s="60" t="n">
        <f aca="false">CHOOSE($C$7,-(1+AP229),-1,-(1-AP229))</f>
        <v>-0.908115475674001</v>
      </c>
      <c r="AR229" s="60" t="n">
        <f aca="false">CHOOSE($C$7,AO229,AO229-AP229-AP229^2,AO229-3*AP229^2-2*AP229)</f>
        <v>0.00867174802160559</v>
      </c>
      <c r="AS229" s="60" t="n">
        <f aca="false">CHOOSE($C$7,-AO229*AP229,-AO229*AP229,-(AO229*AP229-AP229^2-AP229^3))</f>
        <v>-0.0107910842936637</v>
      </c>
      <c r="AT229" s="60" t="n">
        <f aca="false">AR229-AQ229^2/3</f>
        <v>-0.266219491031267</v>
      </c>
      <c r="AU229" s="60" t="n">
        <f aca="false">2*AQ229^3/27-AQ229*AR229/3+AS229</f>
        <v>-0.0636400988362784</v>
      </c>
      <c r="AV229" s="60" t="n">
        <f aca="false">AU229^2/4+AT229^3/27</f>
        <v>0.000313710901361829</v>
      </c>
      <c r="AW229" s="60" t="n">
        <f aca="false">-AU229/2-IF(AU229&gt;=0,1,-1)*SQRT(MAX(AV229,0))</f>
        <v>0.0495319352963236</v>
      </c>
      <c r="AX229" s="60" t="n">
        <f aca="false">SIGN(AW229)*ABS(AW229)^(1/3)</f>
        <v>0.367249967174439</v>
      </c>
      <c r="AY229" s="60" t="n">
        <f aca="false">IF(AX229=0,0,AX229-AT229/(3*AX229))</f>
        <v>0.60888329127384</v>
      </c>
      <c r="AZ229" s="60" t="n">
        <f aca="false">2*SQRT(MAX(-AT229,0)/3)</f>
        <v>0.595784626668918</v>
      </c>
      <c r="BA229" s="60" t="n">
        <f aca="false">ACOS(IF(AZ229=0,0,MAX(-1,MIN(1,3*AU229/(AT229*AZ229)))))</f>
        <v>0</v>
      </c>
      <c r="BB229" s="60" t="n">
        <f aca="false">AZ229*COS(BA229/3)</f>
        <v>0.595784626668918</v>
      </c>
      <c r="BC229" s="60" t="n">
        <f aca="false">IF(AV229&lt;0,BB229,AY229)-AQ229/3</f>
        <v>0.91158844983184</v>
      </c>
      <c r="BD229" s="60" t="n">
        <f aca="false">IFERROR((((BC229+AQ229)*BC229+AR229)*BC229+AS229)/((3*BC229+2*AQ229)*BC229+AR229),0)</f>
        <v>0</v>
      </c>
      <c r="BE229" s="60" t="n">
        <f aca="false">IF(ABS(BD229)&lt;0.1*ABS(BC229),BC229-BD229,BC229)</f>
        <v>0.91158844983184</v>
      </c>
      <c r="BF229" s="60" t="n">
        <f aca="false">IFERROR((((BE229+AQ229)*BE229+AR229)*BE229+AS229)/((3*BE229+2*AQ229)*BE229+AR229),0)</f>
        <v>0</v>
      </c>
      <c r="BG229" s="60" t="n">
        <f aca="false">IF(ABS(BF229)&lt;0.1*ABS(BE229),BE229-BF229,BE229)</f>
        <v>0.91158844983184</v>
      </c>
      <c r="BH229" s="60" t="n">
        <f aca="false">-AS229/BG229</f>
        <v>0.0118376711504565</v>
      </c>
      <c r="BI229" s="60" t="n">
        <f aca="false">(AR229-BH229)/BG229</f>
        <v>-0.00347297415783941</v>
      </c>
      <c r="BJ229" s="60" t="n">
        <f aca="false">BI229^2-4*BH229</f>
        <v>-0.0473386230523248</v>
      </c>
      <c r="BK229" s="60" t="n">
        <f aca="false">IF(BJ229&gt;=0,(BI229+IF(BI229&gt;=0,1,-1)*SQRT(BJ229))/2,0)</f>
        <v>0</v>
      </c>
      <c r="BL229" s="60" t="n">
        <f aca="false">IF(AND(BJ229&gt;=0,BK229&lt;&gt;0),MIN(BK229,BH229/BK229),-1)</f>
        <v>-1</v>
      </c>
      <c r="BM229" s="60" t="n">
        <f aca="false">AND(BJ229&gt;=0,BL229&gt;AP229,ABS(BG229-BL229)&gt;=0.00005*MAX(BG229,BL229))</f>
        <v>0</v>
      </c>
      <c r="BN229" s="60" t="n">
        <f aca="false">IF(BM229,IFERROR((((BL229+AQ229)*BL229+AR229)*BL229+AS229)/((3*BL229+2*AQ229)*BL229+AR229),0),0)</f>
        <v>0</v>
      </c>
      <c r="BO229" s="60" t="n">
        <f aca="false">IF(ABS(BN229)&lt;0.1*ABS(BL229),BL229-BN229,BL229)</f>
        <v>-1</v>
      </c>
      <c r="BP229" s="60" t="n">
        <f aca="false">IF(BM229,IFERROR((((BO229+AQ229)*BO229+AR229)*BO229+AS229)/((3*BO229+2*AQ229)*BO229+AR229),0),0)</f>
        <v>0</v>
      </c>
      <c r="BQ229" s="60" t="n">
        <f aca="false">IF(ABS(BP229)&lt;0.1*ABS(BO229),BO229-BP229,BO229)</f>
        <v>-1</v>
      </c>
      <c r="BR229" s="60" t="n">
        <f aca="false">IF(BM229,MAX(BG229,BQ229),BG229)</f>
        <v>0.91158844983184</v>
      </c>
      <c r="BS229" s="60" t="n">
        <f aca="false">IF(BM229,MIN(BG229,BQ229),-1)</f>
        <v>-1</v>
      </c>
      <c r="BT229" s="60" t="n">
        <f aca="false">CHOOSE($C$7,AO229/BR229,AO229/AP229*LN(1+AP229/BR229),AO229/(2*SQRT(2)*AP229)*LN((BR229+(1+SQRT(2))*AP229)/(BR229+(1-SQRT(2))*AP229)))</f>
        <v>0.218240791233887</v>
      </c>
      <c r="BU229" s="60" t="n">
        <f aca="false">BR229-1-LN(BR229-AP229)-BT229</f>
        <v>-0.107840271021729</v>
      </c>
      <c r="BV229" s="60" t="n">
        <f aca="false">IF(BM229,CHOOSE($C$7,AO229/BS229,AO229/AP229*LN(1+AP229/BS229),AO229/(2*SQRT(2)*AP229)*LN((BS229+(1+SQRT(2))*AP229)/(BS229+(1-SQRT(2))*AP229))),0)</f>
        <v>0</v>
      </c>
      <c r="BW229" s="60" t="n">
        <f aca="false">IF(BM229,BS229-1-LN(BS229-AP229)-BV229,0)</f>
        <v>0</v>
      </c>
      <c r="BX229" s="60" t="n">
        <f aca="false">AND(BM229,BW229&lt;BU229)</f>
        <v>0</v>
      </c>
      <c r="BY229" s="60" t="n">
        <f aca="false">IF(BX229,BS229,BR229)</f>
        <v>0.91158844983184</v>
      </c>
      <c r="BZ229" s="60" t="n">
        <f aca="false">IF(BX229,BV229,BT229)</f>
        <v>0.218240791233887</v>
      </c>
      <c r="CA229" s="60" t="n">
        <f aca="false">LN(BY229-AP229)</f>
        <v>-0.198812070380318</v>
      </c>
      <c r="CB229" s="60" t="n">
        <f aca="false">$E$27/AN229*(BY229-1)-CA229-BZ229*(2*AA229/AM229-$E$27/AN229)</f>
        <v>-0.107840271021729</v>
      </c>
      <c r="CC229" s="60" t="n">
        <f aca="false">$F$27/AN229*(BY229-1)-CA229-BZ229*(2*AB229/AM229-$F$27/AN229)</f>
        <v>0.198812070380318</v>
      </c>
      <c r="CD229" s="60" t="n">
        <f aca="false">$G$27/AN229*(BY229-1)-CA229-BZ229*(2*AC229/AM229-$G$27/AN229)</f>
        <v>0.198812070380318</v>
      </c>
      <c r="CE229" s="60" t="n">
        <f aca="false">$H$27/AN229*(BY229-1)-CA229-BZ229*(2*AD229/AM229-$H$27/AN229)</f>
        <v>0.198812070380318</v>
      </c>
      <c r="CF229" s="60" t="n">
        <f aca="false">$I$27/AN229*(BY229-1)-CA229-BZ229*(2*AE229/AM229-$I$27/AN229)</f>
        <v>0.198812070380318</v>
      </c>
      <c r="CG229" s="60" t="n">
        <f aca="false">$J$27/AN229*(BY229-1)-CA229-BZ229*(2*AF229/AM229-$J$27/AN229)</f>
        <v>0.198812070380318</v>
      </c>
      <c r="CH229" s="60" t="n">
        <f aca="false">$K$27/AN229*(BY229-1)-CA229-BZ229*(2*AG229/AM229-$K$27/AN229)</f>
        <v>0.198812070380318</v>
      </c>
      <c r="CI229" s="60" t="n">
        <f aca="false">$L$27/AN229*(BY229-1)-CA229-BZ229*(2*AH229/AM229-$L$27/AN229)</f>
        <v>0.198812070380318</v>
      </c>
      <c r="CJ229" s="60" t="n">
        <f aca="false">$M$27/AN229*(BY229-1)-CA229-BZ229*(2*AI229/AM229-$M$27/AN229)</f>
        <v>0.198812070380318</v>
      </c>
      <c r="CK229" s="60" t="n">
        <f aca="false">$N$27/AN229*(BY229-1)-CA229-BZ229*(2*AJ229/AM229-$N$27/AN229)</f>
        <v>0.198812070380318</v>
      </c>
      <c r="CL229" s="60" t="n">
        <f aca="false">$O$27/AN229*(BY229-1)-CA229-BZ229*(2*AK229/AM229-$O$27/AN229)</f>
        <v>0.198812070380318</v>
      </c>
      <c r="CM229" s="60" t="n">
        <f aca="false">$P$27/AN229*(BY229-1)-CA229-BZ229*(2*AL229/AM229-$P$27/AN229)</f>
        <v>0.198812070380318</v>
      </c>
      <c r="CN229" s="60" t="n">
        <f aca="false">AP229/BY229&gt;$C$22</f>
        <v>0</v>
      </c>
      <c r="CO229" s="60" t="n">
        <f aca="false">1-N229+SUMPRODUCT(B229:M229,CB229:CM229)-SUMPRODUCT(B229:M229,CB228:CM228)</f>
        <v>0</v>
      </c>
      <c r="CP229" s="60" t="n">
        <f aca="false">SUMXMY2(O229:Z229,$E$13:$P$13)</f>
        <v>0</v>
      </c>
    </row>
    <row r="230" customFormat="false" ht="15" hidden="false" customHeight="false" outlineLevel="0" collapsed="false">
      <c r="A230" s="59" t="n">
        <v>21</v>
      </c>
      <c r="B230" s="60" t="n">
        <f aca="false">$E$13*EXP(MAX(-700,MIN(700,$E$86-CB229)))</f>
        <v>1</v>
      </c>
      <c r="C230" s="60" t="n">
        <f aca="false">$F$13*EXP(MAX(-700,MIN(700,$F$86-CC229)))</f>
        <v>0</v>
      </c>
      <c r="D230" s="60" t="n">
        <f aca="false">$G$13*EXP(MAX(-700,MIN(700,$G$86-CD229)))</f>
        <v>0</v>
      </c>
      <c r="E230" s="60" t="n">
        <f aca="false">$H$13*EXP(MAX(-700,MIN(700,$H$86-CE229)))</f>
        <v>0</v>
      </c>
      <c r="F230" s="60" t="n">
        <f aca="false">$I$13*EXP(MAX(-700,MIN(700,$I$86-CF229)))</f>
        <v>0</v>
      </c>
      <c r="G230" s="60" t="n">
        <f aca="false">$J$13*EXP(MAX(-700,MIN(700,$J$86-CG229)))</f>
        <v>0</v>
      </c>
      <c r="H230" s="60" t="n">
        <f aca="false">$K$13*EXP(MAX(-700,MIN(700,$K$86-CH229)))</f>
        <v>0</v>
      </c>
      <c r="I230" s="60" t="n">
        <f aca="false">$L$13*EXP(MAX(-700,MIN(700,$L$86-CI229)))</f>
        <v>0</v>
      </c>
      <c r="J230" s="60" t="n">
        <f aca="false">$M$13*EXP(MAX(-700,MIN(700,$M$86-CJ229)))</f>
        <v>0</v>
      </c>
      <c r="K230" s="60" t="n">
        <f aca="false">$N$13*EXP(MAX(-700,MIN(700,$N$86-CK229)))</f>
        <v>0</v>
      </c>
      <c r="L230" s="60" t="n">
        <f aca="false">$O$13*EXP(MAX(-700,MIN(700,$O$86-CL229)))</f>
        <v>0</v>
      </c>
      <c r="M230" s="60" t="n">
        <f aca="false">$P$13*EXP(MAX(-700,MIN(700,$P$86-CM229)))</f>
        <v>0</v>
      </c>
      <c r="N230" s="60" t="n">
        <f aca="false">SUM(B230:M230)</f>
        <v>1</v>
      </c>
      <c r="O230" s="60" t="n">
        <f aca="false">B230/N230</f>
        <v>1</v>
      </c>
      <c r="P230" s="60" t="n">
        <f aca="false">C230/N230</f>
        <v>0</v>
      </c>
      <c r="Q230" s="60" t="n">
        <f aca="false">D230/N230</f>
        <v>0</v>
      </c>
      <c r="R230" s="60" t="n">
        <f aca="false">E230/N230</f>
        <v>0</v>
      </c>
      <c r="S230" s="60" t="n">
        <f aca="false">F230/N230</f>
        <v>0</v>
      </c>
      <c r="T230" s="60" t="n">
        <f aca="false">G230/N230</f>
        <v>0</v>
      </c>
      <c r="U230" s="60" t="n">
        <f aca="false">H230/N230</f>
        <v>0</v>
      </c>
      <c r="V230" s="60" t="n">
        <f aca="false">I230/N230</f>
        <v>0</v>
      </c>
      <c r="W230" s="60" t="n">
        <f aca="false">J230/N230</f>
        <v>0</v>
      </c>
      <c r="X230" s="60" t="n">
        <f aca="false">K230/N230</f>
        <v>0</v>
      </c>
      <c r="Y230" s="60" t="n">
        <f aca="false">L230/N230</f>
        <v>0</v>
      </c>
      <c r="Z230" s="60" t="n">
        <f aca="false">M230/N230</f>
        <v>0</v>
      </c>
      <c r="AA230" s="60" t="n">
        <f aca="false">$E$28*SUMPRODUCT($E$31:$P$31,O230:Z230,$E$28:$P$28)</f>
        <v>0.184416866619846</v>
      </c>
      <c r="AB230" s="60" t="n">
        <f aca="false">$F$28*SUMPRODUCT($E$32:$P$32,O230:Z230,$E$28:$P$28)</f>
        <v>0</v>
      </c>
      <c r="AC230" s="60" t="n">
        <f aca="false">$G$28*SUMPRODUCT($E$33:$P$33,O230:Z230,$E$28:$P$28)</f>
        <v>0</v>
      </c>
      <c r="AD230" s="60" t="n">
        <f aca="false">$H$28*SUMPRODUCT($E$34:$P$34,O230:Z230,$E$28:$P$28)</f>
        <v>0</v>
      </c>
      <c r="AE230" s="60" t="n">
        <f aca="false">$I$28*SUMPRODUCT($E$35:$P$35,O230:Z230,$E$28:$P$28)</f>
        <v>0</v>
      </c>
      <c r="AF230" s="60" t="n">
        <f aca="false">$J$28*SUMPRODUCT($E$36:$P$36,O230:Z230,$E$28:$P$28)</f>
        <v>0</v>
      </c>
      <c r="AG230" s="60" t="n">
        <f aca="false">$K$28*SUMPRODUCT($E$37:$P$37,O230:Z230,$E$28:$P$28)</f>
        <v>0</v>
      </c>
      <c r="AH230" s="60" t="n">
        <f aca="false">$L$28*SUMPRODUCT($E$38:$P$38,O230:Z230,$E$28:$P$28)</f>
        <v>0</v>
      </c>
      <c r="AI230" s="60" t="n">
        <f aca="false">$M$28*SUMPRODUCT($E$39:$P$39,O230:Z230,$E$28:$P$28)</f>
        <v>0</v>
      </c>
      <c r="AJ230" s="60" t="n">
        <f aca="false">$N$28*SUMPRODUCT($E$40:$P$40,O230:Z230,$E$28:$P$28)</f>
        <v>0</v>
      </c>
      <c r="AK230" s="60" t="n">
        <f aca="false">$O$28*SUMPRODUCT($E$41:$P$41,O230:Z230,$E$28:$P$28)</f>
        <v>0</v>
      </c>
      <c r="AL230" s="60" t="n">
        <f aca="false">$P$28*SUMPRODUCT($E$42:$P$42,O230:Z230,$E$28:$P$28)</f>
        <v>0</v>
      </c>
      <c r="AM230" s="60" t="n">
        <f aca="false">SUMPRODUCT(O230:Z230,AA230:AL230)</f>
        <v>0.184416866619846</v>
      </c>
      <c r="AN230" s="60" t="n">
        <f aca="false">SUMPRODUCT(O230:Z230,$E$27:$P$27)</f>
        <v>2.67389635063809E-005</v>
      </c>
      <c r="AO230" s="60" t="n">
        <f aca="false">AM230*$C$9/($C$10*$C$8)^2</f>
        <v>0.21776909410545</v>
      </c>
      <c r="AP230" s="60" t="n">
        <f aca="false">AN230*$C$9/($C$10*$C$8)</f>
        <v>0.0918845243259994</v>
      </c>
      <c r="AQ230" s="60" t="n">
        <f aca="false">CHOOSE($C$7,-(1+AP230),-1,-(1-AP230))</f>
        <v>-0.908115475674001</v>
      </c>
      <c r="AR230" s="60" t="n">
        <f aca="false">CHOOSE($C$7,AO230,AO230-AP230-AP230^2,AO230-3*AP230^2-2*AP230)</f>
        <v>0.00867174802160559</v>
      </c>
      <c r="AS230" s="60" t="n">
        <f aca="false">CHOOSE($C$7,-AO230*AP230,-AO230*AP230,-(AO230*AP230-AP230^2-AP230^3))</f>
        <v>-0.0107910842936637</v>
      </c>
      <c r="AT230" s="60" t="n">
        <f aca="false">AR230-AQ230^2/3</f>
        <v>-0.266219491031267</v>
      </c>
      <c r="AU230" s="60" t="n">
        <f aca="false">2*AQ230^3/27-AQ230*AR230/3+AS230</f>
        <v>-0.0636400988362784</v>
      </c>
      <c r="AV230" s="60" t="n">
        <f aca="false">AU230^2/4+AT230^3/27</f>
        <v>0.000313710901361829</v>
      </c>
      <c r="AW230" s="60" t="n">
        <f aca="false">-AU230/2-IF(AU230&gt;=0,1,-1)*SQRT(MAX(AV230,0))</f>
        <v>0.0495319352963236</v>
      </c>
      <c r="AX230" s="60" t="n">
        <f aca="false">SIGN(AW230)*ABS(AW230)^(1/3)</f>
        <v>0.367249967174439</v>
      </c>
      <c r="AY230" s="60" t="n">
        <f aca="false">IF(AX230=0,0,AX230-AT230/(3*AX230))</f>
        <v>0.60888329127384</v>
      </c>
      <c r="AZ230" s="60" t="n">
        <f aca="false">2*SQRT(MAX(-AT230,0)/3)</f>
        <v>0.595784626668918</v>
      </c>
      <c r="BA230" s="60" t="n">
        <f aca="false">ACOS(IF(AZ230=0,0,MAX(-1,MIN(1,3*AU230/(AT230*AZ230)))))</f>
        <v>0</v>
      </c>
      <c r="BB230" s="60" t="n">
        <f aca="false">AZ230*COS(BA230/3)</f>
        <v>0.595784626668918</v>
      </c>
      <c r="BC230" s="60" t="n">
        <f aca="false">IF(AV230&lt;0,BB230,AY230)-AQ230/3</f>
        <v>0.91158844983184</v>
      </c>
      <c r="BD230" s="60" t="n">
        <f aca="false">IFERROR((((BC230+AQ230)*BC230+AR230)*BC230+AS230)/((3*BC230+2*AQ230)*BC230+AR230),0)</f>
        <v>0</v>
      </c>
      <c r="BE230" s="60" t="n">
        <f aca="false">IF(ABS(BD230)&lt;0.1*ABS(BC230),BC230-BD230,BC230)</f>
        <v>0.91158844983184</v>
      </c>
      <c r="BF230" s="60" t="n">
        <f aca="false">IFERROR((((BE230+AQ230)*BE230+AR230)*BE230+AS230)/((3*BE230+2*AQ230)*BE230+AR230),0)</f>
        <v>0</v>
      </c>
      <c r="BG230" s="60" t="n">
        <f aca="false">IF(ABS(BF230)&lt;0.1*ABS(BE230),BE230-BF230,BE230)</f>
        <v>0.91158844983184</v>
      </c>
      <c r="BH230" s="60" t="n">
        <f aca="false">-AS230/BG230</f>
        <v>0.0118376711504565</v>
      </c>
      <c r="BI230" s="60" t="n">
        <f aca="false">(AR230-BH230)/BG230</f>
        <v>-0.00347297415783941</v>
      </c>
      <c r="BJ230" s="60" t="n">
        <f aca="false">BI230^2-4*BH230</f>
        <v>-0.0473386230523248</v>
      </c>
      <c r="BK230" s="60" t="n">
        <f aca="false">IF(BJ230&gt;=0,(BI230+IF(BI230&gt;=0,1,-1)*SQRT(BJ230))/2,0)</f>
        <v>0</v>
      </c>
      <c r="BL230" s="60" t="n">
        <f aca="false">IF(AND(BJ230&gt;=0,BK230&lt;&gt;0),MIN(BK230,BH230/BK230),-1)</f>
        <v>-1</v>
      </c>
      <c r="BM230" s="60" t="n">
        <f aca="false">AND(BJ230&gt;=0,BL230&gt;AP230,ABS(BG230-BL230)&gt;=0.00005*MAX(BG230,BL230))</f>
        <v>0</v>
      </c>
      <c r="BN230" s="60" t="n">
        <f aca="false">IF(BM230,IFERROR((((BL230+AQ230)*BL230+AR230)*BL230+AS230)/((3*BL230+2*AQ230)*BL230+AR230),0),0)</f>
        <v>0</v>
      </c>
      <c r="BO230" s="60" t="n">
        <f aca="false">IF(ABS(BN230)&lt;0.1*ABS(BL230),BL230-BN230,BL230)</f>
        <v>-1</v>
      </c>
      <c r="BP230" s="60" t="n">
        <f aca="false">IF(BM230,IFERROR((((BO230+AQ230)*BO230+AR230)*BO230+AS230)/((3*BO230+2*AQ230)*BO230+AR230),0),0)</f>
        <v>0</v>
      </c>
      <c r="BQ230" s="60" t="n">
        <f aca="false">IF(ABS(BP230)&lt;0.1*ABS(BO230),BO230-BP230,BO230)</f>
        <v>-1</v>
      </c>
      <c r="BR230" s="60" t="n">
        <f aca="false">IF(BM230,MAX(BG230,BQ230),BG230)</f>
        <v>0.91158844983184</v>
      </c>
      <c r="BS230" s="60" t="n">
        <f aca="false">IF(BM230,MIN(BG230,BQ230),-1)</f>
        <v>-1</v>
      </c>
      <c r="BT230" s="60" t="n">
        <f aca="false">CHOOSE($C$7,AO230/BR230,AO230/AP230*LN(1+AP230/BR230),AO230/(2*SQRT(2)*AP230)*LN((BR230+(1+SQRT(2))*AP230)/(BR230+(1-SQRT(2))*AP230)))</f>
        <v>0.218240791233887</v>
      </c>
      <c r="BU230" s="60" t="n">
        <f aca="false">BR230-1-LN(BR230-AP230)-BT230</f>
        <v>-0.107840271021729</v>
      </c>
      <c r="BV230" s="60" t="n">
        <f aca="false">IF(BM230,CHOOSE($C$7,AO230/BS230,AO230/AP230*LN(1+AP230/BS230),AO230/(2*SQRT(2)*AP230)*LN((BS230+(1+SQRT(2))*AP230)/(BS230+(1-SQRT(2))*AP230))),0)</f>
        <v>0</v>
      </c>
      <c r="BW230" s="60" t="n">
        <f aca="false">IF(BM230,BS230-1-LN(BS230-AP230)-BV230,0)</f>
        <v>0</v>
      </c>
      <c r="BX230" s="60" t="n">
        <f aca="false">AND(BM230,BW230&lt;BU230)</f>
        <v>0</v>
      </c>
      <c r="BY230" s="60" t="n">
        <f aca="false">IF(BX230,BS230,BR230)</f>
        <v>0.91158844983184</v>
      </c>
      <c r="BZ230" s="60" t="n">
        <f aca="false">IF(BX230,BV230,BT230)</f>
        <v>0.218240791233887</v>
      </c>
      <c r="CA230" s="60" t="n">
        <f aca="false">LN(BY230-AP230)</f>
        <v>-0.198812070380318</v>
      </c>
      <c r="CB230" s="60" t="n">
        <f aca="false">$E$27/AN230*(BY230-1)-CA230-BZ230*(2*AA230/AM230-$E$27/AN230)</f>
        <v>-0.107840271021729</v>
      </c>
      <c r="CC230" s="60" t="n">
        <f aca="false">$F$27/AN230*(BY230-1)-CA230-BZ230*(2*AB230/AM230-$F$27/AN230)</f>
        <v>0.198812070380318</v>
      </c>
      <c r="CD230" s="60" t="n">
        <f aca="false">$G$27/AN230*(BY230-1)-CA230-BZ230*(2*AC230/AM230-$G$27/AN230)</f>
        <v>0.198812070380318</v>
      </c>
      <c r="CE230" s="60" t="n">
        <f aca="false">$H$27/AN230*(BY230-1)-CA230-BZ230*(2*AD230/AM230-$H$27/AN230)</f>
        <v>0.198812070380318</v>
      </c>
      <c r="CF230" s="60" t="n">
        <f aca="false">$I$27/AN230*(BY230-1)-CA230-BZ230*(2*AE230/AM230-$I$27/AN230)</f>
        <v>0.198812070380318</v>
      </c>
      <c r="CG230" s="60" t="n">
        <f aca="false">$J$27/AN230*(BY230-1)-CA230-BZ230*(2*AF230/AM230-$J$27/AN230)</f>
        <v>0.198812070380318</v>
      </c>
      <c r="CH230" s="60" t="n">
        <f aca="false">$K$27/AN230*(BY230-1)-CA230-BZ230*(2*AG230/AM230-$K$27/AN230)</f>
        <v>0.198812070380318</v>
      </c>
      <c r="CI230" s="60" t="n">
        <f aca="false">$L$27/AN230*(BY230-1)-CA230-BZ230*(2*AH230/AM230-$L$27/AN230)</f>
        <v>0.198812070380318</v>
      </c>
      <c r="CJ230" s="60" t="n">
        <f aca="false">$M$27/AN230*(BY230-1)-CA230-BZ230*(2*AI230/AM230-$M$27/AN230)</f>
        <v>0.198812070380318</v>
      </c>
      <c r="CK230" s="60" t="n">
        <f aca="false">$N$27/AN230*(BY230-1)-CA230-BZ230*(2*AJ230/AM230-$N$27/AN230)</f>
        <v>0.198812070380318</v>
      </c>
      <c r="CL230" s="60" t="n">
        <f aca="false">$O$27/AN230*(BY230-1)-CA230-BZ230*(2*AK230/AM230-$O$27/AN230)</f>
        <v>0.198812070380318</v>
      </c>
      <c r="CM230" s="60" t="n">
        <f aca="false">$P$27/AN230*(BY230-1)-CA230-BZ230*(2*AL230/AM230-$P$27/AN230)</f>
        <v>0.198812070380318</v>
      </c>
      <c r="CN230" s="60" t="n">
        <f aca="false">AP230/BY230&gt;$C$22</f>
        <v>0</v>
      </c>
      <c r="CO230" s="60" t="n">
        <f aca="false">1-N230+SUMPRODUCT(B230:M230,CB230:CM230)-SUMPRODUCT(B230:M230,CB229:CM229)</f>
        <v>0</v>
      </c>
      <c r="CP230" s="60" t="n">
        <f aca="false">SUMXMY2(O230:Z230,$E$13:$P$13)</f>
        <v>0</v>
      </c>
    </row>
    <row r="231" customFormat="false" ht="15" hidden="false" customHeight="false" outlineLevel="0" collapsed="false">
      <c r="A231" s="59" t="n">
        <v>22</v>
      </c>
      <c r="B231" s="60" t="n">
        <f aca="false">$E$13*EXP(MAX(-700,MIN(700,$E$86-CB230)))</f>
        <v>1</v>
      </c>
      <c r="C231" s="60" t="n">
        <f aca="false">$F$13*EXP(MAX(-700,MIN(700,$F$86-CC230)))</f>
        <v>0</v>
      </c>
      <c r="D231" s="60" t="n">
        <f aca="false">$G$13*EXP(MAX(-700,MIN(700,$G$86-CD230)))</f>
        <v>0</v>
      </c>
      <c r="E231" s="60" t="n">
        <f aca="false">$H$13*EXP(MAX(-700,MIN(700,$H$86-CE230)))</f>
        <v>0</v>
      </c>
      <c r="F231" s="60" t="n">
        <f aca="false">$I$13*EXP(MAX(-700,MIN(700,$I$86-CF230)))</f>
        <v>0</v>
      </c>
      <c r="G231" s="60" t="n">
        <f aca="false">$J$13*EXP(MAX(-700,MIN(700,$J$86-CG230)))</f>
        <v>0</v>
      </c>
      <c r="H231" s="60" t="n">
        <f aca="false">$K$13*EXP(MAX(-700,MIN(700,$K$86-CH230)))</f>
        <v>0</v>
      </c>
      <c r="I231" s="60" t="n">
        <f aca="false">$L$13*EXP(MAX(-700,MIN(700,$L$86-CI230)))</f>
        <v>0</v>
      </c>
      <c r="J231" s="60" t="n">
        <f aca="false">$M$13*EXP(MAX(-700,MIN(700,$M$86-CJ230)))</f>
        <v>0</v>
      </c>
      <c r="K231" s="60" t="n">
        <f aca="false">$N$13*EXP(MAX(-700,MIN(700,$N$86-CK230)))</f>
        <v>0</v>
      </c>
      <c r="L231" s="60" t="n">
        <f aca="false">$O$13*EXP(MAX(-700,MIN(700,$O$86-CL230)))</f>
        <v>0</v>
      </c>
      <c r="M231" s="60" t="n">
        <f aca="false">$P$13*EXP(MAX(-700,MIN(700,$P$86-CM230)))</f>
        <v>0</v>
      </c>
      <c r="N231" s="60" t="n">
        <f aca="false">SUM(B231:M231)</f>
        <v>1</v>
      </c>
      <c r="O231" s="60" t="n">
        <f aca="false">B231/N231</f>
        <v>1</v>
      </c>
      <c r="P231" s="60" t="n">
        <f aca="false">C231/N231</f>
        <v>0</v>
      </c>
      <c r="Q231" s="60" t="n">
        <f aca="false">D231/N231</f>
        <v>0</v>
      </c>
      <c r="R231" s="60" t="n">
        <f aca="false">E231/N231</f>
        <v>0</v>
      </c>
      <c r="S231" s="60" t="n">
        <f aca="false">F231/N231</f>
        <v>0</v>
      </c>
      <c r="T231" s="60" t="n">
        <f aca="false">G231/N231</f>
        <v>0</v>
      </c>
      <c r="U231" s="60" t="n">
        <f aca="false">H231/N231</f>
        <v>0</v>
      </c>
      <c r="V231" s="60" t="n">
        <f aca="false">I231/N231</f>
        <v>0</v>
      </c>
      <c r="W231" s="60" t="n">
        <f aca="false">J231/N231</f>
        <v>0</v>
      </c>
      <c r="X231" s="60" t="n">
        <f aca="false">K231/N231</f>
        <v>0</v>
      </c>
      <c r="Y231" s="60" t="n">
        <f aca="false">L231/N231</f>
        <v>0</v>
      </c>
      <c r="Z231" s="60" t="n">
        <f aca="false">M231/N231</f>
        <v>0</v>
      </c>
      <c r="AA231" s="60" t="n">
        <f aca="false">$E$28*SUMPRODUCT($E$31:$P$31,O231:Z231,$E$28:$P$28)</f>
        <v>0.184416866619846</v>
      </c>
      <c r="AB231" s="60" t="n">
        <f aca="false">$F$28*SUMPRODUCT($E$32:$P$32,O231:Z231,$E$28:$P$28)</f>
        <v>0</v>
      </c>
      <c r="AC231" s="60" t="n">
        <f aca="false">$G$28*SUMPRODUCT($E$33:$P$33,O231:Z231,$E$28:$P$28)</f>
        <v>0</v>
      </c>
      <c r="AD231" s="60" t="n">
        <f aca="false">$H$28*SUMPRODUCT($E$34:$P$34,O231:Z231,$E$28:$P$28)</f>
        <v>0</v>
      </c>
      <c r="AE231" s="60" t="n">
        <f aca="false">$I$28*SUMPRODUCT($E$35:$P$35,O231:Z231,$E$28:$P$28)</f>
        <v>0</v>
      </c>
      <c r="AF231" s="60" t="n">
        <f aca="false">$J$28*SUMPRODUCT($E$36:$P$36,O231:Z231,$E$28:$P$28)</f>
        <v>0</v>
      </c>
      <c r="AG231" s="60" t="n">
        <f aca="false">$K$28*SUMPRODUCT($E$37:$P$37,O231:Z231,$E$28:$P$28)</f>
        <v>0</v>
      </c>
      <c r="AH231" s="60" t="n">
        <f aca="false">$L$28*SUMPRODUCT($E$38:$P$38,O231:Z231,$E$28:$P$28)</f>
        <v>0</v>
      </c>
      <c r="AI231" s="60" t="n">
        <f aca="false">$M$28*SUMPRODUCT($E$39:$P$39,O231:Z231,$E$28:$P$28)</f>
        <v>0</v>
      </c>
      <c r="AJ231" s="60" t="n">
        <f aca="false">$N$28*SUMPRODUCT($E$40:$P$40,O231:Z231,$E$28:$P$28)</f>
        <v>0</v>
      </c>
      <c r="AK231" s="60" t="n">
        <f aca="false">$O$28*SUMPRODUCT($E$41:$P$41,O231:Z231,$E$28:$P$28)</f>
        <v>0</v>
      </c>
      <c r="AL231" s="60" t="n">
        <f aca="false">$P$28*SUMPRODUCT($E$42:$P$42,O231:Z231,$E$28:$P$28)</f>
        <v>0</v>
      </c>
      <c r="AM231" s="60" t="n">
        <f aca="false">SUMPRODUCT(O231:Z231,AA231:AL231)</f>
        <v>0.184416866619846</v>
      </c>
      <c r="AN231" s="60" t="n">
        <f aca="false">SUMPRODUCT(O231:Z231,$E$27:$P$27)</f>
        <v>2.67389635063809E-005</v>
      </c>
      <c r="AO231" s="60" t="n">
        <f aca="false">AM231*$C$9/($C$10*$C$8)^2</f>
        <v>0.21776909410545</v>
      </c>
      <c r="AP231" s="60" t="n">
        <f aca="false">AN231*$C$9/($C$10*$C$8)</f>
        <v>0.0918845243259994</v>
      </c>
      <c r="AQ231" s="60" t="n">
        <f aca="false">CHOOSE($C$7,-(1+AP231),-1,-(1-AP231))</f>
        <v>-0.908115475674001</v>
      </c>
      <c r="AR231" s="60" t="n">
        <f aca="false">CHOOSE($C$7,AO231,AO231-AP231-AP231^2,AO231-3*AP231^2-2*AP231)</f>
        <v>0.00867174802160559</v>
      </c>
      <c r="AS231" s="60" t="n">
        <f aca="false">CHOOSE($C$7,-AO231*AP231,-AO231*AP231,-(AO231*AP231-AP231^2-AP231^3))</f>
        <v>-0.0107910842936637</v>
      </c>
      <c r="AT231" s="60" t="n">
        <f aca="false">AR231-AQ231^2/3</f>
        <v>-0.266219491031267</v>
      </c>
      <c r="AU231" s="60" t="n">
        <f aca="false">2*AQ231^3/27-AQ231*AR231/3+AS231</f>
        <v>-0.0636400988362784</v>
      </c>
      <c r="AV231" s="60" t="n">
        <f aca="false">AU231^2/4+AT231^3/27</f>
        <v>0.000313710901361829</v>
      </c>
      <c r="AW231" s="60" t="n">
        <f aca="false">-AU231/2-IF(AU231&gt;=0,1,-1)*SQRT(MAX(AV231,0))</f>
        <v>0.0495319352963236</v>
      </c>
      <c r="AX231" s="60" t="n">
        <f aca="false">SIGN(AW231)*ABS(AW231)^(1/3)</f>
        <v>0.367249967174439</v>
      </c>
      <c r="AY231" s="60" t="n">
        <f aca="false">IF(AX231=0,0,AX231-AT231/(3*AX231))</f>
        <v>0.60888329127384</v>
      </c>
      <c r="AZ231" s="60" t="n">
        <f aca="false">2*SQRT(MAX(-AT231,0)/3)</f>
        <v>0.595784626668918</v>
      </c>
      <c r="BA231" s="60" t="n">
        <f aca="false">ACOS(IF(AZ231=0,0,MAX(-1,MIN(1,3*AU231/(AT231*AZ231)))))</f>
        <v>0</v>
      </c>
      <c r="BB231" s="60" t="n">
        <f aca="false">AZ231*COS(BA231/3)</f>
        <v>0.595784626668918</v>
      </c>
      <c r="BC231" s="60" t="n">
        <f aca="false">IF(AV231&lt;0,BB231,AY231)-AQ231/3</f>
        <v>0.91158844983184</v>
      </c>
      <c r="BD231" s="60" t="n">
        <f aca="false">IFERROR((((BC231+AQ231)*BC231+AR231)*BC231+AS231)/((3*BC231+2*AQ231)*BC231+AR231),0)</f>
        <v>0</v>
      </c>
      <c r="BE231" s="60" t="n">
        <f aca="false">IF(ABS(BD231)&lt;0.1*ABS(BC231),BC231-BD231,BC231)</f>
        <v>0.91158844983184</v>
      </c>
      <c r="BF231" s="60" t="n">
        <f aca="false">IFERROR((((BE231+AQ231)*BE231+AR231)*BE231+AS231)/((3*BE231+2*AQ231)*BE231+AR231),0)</f>
        <v>0</v>
      </c>
      <c r="BG231" s="60" t="n">
        <f aca="false">IF(ABS(BF231)&lt;0.1*ABS(BE231),BE231-BF231,BE231)</f>
        <v>0.91158844983184</v>
      </c>
      <c r="BH231" s="60" t="n">
        <f aca="false">-AS231/BG231</f>
        <v>0.0118376711504565</v>
      </c>
      <c r="BI231" s="60" t="n">
        <f aca="false">(AR231-BH231)/BG231</f>
        <v>-0.00347297415783941</v>
      </c>
      <c r="BJ231" s="60" t="n">
        <f aca="false">BI231^2-4*BH231</f>
        <v>-0.0473386230523248</v>
      </c>
      <c r="BK231" s="60" t="n">
        <f aca="false">IF(BJ231&gt;=0,(BI231+IF(BI231&gt;=0,1,-1)*SQRT(BJ231))/2,0)</f>
        <v>0</v>
      </c>
      <c r="BL231" s="60" t="n">
        <f aca="false">IF(AND(BJ231&gt;=0,BK231&lt;&gt;0),MIN(BK231,BH231/BK231),-1)</f>
        <v>-1</v>
      </c>
      <c r="BM231" s="60" t="n">
        <f aca="false">AND(BJ231&gt;=0,BL231&gt;AP231,ABS(BG231-BL231)&gt;=0.00005*MAX(BG231,BL231))</f>
        <v>0</v>
      </c>
      <c r="BN231" s="60" t="n">
        <f aca="false">IF(BM231,IFERROR((((BL231+AQ231)*BL231+AR231)*BL231+AS231)/((3*BL231+2*AQ231)*BL231+AR231),0),0)</f>
        <v>0</v>
      </c>
      <c r="BO231" s="60" t="n">
        <f aca="false">IF(ABS(BN231)&lt;0.1*ABS(BL231),BL231-BN231,BL231)</f>
        <v>-1</v>
      </c>
      <c r="BP231" s="60" t="n">
        <f aca="false">IF(BM231,IFERROR((((BO231+AQ231)*BO231+AR231)*BO231+AS231)/((3*BO231+2*AQ231)*BO231+AR231),0),0)</f>
        <v>0</v>
      </c>
      <c r="BQ231" s="60" t="n">
        <f aca="false">IF(ABS(BP231)&lt;0.1*ABS(BO231),BO231-BP231,BO231)</f>
        <v>-1</v>
      </c>
      <c r="BR231" s="60" t="n">
        <f aca="false">IF(BM231,MAX(BG231,BQ231),BG231)</f>
        <v>0.91158844983184</v>
      </c>
      <c r="BS231" s="60" t="n">
        <f aca="false">IF(BM231,MIN(BG231,BQ231),-1)</f>
        <v>-1</v>
      </c>
      <c r="BT231" s="60" t="n">
        <f aca="false">CHOOSE($C$7,AO231/BR231,AO231/AP231*LN(1+AP231/BR231),AO231/(2*SQRT(2)*AP231)*LN((BR231+(1+SQRT(2))*AP231)/(BR231+(1-SQRT(2))*AP231)))</f>
        <v>0.218240791233887</v>
      </c>
      <c r="BU231" s="60" t="n">
        <f aca="false">BR231-1-LN(BR231-AP231)-BT231</f>
        <v>-0.107840271021729</v>
      </c>
      <c r="BV231" s="60" t="n">
        <f aca="false">IF(BM231,CHOOSE($C$7,AO231/BS231,AO231/AP231*LN(1+AP231/BS231),AO231/(2*SQRT(2)*AP231)*LN((BS231+(1+SQRT(2))*AP231)/(BS231+(1-SQRT(2))*AP231))),0)</f>
        <v>0</v>
      </c>
      <c r="BW231" s="60" t="n">
        <f aca="false">IF(BM231,BS231-1-LN(BS231-AP231)-BV231,0)</f>
        <v>0</v>
      </c>
      <c r="BX231" s="60" t="n">
        <f aca="false">AND(BM231,BW231&lt;BU231)</f>
        <v>0</v>
      </c>
      <c r="BY231" s="60" t="n">
        <f aca="false">IF(BX231,BS231,BR231)</f>
        <v>0.91158844983184</v>
      </c>
      <c r="BZ231" s="60" t="n">
        <f aca="false">IF(BX231,BV231,BT231)</f>
        <v>0.218240791233887</v>
      </c>
      <c r="CA231" s="60" t="n">
        <f aca="false">LN(BY231-AP231)</f>
        <v>-0.198812070380318</v>
      </c>
      <c r="CB231" s="60" t="n">
        <f aca="false">$E$27/AN231*(BY231-1)-CA231-BZ231*(2*AA231/AM231-$E$27/AN231)</f>
        <v>-0.107840271021729</v>
      </c>
      <c r="CC231" s="60" t="n">
        <f aca="false">$F$27/AN231*(BY231-1)-CA231-BZ231*(2*AB231/AM231-$F$27/AN231)</f>
        <v>0.198812070380318</v>
      </c>
      <c r="CD231" s="60" t="n">
        <f aca="false">$G$27/AN231*(BY231-1)-CA231-BZ231*(2*AC231/AM231-$G$27/AN231)</f>
        <v>0.198812070380318</v>
      </c>
      <c r="CE231" s="60" t="n">
        <f aca="false">$H$27/AN231*(BY231-1)-CA231-BZ231*(2*AD231/AM231-$H$27/AN231)</f>
        <v>0.198812070380318</v>
      </c>
      <c r="CF231" s="60" t="n">
        <f aca="false">$I$27/AN231*(BY231-1)-CA231-BZ231*(2*AE231/AM231-$I$27/AN231)</f>
        <v>0.198812070380318</v>
      </c>
      <c r="CG231" s="60" t="n">
        <f aca="false">$J$27/AN231*(BY231-1)-CA231-BZ231*(2*AF231/AM231-$J$27/AN231)</f>
        <v>0.198812070380318</v>
      </c>
      <c r="CH231" s="60" t="n">
        <f aca="false">$K$27/AN231*(BY231-1)-CA231-BZ231*(2*AG231/AM231-$K$27/AN231)</f>
        <v>0.198812070380318</v>
      </c>
      <c r="CI231" s="60" t="n">
        <f aca="false">$L$27/AN231*(BY231-1)-CA231-BZ231*(2*AH231/AM231-$L$27/AN231)</f>
        <v>0.198812070380318</v>
      </c>
      <c r="CJ231" s="60" t="n">
        <f aca="false">$M$27/AN231*(BY231-1)-CA231-BZ231*(2*AI231/AM231-$M$27/AN231)</f>
        <v>0.198812070380318</v>
      </c>
      <c r="CK231" s="60" t="n">
        <f aca="false">$N$27/AN231*(BY231-1)-CA231-BZ231*(2*AJ231/AM231-$N$27/AN231)</f>
        <v>0.198812070380318</v>
      </c>
      <c r="CL231" s="60" t="n">
        <f aca="false">$O$27/AN231*(BY231-1)-CA231-BZ231*(2*AK231/AM231-$O$27/AN231)</f>
        <v>0.198812070380318</v>
      </c>
      <c r="CM231" s="60" t="n">
        <f aca="false">$P$27/AN231*(BY231-1)-CA231-BZ231*(2*AL231/AM231-$P$27/AN231)</f>
        <v>0.198812070380318</v>
      </c>
      <c r="CN231" s="60" t="n">
        <f aca="false">AP231/BY231&gt;$C$22</f>
        <v>0</v>
      </c>
      <c r="CO231" s="60" t="n">
        <f aca="false">1-N231+SUMPRODUCT(B231:M231,CB231:CM231)-SUMPRODUCT(B231:M231,CB230:CM230)</f>
        <v>0</v>
      </c>
      <c r="CP231" s="60" t="n">
        <f aca="false">SUMXMY2(O231:Z231,$E$13:$P$13)</f>
        <v>0</v>
      </c>
    </row>
    <row r="232" customFormat="false" ht="15" hidden="false" customHeight="false" outlineLevel="0" collapsed="false">
      <c r="A232" s="59" t="n">
        <v>23</v>
      </c>
      <c r="B232" s="60" t="n">
        <f aca="false">$E$13*EXP(MAX(-700,MIN(700,$E$86-CB231)))</f>
        <v>1</v>
      </c>
      <c r="C232" s="60" t="n">
        <f aca="false">$F$13*EXP(MAX(-700,MIN(700,$F$86-CC231)))</f>
        <v>0</v>
      </c>
      <c r="D232" s="60" t="n">
        <f aca="false">$G$13*EXP(MAX(-700,MIN(700,$G$86-CD231)))</f>
        <v>0</v>
      </c>
      <c r="E232" s="60" t="n">
        <f aca="false">$H$13*EXP(MAX(-700,MIN(700,$H$86-CE231)))</f>
        <v>0</v>
      </c>
      <c r="F232" s="60" t="n">
        <f aca="false">$I$13*EXP(MAX(-700,MIN(700,$I$86-CF231)))</f>
        <v>0</v>
      </c>
      <c r="G232" s="60" t="n">
        <f aca="false">$J$13*EXP(MAX(-700,MIN(700,$J$86-CG231)))</f>
        <v>0</v>
      </c>
      <c r="H232" s="60" t="n">
        <f aca="false">$K$13*EXP(MAX(-700,MIN(700,$K$86-CH231)))</f>
        <v>0</v>
      </c>
      <c r="I232" s="60" t="n">
        <f aca="false">$L$13*EXP(MAX(-700,MIN(700,$L$86-CI231)))</f>
        <v>0</v>
      </c>
      <c r="J232" s="60" t="n">
        <f aca="false">$M$13*EXP(MAX(-700,MIN(700,$M$86-CJ231)))</f>
        <v>0</v>
      </c>
      <c r="K232" s="60" t="n">
        <f aca="false">$N$13*EXP(MAX(-700,MIN(700,$N$86-CK231)))</f>
        <v>0</v>
      </c>
      <c r="L232" s="60" t="n">
        <f aca="false">$O$13*EXP(MAX(-700,MIN(700,$O$86-CL231)))</f>
        <v>0</v>
      </c>
      <c r="M232" s="60" t="n">
        <f aca="false">$P$13*EXP(MAX(-700,MIN(700,$P$86-CM231)))</f>
        <v>0</v>
      </c>
      <c r="N232" s="60" t="n">
        <f aca="false">SUM(B232:M232)</f>
        <v>1</v>
      </c>
      <c r="O232" s="60" t="n">
        <f aca="false">B232/N232</f>
        <v>1</v>
      </c>
      <c r="P232" s="60" t="n">
        <f aca="false">C232/N232</f>
        <v>0</v>
      </c>
      <c r="Q232" s="60" t="n">
        <f aca="false">D232/N232</f>
        <v>0</v>
      </c>
      <c r="R232" s="60" t="n">
        <f aca="false">E232/N232</f>
        <v>0</v>
      </c>
      <c r="S232" s="60" t="n">
        <f aca="false">F232/N232</f>
        <v>0</v>
      </c>
      <c r="T232" s="60" t="n">
        <f aca="false">G232/N232</f>
        <v>0</v>
      </c>
      <c r="U232" s="60" t="n">
        <f aca="false">H232/N232</f>
        <v>0</v>
      </c>
      <c r="V232" s="60" t="n">
        <f aca="false">I232/N232</f>
        <v>0</v>
      </c>
      <c r="W232" s="60" t="n">
        <f aca="false">J232/N232</f>
        <v>0</v>
      </c>
      <c r="X232" s="60" t="n">
        <f aca="false">K232/N232</f>
        <v>0</v>
      </c>
      <c r="Y232" s="60" t="n">
        <f aca="false">L232/N232</f>
        <v>0</v>
      </c>
      <c r="Z232" s="60" t="n">
        <f aca="false">M232/N232</f>
        <v>0</v>
      </c>
      <c r="AA232" s="60" t="n">
        <f aca="false">$E$28*SUMPRODUCT($E$31:$P$31,O232:Z232,$E$28:$P$28)</f>
        <v>0.184416866619846</v>
      </c>
      <c r="AB232" s="60" t="n">
        <f aca="false">$F$28*SUMPRODUCT($E$32:$P$32,O232:Z232,$E$28:$P$28)</f>
        <v>0</v>
      </c>
      <c r="AC232" s="60" t="n">
        <f aca="false">$G$28*SUMPRODUCT($E$33:$P$33,O232:Z232,$E$28:$P$28)</f>
        <v>0</v>
      </c>
      <c r="AD232" s="60" t="n">
        <f aca="false">$H$28*SUMPRODUCT($E$34:$P$34,O232:Z232,$E$28:$P$28)</f>
        <v>0</v>
      </c>
      <c r="AE232" s="60" t="n">
        <f aca="false">$I$28*SUMPRODUCT($E$35:$P$35,O232:Z232,$E$28:$P$28)</f>
        <v>0</v>
      </c>
      <c r="AF232" s="60" t="n">
        <f aca="false">$J$28*SUMPRODUCT($E$36:$P$36,O232:Z232,$E$28:$P$28)</f>
        <v>0</v>
      </c>
      <c r="AG232" s="60" t="n">
        <f aca="false">$K$28*SUMPRODUCT($E$37:$P$37,O232:Z232,$E$28:$P$28)</f>
        <v>0</v>
      </c>
      <c r="AH232" s="60" t="n">
        <f aca="false">$L$28*SUMPRODUCT($E$38:$P$38,O232:Z232,$E$28:$P$28)</f>
        <v>0</v>
      </c>
      <c r="AI232" s="60" t="n">
        <f aca="false">$M$28*SUMPRODUCT($E$39:$P$39,O232:Z232,$E$28:$P$28)</f>
        <v>0</v>
      </c>
      <c r="AJ232" s="60" t="n">
        <f aca="false">$N$28*SUMPRODUCT($E$40:$P$40,O232:Z232,$E$28:$P$28)</f>
        <v>0</v>
      </c>
      <c r="AK232" s="60" t="n">
        <f aca="false">$O$28*SUMPRODUCT($E$41:$P$41,O232:Z232,$E$28:$P$28)</f>
        <v>0</v>
      </c>
      <c r="AL232" s="60" t="n">
        <f aca="false">$P$28*SUMPRODUCT($E$42:$P$42,O232:Z232,$E$28:$P$28)</f>
        <v>0</v>
      </c>
      <c r="AM232" s="60" t="n">
        <f aca="false">SUMPRODUCT(O232:Z232,AA232:AL232)</f>
        <v>0.184416866619846</v>
      </c>
      <c r="AN232" s="60" t="n">
        <f aca="false">SUMPRODUCT(O232:Z232,$E$27:$P$27)</f>
        <v>2.67389635063809E-005</v>
      </c>
      <c r="AO232" s="60" t="n">
        <f aca="false">AM232*$C$9/($C$10*$C$8)^2</f>
        <v>0.21776909410545</v>
      </c>
      <c r="AP232" s="60" t="n">
        <f aca="false">AN232*$C$9/($C$10*$C$8)</f>
        <v>0.0918845243259994</v>
      </c>
      <c r="AQ232" s="60" t="n">
        <f aca="false">CHOOSE($C$7,-(1+AP232),-1,-(1-AP232))</f>
        <v>-0.908115475674001</v>
      </c>
      <c r="AR232" s="60" t="n">
        <f aca="false">CHOOSE($C$7,AO232,AO232-AP232-AP232^2,AO232-3*AP232^2-2*AP232)</f>
        <v>0.00867174802160559</v>
      </c>
      <c r="AS232" s="60" t="n">
        <f aca="false">CHOOSE($C$7,-AO232*AP232,-AO232*AP232,-(AO232*AP232-AP232^2-AP232^3))</f>
        <v>-0.0107910842936637</v>
      </c>
      <c r="AT232" s="60" t="n">
        <f aca="false">AR232-AQ232^2/3</f>
        <v>-0.266219491031267</v>
      </c>
      <c r="AU232" s="60" t="n">
        <f aca="false">2*AQ232^3/27-AQ232*AR232/3+AS232</f>
        <v>-0.0636400988362784</v>
      </c>
      <c r="AV232" s="60" t="n">
        <f aca="false">AU232^2/4+AT232^3/27</f>
        <v>0.000313710901361829</v>
      </c>
      <c r="AW232" s="60" t="n">
        <f aca="false">-AU232/2-IF(AU232&gt;=0,1,-1)*SQRT(MAX(AV232,0))</f>
        <v>0.0495319352963236</v>
      </c>
      <c r="AX232" s="60" t="n">
        <f aca="false">SIGN(AW232)*ABS(AW232)^(1/3)</f>
        <v>0.367249967174439</v>
      </c>
      <c r="AY232" s="60" t="n">
        <f aca="false">IF(AX232=0,0,AX232-AT232/(3*AX232))</f>
        <v>0.60888329127384</v>
      </c>
      <c r="AZ232" s="60" t="n">
        <f aca="false">2*SQRT(MAX(-AT232,0)/3)</f>
        <v>0.595784626668918</v>
      </c>
      <c r="BA232" s="60" t="n">
        <f aca="false">ACOS(IF(AZ232=0,0,MAX(-1,MIN(1,3*AU232/(AT232*AZ232)))))</f>
        <v>0</v>
      </c>
      <c r="BB232" s="60" t="n">
        <f aca="false">AZ232*COS(BA232/3)</f>
        <v>0.595784626668918</v>
      </c>
      <c r="BC232" s="60" t="n">
        <f aca="false">IF(AV232&lt;0,BB232,AY232)-AQ232/3</f>
        <v>0.91158844983184</v>
      </c>
      <c r="BD232" s="60" t="n">
        <f aca="false">IFERROR((((BC232+AQ232)*BC232+AR232)*BC232+AS232)/((3*BC232+2*AQ232)*BC232+AR232),0)</f>
        <v>0</v>
      </c>
      <c r="BE232" s="60" t="n">
        <f aca="false">IF(ABS(BD232)&lt;0.1*ABS(BC232),BC232-BD232,BC232)</f>
        <v>0.91158844983184</v>
      </c>
      <c r="BF232" s="60" t="n">
        <f aca="false">IFERROR((((BE232+AQ232)*BE232+AR232)*BE232+AS232)/((3*BE232+2*AQ232)*BE232+AR232),0)</f>
        <v>0</v>
      </c>
      <c r="BG232" s="60" t="n">
        <f aca="false">IF(ABS(BF232)&lt;0.1*ABS(BE232),BE232-BF232,BE232)</f>
        <v>0.91158844983184</v>
      </c>
      <c r="BH232" s="60" t="n">
        <f aca="false">-AS232/BG232</f>
        <v>0.0118376711504565</v>
      </c>
      <c r="BI232" s="60" t="n">
        <f aca="false">(AR232-BH232)/BG232</f>
        <v>-0.00347297415783941</v>
      </c>
      <c r="BJ232" s="60" t="n">
        <f aca="false">BI232^2-4*BH232</f>
        <v>-0.0473386230523248</v>
      </c>
      <c r="BK232" s="60" t="n">
        <f aca="false">IF(BJ232&gt;=0,(BI232+IF(BI232&gt;=0,1,-1)*SQRT(BJ232))/2,0)</f>
        <v>0</v>
      </c>
      <c r="BL232" s="60" t="n">
        <f aca="false">IF(AND(BJ232&gt;=0,BK232&lt;&gt;0),MIN(BK232,BH232/BK232),-1)</f>
        <v>-1</v>
      </c>
      <c r="BM232" s="60" t="n">
        <f aca="false">AND(BJ232&gt;=0,BL232&gt;AP232,ABS(BG232-BL232)&gt;=0.00005*MAX(BG232,BL232))</f>
        <v>0</v>
      </c>
      <c r="BN232" s="60" t="n">
        <f aca="false">IF(BM232,IFERROR((((BL232+AQ232)*BL232+AR232)*BL232+AS232)/((3*BL232+2*AQ232)*BL232+AR232),0),0)</f>
        <v>0</v>
      </c>
      <c r="BO232" s="60" t="n">
        <f aca="false">IF(ABS(BN232)&lt;0.1*ABS(BL232),BL232-BN232,BL232)</f>
        <v>-1</v>
      </c>
      <c r="BP232" s="60" t="n">
        <f aca="false">IF(BM232,IFERROR((((BO232+AQ232)*BO232+AR232)*BO232+AS232)/((3*BO232+2*AQ232)*BO232+AR232),0),0)</f>
        <v>0</v>
      </c>
      <c r="BQ232" s="60" t="n">
        <f aca="false">IF(ABS(BP232)&lt;0.1*ABS(BO232),BO232-BP232,BO232)</f>
        <v>-1</v>
      </c>
      <c r="BR232" s="60" t="n">
        <f aca="false">IF(BM232,MAX(BG232,BQ232),BG232)</f>
        <v>0.91158844983184</v>
      </c>
      <c r="BS232" s="60" t="n">
        <f aca="false">IF(BM232,MIN(BG232,BQ232),-1)</f>
        <v>-1</v>
      </c>
      <c r="BT232" s="60" t="n">
        <f aca="false">CHOOSE($C$7,AO232/BR232,AO232/AP232*LN(1+AP232/BR232),AO232/(2*SQRT(2)*AP232)*LN((BR232+(1+SQRT(2))*AP232)/(BR232+(1-SQRT(2))*AP232)))</f>
        <v>0.218240791233887</v>
      </c>
      <c r="BU232" s="60" t="n">
        <f aca="false">BR232-1-LN(BR232-AP232)-BT232</f>
        <v>-0.107840271021729</v>
      </c>
      <c r="BV232" s="60" t="n">
        <f aca="false">IF(BM232,CHOOSE($C$7,AO232/BS232,AO232/AP232*LN(1+AP232/BS232),AO232/(2*SQRT(2)*AP232)*LN((BS232+(1+SQRT(2))*AP232)/(BS232+(1-SQRT(2))*AP232))),0)</f>
        <v>0</v>
      </c>
      <c r="BW232" s="60" t="n">
        <f aca="false">IF(BM232,BS232-1-LN(BS232-AP232)-BV232,0)</f>
        <v>0</v>
      </c>
      <c r="BX232" s="60" t="n">
        <f aca="false">AND(BM232,BW232&lt;BU232)</f>
        <v>0</v>
      </c>
      <c r="BY232" s="60" t="n">
        <f aca="false">IF(BX232,BS232,BR232)</f>
        <v>0.91158844983184</v>
      </c>
      <c r="BZ232" s="60" t="n">
        <f aca="false">IF(BX232,BV232,BT232)</f>
        <v>0.218240791233887</v>
      </c>
      <c r="CA232" s="60" t="n">
        <f aca="false">LN(BY232-AP232)</f>
        <v>-0.198812070380318</v>
      </c>
      <c r="CB232" s="60" t="n">
        <f aca="false">$E$27/AN232*(BY232-1)-CA232-BZ232*(2*AA232/AM232-$E$27/AN232)</f>
        <v>-0.107840271021729</v>
      </c>
      <c r="CC232" s="60" t="n">
        <f aca="false">$F$27/AN232*(BY232-1)-CA232-BZ232*(2*AB232/AM232-$F$27/AN232)</f>
        <v>0.198812070380318</v>
      </c>
      <c r="CD232" s="60" t="n">
        <f aca="false">$G$27/AN232*(BY232-1)-CA232-BZ232*(2*AC232/AM232-$G$27/AN232)</f>
        <v>0.198812070380318</v>
      </c>
      <c r="CE232" s="60" t="n">
        <f aca="false">$H$27/AN232*(BY232-1)-CA232-BZ232*(2*AD232/AM232-$H$27/AN232)</f>
        <v>0.198812070380318</v>
      </c>
      <c r="CF232" s="60" t="n">
        <f aca="false">$I$27/AN232*(BY232-1)-CA232-BZ232*(2*AE232/AM232-$I$27/AN232)</f>
        <v>0.198812070380318</v>
      </c>
      <c r="CG232" s="60" t="n">
        <f aca="false">$J$27/AN232*(BY232-1)-CA232-BZ232*(2*AF232/AM232-$J$27/AN232)</f>
        <v>0.198812070380318</v>
      </c>
      <c r="CH232" s="60" t="n">
        <f aca="false">$K$27/AN232*(BY232-1)-CA232-BZ232*(2*AG232/AM232-$K$27/AN232)</f>
        <v>0.198812070380318</v>
      </c>
      <c r="CI232" s="60" t="n">
        <f aca="false">$L$27/AN232*(BY232-1)-CA232-BZ232*(2*AH232/AM232-$L$27/AN232)</f>
        <v>0.198812070380318</v>
      </c>
      <c r="CJ232" s="60" t="n">
        <f aca="false">$M$27/AN232*(BY232-1)-CA232-BZ232*(2*AI232/AM232-$M$27/AN232)</f>
        <v>0.198812070380318</v>
      </c>
      <c r="CK232" s="60" t="n">
        <f aca="false">$N$27/AN232*(BY232-1)-CA232-BZ232*(2*AJ232/AM232-$N$27/AN232)</f>
        <v>0.198812070380318</v>
      </c>
      <c r="CL232" s="60" t="n">
        <f aca="false">$O$27/AN232*(BY232-1)-CA232-BZ232*(2*AK232/AM232-$O$27/AN232)</f>
        <v>0.198812070380318</v>
      </c>
      <c r="CM232" s="60" t="n">
        <f aca="false">$P$27/AN232*(BY232-1)-CA232-BZ232*(2*AL232/AM232-$P$27/AN232)</f>
        <v>0.198812070380318</v>
      </c>
      <c r="CN232" s="60" t="n">
        <f aca="false">AP232/BY232&gt;$C$22</f>
        <v>0</v>
      </c>
      <c r="CO232" s="60" t="n">
        <f aca="false">1-N232+SUMPRODUCT(B232:M232,CB232:CM232)-SUMPRODUCT(B232:M232,CB231:CM231)</f>
        <v>0</v>
      </c>
      <c r="CP232" s="60" t="n">
        <f aca="false">SUMXMY2(O232:Z232,$E$13:$P$13)</f>
        <v>0</v>
      </c>
    </row>
    <row r="233" customFormat="false" ht="15" hidden="false" customHeight="false" outlineLevel="0" collapsed="false">
      <c r="A233" s="59" t="n">
        <v>24</v>
      </c>
      <c r="B233" s="60" t="n">
        <f aca="false">$E$13*EXP(MAX(-700,MIN(700,$E$86-CB232)))</f>
        <v>1</v>
      </c>
      <c r="C233" s="60" t="n">
        <f aca="false">$F$13*EXP(MAX(-700,MIN(700,$F$86-CC232)))</f>
        <v>0</v>
      </c>
      <c r="D233" s="60" t="n">
        <f aca="false">$G$13*EXP(MAX(-700,MIN(700,$G$86-CD232)))</f>
        <v>0</v>
      </c>
      <c r="E233" s="60" t="n">
        <f aca="false">$H$13*EXP(MAX(-700,MIN(700,$H$86-CE232)))</f>
        <v>0</v>
      </c>
      <c r="F233" s="60" t="n">
        <f aca="false">$I$13*EXP(MAX(-700,MIN(700,$I$86-CF232)))</f>
        <v>0</v>
      </c>
      <c r="G233" s="60" t="n">
        <f aca="false">$J$13*EXP(MAX(-700,MIN(700,$J$86-CG232)))</f>
        <v>0</v>
      </c>
      <c r="H233" s="60" t="n">
        <f aca="false">$K$13*EXP(MAX(-700,MIN(700,$K$86-CH232)))</f>
        <v>0</v>
      </c>
      <c r="I233" s="60" t="n">
        <f aca="false">$L$13*EXP(MAX(-700,MIN(700,$L$86-CI232)))</f>
        <v>0</v>
      </c>
      <c r="J233" s="60" t="n">
        <f aca="false">$M$13*EXP(MAX(-700,MIN(700,$M$86-CJ232)))</f>
        <v>0</v>
      </c>
      <c r="K233" s="60" t="n">
        <f aca="false">$N$13*EXP(MAX(-700,MIN(700,$N$86-CK232)))</f>
        <v>0</v>
      </c>
      <c r="L233" s="60" t="n">
        <f aca="false">$O$13*EXP(MAX(-700,MIN(700,$O$86-CL232)))</f>
        <v>0</v>
      </c>
      <c r="M233" s="60" t="n">
        <f aca="false">$P$13*EXP(MAX(-700,MIN(700,$P$86-CM232)))</f>
        <v>0</v>
      </c>
      <c r="N233" s="60" t="n">
        <f aca="false">SUM(B233:M233)</f>
        <v>1</v>
      </c>
      <c r="O233" s="60" t="n">
        <f aca="false">B233/N233</f>
        <v>1</v>
      </c>
      <c r="P233" s="60" t="n">
        <f aca="false">C233/N233</f>
        <v>0</v>
      </c>
      <c r="Q233" s="60" t="n">
        <f aca="false">D233/N233</f>
        <v>0</v>
      </c>
      <c r="R233" s="60" t="n">
        <f aca="false">E233/N233</f>
        <v>0</v>
      </c>
      <c r="S233" s="60" t="n">
        <f aca="false">F233/N233</f>
        <v>0</v>
      </c>
      <c r="T233" s="60" t="n">
        <f aca="false">G233/N233</f>
        <v>0</v>
      </c>
      <c r="U233" s="60" t="n">
        <f aca="false">H233/N233</f>
        <v>0</v>
      </c>
      <c r="V233" s="60" t="n">
        <f aca="false">I233/N233</f>
        <v>0</v>
      </c>
      <c r="W233" s="60" t="n">
        <f aca="false">J233/N233</f>
        <v>0</v>
      </c>
      <c r="X233" s="60" t="n">
        <f aca="false">K233/N233</f>
        <v>0</v>
      </c>
      <c r="Y233" s="60" t="n">
        <f aca="false">L233/N233</f>
        <v>0</v>
      </c>
      <c r="Z233" s="60" t="n">
        <f aca="false">M233/N233</f>
        <v>0</v>
      </c>
      <c r="AA233" s="60" t="n">
        <f aca="false">$E$28*SUMPRODUCT($E$31:$P$31,O233:Z233,$E$28:$P$28)</f>
        <v>0.184416866619846</v>
      </c>
      <c r="AB233" s="60" t="n">
        <f aca="false">$F$28*SUMPRODUCT($E$32:$P$32,O233:Z233,$E$28:$P$28)</f>
        <v>0</v>
      </c>
      <c r="AC233" s="60" t="n">
        <f aca="false">$G$28*SUMPRODUCT($E$33:$P$33,O233:Z233,$E$28:$P$28)</f>
        <v>0</v>
      </c>
      <c r="AD233" s="60" t="n">
        <f aca="false">$H$28*SUMPRODUCT($E$34:$P$34,O233:Z233,$E$28:$P$28)</f>
        <v>0</v>
      </c>
      <c r="AE233" s="60" t="n">
        <f aca="false">$I$28*SUMPRODUCT($E$35:$P$35,O233:Z233,$E$28:$P$28)</f>
        <v>0</v>
      </c>
      <c r="AF233" s="60" t="n">
        <f aca="false">$J$28*SUMPRODUCT($E$36:$P$36,O233:Z233,$E$28:$P$28)</f>
        <v>0</v>
      </c>
      <c r="AG233" s="60" t="n">
        <f aca="false">$K$28*SUMPRODUCT($E$37:$P$37,O233:Z233,$E$28:$P$28)</f>
        <v>0</v>
      </c>
      <c r="AH233" s="60" t="n">
        <f aca="false">$L$28*SUMPRODUCT($E$38:$P$38,O233:Z233,$E$28:$P$28)</f>
        <v>0</v>
      </c>
      <c r="AI233" s="60" t="n">
        <f aca="false">$M$28*SUMPRODUCT($E$39:$P$39,O233:Z233,$E$28:$P$28)</f>
        <v>0</v>
      </c>
      <c r="AJ233" s="60" t="n">
        <f aca="false">$N$28*SUMPRODUCT($E$40:$P$40,O233:Z233,$E$28:$P$28)</f>
        <v>0</v>
      </c>
      <c r="AK233" s="60" t="n">
        <f aca="false">$O$28*SUMPRODUCT($E$41:$P$41,O233:Z233,$E$28:$P$28)</f>
        <v>0</v>
      </c>
      <c r="AL233" s="60" t="n">
        <f aca="false">$P$28*SUMPRODUCT($E$42:$P$42,O233:Z233,$E$28:$P$28)</f>
        <v>0</v>
      </c>
      <c r="AM233" s="60" t="n">
        <f aca="false">SUMPRODUCT(O233:Z233,AA233:AL233)</f>
        <v>0.184416866619846</v>
      </c>
      <c r="AN233" s="60" t="n">
        <f aca="false">SUMPRODUCT(O233:Z233,$E$27:$P$27)</f>
        <v>2.67389635063809E-005</v>
      </c>
      <c r="AO233" s="60" t="n">
        <f aca="false">AM233*$C$9/($C$10*$C$8)^2</f>
        <v>0.21776909410545</v>
      </c>
      <c r="AP233" s="60" t="n">
        <f aca="false">AN233*$C$9/($C$10*$C$8)</f>
        <v>0.0918845243259994</v>
      </c>
      <c r="AQ233" s="60" t="n">
        <f aca="false">CHOOSE($C$7,-(1+AP233),-1,-(1-AP233))</f>
        <v>-0.908115475674001</v>
      </c>
      <c r="AR233" s="60" t="n">
        <f aca="false">CHOOSE($C$7,AO233,AO233-AP233-AP233^2,AO233-3*AP233^2-2*AP233)</f>
        <v>0.00867174802160559</v>
      </c>
      <c r="AS233" s="60" t="n">
        <f aca="false">CHOOSE($C$7,-AO233*AP233,-AO233*AP233,-(AO233*AP233-AP233^2-AP233^3))</f>
        <v>-0.0107910842936637</v>
      </c>
      <c r="AT233" s="60" t="n">
        <f aca="false">AR233-AQ233^2/3</f>
        <v>-0.266219491031267</v>
      </c>
      <c r="AU233" s="60" t="n">
        <f aca="false">2*AQ233^3/27-AQ233*AR233/3+AS233</f>
        <v>-0.0636400988362784</v>
      </c>
      <c r="AV233" s="60" t="n">
        <f aca="false">AU233^2/4+AT233^3/27</f>
        <v>0.000313710901361829</v>
      </c>
      <c r="AW233" s="60" t="n">
        <f aca="false">-AU233/2-IF(AU233&gt;=0,1,-1)*SQRT(MAX(AV233,0))</f>
        <v>0.0495319352963236</v>
      </c>
      <c r="AX233" s="60" t="n">
        <f aca="false">SIGN(AW233)*ABS(AW233)^(1/3)</f>
        <v>0.367249967174439</v>
      </c>
      <c r="AY233" s="60" t="n">
        <f aca="false">IF(AX233=0,0,AX233-AT233/(3*AX233))</f>
        <v>0.60888329127384</v>
      </c>
      <c r="AZ233" s="60" t="n">
        <f aca="false">2*SQRT(MAX(-AT233,0)/3)</f>
        <v>0.595784626668918</v>
      </c>
      <c r="BA233" s="60" t="n">
        <f aca="false">ACOS(IF(AZ233=0,0,MAX(-1,MIN(1,3*AU233/(AT233*AZ233)))))</f>
        <v>0</v>
      </c>
      <c r="BB233" s="60" t="n">
        <f aca="false">AZ233*COS(BA233/3)</f>
        <v>0.595784626668918</v>
      </c>
      <c r="BC233" s="60" t="n">
        <f aca="false">IF(AV233&lt;0,BB233,AY233)-AQ233/3</f>
        <v>0.91158844983184</v>
      </c>
      <c r="BD233" s="60" t="n">
        <f aca="false">IFERROR((((BC233+AQ233)*BC233+AR233)*BC233+AS233)/((3*BC233+2*AQ233)*BC233+AR233),0)</f>
        <v>0</v>
      </c>
      <c r="BE233" s="60" t="n">
        <f aca="false">IF(ABS(BD233)&lt;0.1*ABS(BC233),BC233-BD233,BC233)</f>
        <v>0.91158844983184</v>
      </c>
      <c r="BF233" s="60" t="n">
        <f aca="false">IFERROR((((BE233+AQ233)*BE233+AR233)*BE233+AS233)/((3*BE233+2*AQ233)*BE233+AR233),0)</f>
        <v>0</v>
      </c>
      <c r="BG233" s="60" t="n">
        <f aca="false">IF(ABS(BF233)&lt;0.1*ABS(BE233),BE233-BF233,BE233)</f>
        <v>0.91158844983184</v>
      </c>
      <c r="BH233" s="60" t="n">
        <f aca="false">-AS233/BG233</f>
        <v>0.0118376711504565</v>
      </c>
      <c r="BI233" s="60" t="n">
        <f aca="false">(AR233-BH233)/BG233</f>
        <v>-0.00347297415783941</v>
      </c>
      <c r="BJ233" s="60" t="n">
        <f aca="false">BI233^2-4*BH233</f>
        <v>-0.0473386230523248</v>
      </c>
      <c r="BK233" s="60" t="n">
        <f aca="false">IF(BJ233&gt;=0,(BI233+IF(BI233&gt;=0,1,-1)*SQRT(BJ233))/2,0)</f>
        <v>0</v>
      </c>
      <c r="BL233" s="60" t="n">
        <f aca="false">IF(AND(BJ233&gt;=0,BK233&lt;&gt;0),MIN(BK233,BH233/BK233),-1)</f>
        <v>-1</v>
      </c>
      <c r="BM233" s="60" t="n">
        <f aca="false">AND(BJ233&gt;=0,BL233&gt;AP233,ABS(BG233-BL233)&gt;=0.00005*MAX(BG233,BL233))</f>
        <v>0</v>
      </c>
      <c r="BN233" s="60" t="n">
        <f aca="false">IF(BM233,IFERROR((((BL233+AQ233)*BL233+AR233)*BL233+AS233)/((3*BL233+2*AQ233)*BL233+AR233),0),0)</f>
        <v>0</v>
      </c>
      <c r="BO233" s="60" t="n">
        <f aca="false">IF(ABS(BN233)&lt;0.1*ABS(BL233),BL233-BN233,BL233)</f>
        <v>-1</v>
      </c>
      <c r="BP233" s="60" t="n">
        <f aca="false">IF(BM233,IFERROR((((BO233+AQ233)*BO233+AR233)*BO233+AS233)/((3*BO233+2*AQ233)*BO233+AR233),0),0)</f>
        <v>0</v>
      </c>
      <c r="BQ233" s="60" t="n">
        <f aca="false">IF(ABS(BP233)&lt;0.1*ABS(BO233),BO233-BP233,BO233)</f>
        <v>-1</v>
      </c>
      <c r="BR233" s="60" t="n">
        <f aca="false">IF(BM233,MAX(BG233,BQ233),BG233)</f>
        <v>0.91158844983184</v>
      </c>
      <c r="BS233" s="60" t="n">
        <f aca="false">IF(BM233,MIN(BG233,BQ233),-1)</f>
        <v>-1</v>
      </c>
      <c r="BT233" s="60" t="n">
        <f aca="false">CHOOSE($C$7,AO233/BR233,AO233/AP233*LN(1+AP233/BR233),AO233/(2*SQRT(2)*AP233)*LN((BR233+(1+SQRT(2))*AP233)/(BR233+(1-SQRT(2))*AP233)))</f>
        <v>0.218240791233887</v>
      </c>
      <c r="BU233" s="60" t="n">
        <f aca="false">BR233-1-LN(BR233-AP233)-BT233</f>
        <v>-0.107840271021729</v>
      </c>
      <c r="BV233" s="60" t="n">
        <f aca="false">IF(BM233,CHOOSE($C$7,AO233/BS233,AO233/AP233*LN(1+AP233/BS233),AO233/(2*SQRT(2)*AP233)*LN((BS233+(1+SQRT(2))*AP233)/(BS233+(1-SQRT(2))*AP233))),0)</f>
        <v>0</v>
      </c>
      <c r="BW233" s="60" t="n">
        <f aca="false">IF(BM233,BS233-1-LN(BS233-AP233)-BV233,0)</f>
        <v>0</v>
      </c>
      <c r="BX233" s="60" t="n">
        <f aca="false">AND(BM233,BW233&lt;BU233)</f>
        <v>0</v>
      </c>
      <c r="BY233" s="60" t="n">
        <f aca="false">IF(BX233,BS233,BR233)</f>
        <v>0.91158844983184</v>
      </c>
      <c r="BZ233" s="60" t="n">
        <f aca="false">IF(BX233,BV233,BT233)</f>
        <v>0.218240791233887</v>
      </c>
      <c r="CA233" s="60" t="n">
        <f aca="false">LN(BY233-AP233)</f>
        <v>-0.198812070380318</v>
      </c>
      <c r="CB233" s="60" t="n">
        <f aca="false">$E$27/AN233*(BY233-1)-CA233-BZ233*(2*AA233/AM233-$E$27/AN233)</f>
        <v>-0.107840271021729</v>
      </c>
      <c r="CC233" s="60" t="n">
        <f aca="false">$F$27/AN233*(BY233-1)-CA233-BZ233*(2*AB233/AM233-$F$27/AN233)</f>
        <v>0.198812070380318</v>
      </c>
      <c r="CD233" s="60" t="n">
        <f aca="false">$G$27/AN233*(BY233-1)-CA233-BZ233*(2*AC233/AM233-$G$27/AN233)</f>
        <v>0.198812070380318</v>
      </c>
      <c r="CE233" s="60" t="n">
        <f aca="false">$H$27/AN233*(BY233-1)-CA233-BZ233*(2*AD233/AM233-$H$27/AN233)</f>
        <v>0.198812070380318</v>
      </c>
      <c r="CF233" s="60" t="n">
        <f aca="false">$I$27/AN233*(BY233-1)-CA233-BZ233*(2*AE233/AM233-$I$27/AN233)</f>
        <v>0.198812070380318</v>
      </c>
      <c r="CG233" s="60" t="n">
        <f aca="false">$J$27/AN233*(BY233-1)-CA233-BZ233*(2*AF233/AM233-$J$27/AN233)</f>
        <v>0.198812070380318</v>
      </c>
      <c r="CH233" s="60" t="n">
        <f aca="false">$K$27/AN233*(BY233-1)-CA233-BZ233*(2*AG233/AM233-$K$27/AN233)</f>
        <v>0.198812070380318</v>
      </c>
      <c r="CI233" s="60" t="n">
        <f aca="false">$L$27/AN233*(BY233-1)-CA233-BZ233*(2*AH233/AM233-$L$27/AN233)</f>
        <v>0.198812070380318</v>
      </c>
      <c r="CJ233" s="60" t="n">
        <f aca="false">$M$27/AN233*(BY233-1)-CA233-BZ233*(2*AI233/AM233-$M$27/AN233)</f>
        <v>0.198812070380318</v>
      </c>
      <c r="CK233" s="60" t="n">
        <f aca="false">$N$27/AN233*(BY233-1)-CA233-BZ233*(2*AJ233/AM233-$N$27/AN233)</f>
        <v>0.198812070380318</v>
      </c>
      <c r="CL233" s="60" t="n">
        <f aca="false">$O$27/AN233*(BY233-1)-CA233-BZ233*(2*AK233/AM233-$O$27/AN233)</f>
        <v>0.198812070380318</v>
      </c>
      <c r="CM233" s="60" t="n">
        <f aca="false">$P$27/AN233*(BY233-1)-CA233-BZ233*(2*AL233/AM233-$P$27/AN233)</f>
        <v>0.198812070380318</v>
      </c>
      <c r="CN233" s="60" t="n">
        <f aca="false">AP233/BY233&gt;$C$22</f>
        <v>0</v>
      </c>
      <c r="CO233" s="60" t="n">
        <f aca="false">1-N233+SUMPRODUCT(B233:M233,CB233:CM233)-SUMPRODUCT(B233:M233,CB232:CM232)</f>
        <v>0</v>
      </c>
      <c r="CP233" s="60" t="n">
        <f aca="false">SUMXMY2(O233:Z233,$E$13:$P$13)</f>
        <v>0</v>
      </c>
    </row>
    <row r="234" customFormat="false" ht="15" hidden="false" customHeight="false" outlineLevel="0" collapsed="false">
      <c r="A234" s="59" t="n">
        <v>25</v>
      </c>
      <c r="B234" s="60" t="n">
        <f aca="false">$E$13*EXP(MAX(-700,MIN(700,$E$86-CB233)))</f>
        <v>1</v>
      </c>
      <c r="C234" s="60" t="n">
        <f aca="false">$F$13*EXP(MAX(-700,MIN(700,$F$86-CC233)))</f>
        <v>0</v>
      </c>
      <c r="D234" s="60" t="n">
        <f aca="false">$G$13*EXP(MAX(-700,MIN(700,$G$86-CD233)))</f>
        <v>0</v>
      </c>
      <c r="E234" s="60" t="n">
        <f aca="false">$H$13*EXP(MAX(-700,MIN(700,$H$86-CE233)))</f>
        <v>0</v>
      </c>
      <c r="F234" s="60" t="n">
        <f aca="false">$I$13*EXP(MAX(-700,MIN(700,$I$86-CF233)))</f>
        <v>0</v>
      </c>
      <c r="G234" s="60" t="n">
        <f aca="false">$J$13*EXP(MAX(-700,MIN(700,$J$86-CG233)))</f>
        <v>0</v>
      </c>
      <c r="H234" s="60" t="n">
        <f aca="false">$K$13*EXP(MAX(-700,MIN(700,$K$86-CH233)))</f>
        <v>0</v>
      </c>
      <c r="I234" s="60" t="n">
        <f aca="false">$L$13*EXP(MAX(-700,MIN(700,$L$86-CI233)))</f>
        <v>0</v>
      </c>
      <c r="J234" s="60" t="n">
        <f aca="false">$M$13*EXP(MAX(-700,MIN(700,$M$86-CJ233)))</f>
        <v>0</v>
      </c>
      <c r="K234" s="60" t="n">
        <f aca="false">$N$13*EXP(MAX(-700,MIN(700,$N$86-CK233)))</f>
        <v>0</v>
      </c>
      <c r="L234" s="60" t="n">
        <f aca="false">$O$13*EXP(MAX(-700,MIN(700,$O$86-CL233)))</f>
        <v>0</v>
      </c>
      <c r="M234" s="60" t="n">
        <f aca="false">$P$13*EXP(MAX(-700,MIN(700,$P$86-CM233)))</f>
        <v>0</v>
      </c>
      <c r="N234" s="60" t="n">
        <f aca="false">SUM(B234:M234)</f>
        <v>1</v>
      </c>
      <c r="O234" s="60" t="n">
        <f aca="false">B234/N234</f>
        <v>1</v>
      </c>
      <c r="P234" s="60" t="n">
        <f aca="false">C234/N234</f>
        <v>0</v>
      </c>
      <c r="Q234" s="60" t="n">
        <f aca="false">D234/N234</f>
        <v>0</v>
      </c>
      <c r="R234" s="60" t="n">
        <f aca="false">E234/N234</f>
        <v>0</v>
      </c>
      <c r="S234" s="60" t="n">
        <f aca="false">F234/N234</f>
        <v>0</v>
      </c>
      <c r="T234" s="60" t="n">
        <f aca="false">G234/N234</f>
        <v>0</v>
      </c>
      <c r="U234" s="60" t="n">
        <f aca="false">H234/N234</f>
        <v>0</v>
      </c>
      <c r="V234" s="60" t="n">
        <f aca="false">I234/N234</f>
        <v>0</v>
      </c>
      <c r="W234" s="60" t="n">
        <f aca="false">J234/N234</f>
        <v>0</v>
      </c>
      <c r="X234" s="60" t="n">
        <f aca="false">K234/N234</f>
        <v>0</v>
      </c>
      <c r="Y234" s="60" t="n">
        <f aca="false">L234/N234</f>
        <v>0</v>
      </c>
      <c r="Z234" s="60" t="n">
        <f aca="false">M234/N234</f>
        <v>0</v>
      </c>
      <c r="AA234" s="60" t="n">
        <f aca="false">$E$28*SUMPRODUCT($E$31:$P$31,O234:Z234,$E$28:$P$28)</f>
        <v>0.184416866619846</v>
      </c>
      <c r="AB234" s="60" t="n">
        <f aca="false">$F$28*SUMPRODUCT($E$32:$P$32,O234:Z234,$E$28:$P$28)</f>
        <v>0</v>
      </c>
      <c r="AC234" s="60" t="n">
        <f aca="false">$G$28*SUMPRODUCT($E$33:$P$33,O234:Z234,$E$28:$P$28)</f>
        <v>0</v>
      </c>
      <c r="AD234" s="60" t="n">
        <f aca="false">$H$28*SUMPRODUCT($E$34:$P$34,O234:Z234,$E$28:$P$28)</f>
        <v>0</v>
      </c>
      <c r="AE234" s="60" t="n">
        <f aca="false">$I$28*SUMPRODUCT($E$35:$P$35,O234:Z234,$E$28:$P$28)</f>
        <v>0</v>
      </c>
      <c r="AF234" s="60" t="n">
        <f aca="false">$J$28*SUMPRODUCT($E$36:$P$36,O234:Z234,$E$28:$P$28)</f>
        <v>0</v>
      </c>
      <c r="AG234" s="60" t="n">
        <f aca="false">$K$28*SUMPRODUCT($E$37:$P$37,O234:Z234,$E$28:$P$28)</f>
        <v>0</v>
      </c>
      <c r="AH234" s="60" t="n">
        <f aca="false">$L$28*SUMPRODUCT($E$38:$P$38,O234:Z234,$E$28:$P$28)</f>
        <v>0</v>
      </c>
      <c r="AI234" s="60" t="n">
        <f aca="false">$M$28*SUMPRODUCT($E$39:$P$39,O234:Z234,$E$28:$P$28)</f>
        <v>0</v>
      </c>
      <c r="AJ234" s="60" t="n">
        <f aca="false">$N$28*SUMPRODUCT($E$40:$P$40,O234:Z234,$E$28:$P$28)</f>
        <v>0</v>
      </c>
      <c r="AK234" s="60" t="n">
        <f aca="false">$O$28*SUMPRODUCT($E$41:$P$41,O234:Z234,$E$28:$P$28)</f>
        <v>0</v>
      </c>
      <c r="AL234" s="60" t="n">
        <f aca="false">$P$28*SUMPRODUCT($E$42:$P$42,O234:Z234,$E$28:$P$28)</f>
        <v>0</v>
      </c>
      <c r="AM234" s="60" t="n">
        <f aca="false">SUMPRODUCT(O234:Z234,AA234:AL234)</f>
        <v>0.184416866619846</v>
      </c>
      <c r="AN234" s="60" t="n">
        <f aca="false">SUMPRODUCT(O234:Z234,$E$27:$P$27)</f>
        <v>2.67389635063809E-005</v>
      </c>
      <c r="AO234" s="60" t="n">
        <f aca="false">AM234*$C$9/($C$10*$C$8)^2</f>
        <v>0.21776909410545</v>
      </c>
      <c r="AP234" s="60" t="n">
        <f aca="false">AN234*$C$9/($C$10*$C$8)</f>
        <v>0.0918845243259994</v>
      </c>
      <c r="AQ234" s="60" t="n">
        <f aca="false">CHOOSE($C$7,-(1+AP234),-1,-(1-AP234))</f>
        <v>-0.908115475674001</v>
      </c>
      <c r="AR234" s="60" t="n">
        <f aca="false">CHOOSE($C$7,AO234,AO234-AP234-AP234^2,AO234-3*AP234^2-2*AP234)</f>
        <v>0.00867174802160559</v>
      </c>
      <c r="AS234" s="60" t="n">
        <f aca="false">CHOOSE($C$7,-AO234*AP234,-AO234*AP234,-(AO234*AP234-AP234^2-AP234^3))</f>
        <v>-0.0107910842936637</v>
      </c>
      <c r="AT234" s="60" t="n">
        <f aca="false">AR234-AQ234^2/3</f>
        <v>-0.266219491031267</v>
      </c>
      <c r="AU234" s="60" t="n">
        <f aca="false">2*AQ234^3/27-AQ234*AR234/3+AS234</f>
        <v>-0.0636400988362784</v>
      </c>
      <c r="AV234" s="60" t="n">
        <f aca="false">AU234^2/4+AT234^3/27</f>
        <v>0.000313710901361829</v>
      </c>
      <c r="AW234" s="60" t="n">
        <f aca="false">-AU234/2-IF(AU234&gt;=0,1,-1)*SQRT(MAX(AV234,0))</f>
        <v>0.0495319352963236</v>
      </c>
      <c r="AX234" s="60" t="n">
        <f aca="false">SIGN(AW234)*ABS(AW234)^(1/3)</f>
        <v>0.367249967174439</v>
      </c>
      <c r="AY234" s="60" t="n">
        <f aca="false">IF(AX234=0,0,AX234-AT234/(3*AX234))</f>
        <v>0.60888329127384</v>
      </c>
      <c r="AZ234" s="60" t="n">
        <f aca="false">2*SQRT(MAX(-AT234,0)/3)</f>
        <v>0.595784626668918</v>
      </c>
      <c r="BA234" s="60" t="n">
        <f aca="false">ACOS(IF(AZ234=0,0,MAX(-1,MIN(1,3*AU234/(AT234*AZ234)))))</f>
        <v>0</v>
      </c>
      <c r="BB234" s="60" t="n">
        <f aca="false">AZ234*COS(BA234/3)</f>
        <v>0.595784626668918</v>
      </c>
      <c r="BC234" s="60" t="n">
        <f aca="false">IF(AV234&lt;0,BB234,AY234)-AQ234/3</f>
        <v>0.91158844983184</v>
      </c>
      <c r="BD234" s="60" t="n">
        <f aca="false">IFERROR((((BC234+AQ234)*BC234+AR234)*BC234+AS234)/((3*BC234+2*AQ234)*BC234+AR234),0)</f>
        <v>0</v>
      </c>
      <c r="BE234" s="60" t="n">
        <f aca="false">IF(ABS(BD234)&lt;0.1*ABS(BC234),BC234-BD234,BC234)</f>
        <v>0.91158844983184</v>
      </c>
      <c r="BF234" s="60" t="n">
        <f aca="false">IFERROR((((BE234+AQ234)*BE234+AR234)*BE234+AS234)/((3*BE234+2*AQ234)*BE234+AR234),0)</f>
        <v>0</v>
      </c>
      <c r="BG234" s="60" t="n">
        <f aca="false">IF(ABS(BF234)&lt;0.1*ABS(BE234),BE234-BF234,BE234)</f>
        <v>0.91158844983184</v>
      </c>
      <c r="BH234" s="60" t="n">
        <f aca="false">-AS234/BG234</f>
        <v>0.0118376711504565</v>
      </c>
      <c r="BI234" s="60" t="n">
        <f aca="false">(AR234-BH234)/BG234</f>
        <v>-0.00347297415783941</v>
      </c>
      <c r="BJ234" s="60" t="n">
        <f aca="false">BI234^2-4*BH234</f>
        <v>-0.0473386230523248</v>
      </c>
      <c r="BK234" s="60" t="n">
        <f aca="false">IF(BJ234&gt;=0,(BI234+IF(BI234&gt;=0,1,-1)*SQRT(BJ234))/2,0)</f>
        <v>0</v>
      </c>
      <c r="BL234" s="60" t="n">
        <f aca="false">IF(AND(BJ234&gt;=0,BK234&lt;&gt;0),MIN(BK234,BH234/BK234),-1)</f>
        <v>-1</v>
      </c>
      <c r="BM234" s="60" t="n">
        <f aca="false">AND(BJ234&gt;=0,BL234&gt;AP234,ABS(BG234-BL234)&gt;=0.00005*MAX(BG234,BL234))</f>
        <v>0</v>
      </c>
      <c r="BN234" s="60" t="n">
        <f aca="false">IF(BM234,IFERROR((((BL234+AQ234)*BL234+AR234)*BL234+AS234)/((3*BL234+2*AQ234)*BL234+AR234),0),0)</f>
        <v>0</v>
      </c>
      <c r="BO234" s="60" t="n">
        <f aca="false">IF(ABS(BN234)&lt;0.1*ABS(BL234),BL234-BN234,BL234)</f>
        <v>-1</v>
      </c>
      <c r="BP234" s="60" t="n">
        <f aca="false">IF(BM234,IFERROR((((BO234+AQ234)*BO234+AR234)*BO234+AS234)/((3*BO234+2*AQ234)*BO234+AR234),0),0)</f>
        <v>0</v>
      </c>
      <c r="BQ234" s="60" t="n">
        <f aca="false">IF(ABS(BP234)&lt;0.1*ABS(BO234),BO234-BP234,BO234)</f>
        <v>-1</v>
      </c>
      <c r="BR234" s="60" t="n">
        <f aca="false">IF(BM234,MAX(BG234,BQ234),BG234)</f>
        <v>0.91158844983184</v>
      </c>
      <c r="BS234" s="60" t="n">
        <f aca="false">IF(BM234,MIN(BG234,BQ234),-1)</f>
        <v>-1</v>
      </c>
      <c r="BT234" s="60" t="n">
        <f aca="false">CHOOSE($C$7,AO234/BR234,AO234/AP234*LN(1+AP234/BR234),AO234/(2*SQRT(2)*AP234)*LN((BR234+(1+SQRT(2))*AP234)/(BR234+(1-SQRT(2))*AP234)))</f>
        <v>0.218240791233887</v>
      </c>
      <c r="BU234" s="60" t="n">
        <f aca="false">BR234-1-LN(BR234-AP234)-BT234</f>
        <v>-0.107840271021729</v>
      </c>
      <c r="BV234" s="60" t="n">
        <f aca="false">IF(BM234,CHOOSE($C$7,AO234/BS234,AO234/AP234*LN(1+AP234/BS234),AO234/(2*SQRT(2)*AP234)*LN((BS234+(1+SQRT(2))*AP234)/(BS234+(1-SQRT(2))*AP234))),0)</f>
        <v>0</v>
      </c>
      <c r="BW234" s="60" t="n">
        <f aca="false">IF(BM234,BS234-1-LN(BS234-AP234)-BV234,0)</f>
        <v>0</v>
      </c>
      <c r="BX234" s="60" t="n">
        <f aca="false">AND(BM234,BW234&lt;BU234)</f>
        <v>0</v>
      </c>
      <c r="BY234" s="60" t="n">
        <f aca="false">IF(BX234,BS234,BR234)</f>
        <v>0.91158844983184</v>
      </c>
      <c r="BZ234" s="60" t="n">
        <f aca="false">IF(BX234,BV234,BT234)</f>
        <v>0.218240791233887</v>
      </c>
      <c r="CA234" s="60" t="n">
        <f aca="false">LN(BY234-AP234)</f>
        <v>-0.198812070380318</v>
      </c>
      <c r="CB234" s="60" t="n">
        <f aca="false">$E$27/AN234*(BY234-1)-CA234-BZ234*(2*AA234/AM234-$E$27/AN234)</f>
        <v>-0.107840271021729</v>
      </c>
      <c r="CC234" s="60" t="n">
        <f aca="false">$F$27/AN234*(BY234-1)-CA234-BZ234*(2*AB234/AM234-$F$27/AN234)</f>
        <v>0.198812070380318</v>
      </c>
      <c r="CD234" s="60" t="n">
        <f aca="false">$G$27/AN234*(BY234-1)-CA234-BZ234*(2*AC234/AM234-$G$27/AN234)</f>
        <v>0.198812070380318</v>
      </c>
      <c r="CE234" s="60" t="n">
        <f aca="false">$H$27/AN234*(BY234-1)-CA234-BZ234*(2*AD234/AM234-$H$27/AN234)</f>
        <v>0.198812070380318</v>
      </c>
      <c r="CF234" s="60" t="n">
        <f aca="false">$I$27/AN234*(BY234-1)-CA234-BZ234*(2*AE234/AM234-$I$27/AN234)</f>
        <v>0.198812070380318</v>
      </c>
      <c r="CG234" s="60" t="n">
        <f aca="false">$J$27/AN234*(BY234-1)-CA234-BZ234*(2*AF234/AM234-$J$27/AN234)</f>
        <v>0.198812070380318</v>
      </c>
      <c r="CH234" s="60" t="n">
        <f aca="false">$K$27/AN234*(BY234-1)-CA234-BZ234*(2*AG234/AM234-$K$27/AN234)</f>
        <v>0.198812070380318</v>
      </c>
      <c r="CI234" s="60" t="n">
        <f aca="false">$L$27/AN234*(BY234-1)-CA234-BZ234*(2*AH234/AM234-$L$27/AN234)</f>
        <v>0.198812070380318</v>
      </c>
      <c r="CJ234" s="60" t="n">
        <f aca="false">$M$27/AN234*(BY234-1)-CA234-BZ234*(2*AI234/AM234-$M$27/AN234)</f>
        <v>0.198812070380318</v>
      </c>
      <c r="CK234" s="60" t="n">
        <f aca="false">$N$27/AN234*(BY234-1)-CA234-BZ234*(2*AJ234/AM234-$N$27/AN234)</f>
        <v>0.198812070380318</v>
      </c>
      <c r="CL234" s="60" t="n">
        <f aca="false">$O$27/AN234*(BY234-1)-CA234-BZ234*(2*AK234/AM234-$O$27/AN234)</f>
        <v>0.198812070380318</v>
      </c>
      <c r="CM234" s="60" t="n">
        <f aca="false">$P$27/AN234*(BY234-1)-CA234-BZ234*(2*AL234/AM234-$P$27/AN234)</f>
        <v>0.198812070380318</v>
      </c>
      <c r="CN234" s="60" t="n">
        <f aca="false">AP234/BY234&gt;$C$22</f>
        <v>0</v>
      </c>
      <c r="CO234" s="60" t="n">
        <f aca="false">1-N234+SUMPRODUCT(B234:M234,CB234:CM234)-SUMPRODUCT(B234:M234,CB233:CM233)</f>
        <v>0</v>
      </c>
      <c r="CP234" s="60" t="n">
        <f aca="false">SUMXMY2(O234:Z234,$E$13:$P$13)</f>
        <v>0</v>
      </c>
    </row>
    <row r="235" customFormat="false" ht="15" hidden="false" customHeight="false" outlineLevel="0" collapsed="false">
      <c r="A235" s="59" t="n">
        <v>26</v>
      </c>
      <c r="B235" s="60" t="n">
        <f aca="false">$E$13*EXP(MAX(-700,MIN(700,$E$86-CB234)))</f>
        <v>1</v>
      </c>
      <c r="C235" s="60" t="n">
        <f aca="false">$F$13*EXP(MAX(-700,MIN(700,$F$86-CC234)))</f>
        <v>0</v>
      </c>
      <c r="D235" s="60" t="n">
        <f aca="false">$G$13*EXP(MAX(-700,MIN(700,$G$86-CD234)))</f>
        <v>0</v>
      </c>
      <c r="E235" s="60" t="n">
        <f aca="false">$H$13*EXP(MAX(-700,MIN(700,$H$86-CE234)))</f>
        <v>0</v>
      </c>
      <c r="F235" s="60" t="n">
        <f aca="false">$I$13*EXP(MAX(-700,MIN(700,$I$86-CF234)))</f>
        <v>0</v>
      </c>
      <c r="G235" s="60" t="n">
        <f aca="false">$J$13*EXP(MAX(-700,MIN(700,$J$86-CG234)))</f>
        <v>0</v>
      </c>
      <c r="H235" s="60" t="n">
        <f aca="false">$K$13*EXP(MAX(-700,MIN(700,$K$86-CH234)))</f>
        <v>0</v>
      </c>
      <c r="I235" s="60" t="n">
        <f aca="false">$L$13*EXP(MAX(-700,MIN(700,$L$86-CI234)))</f>
        <v>0</v>
      </c>
      <c r="J235" s="60" t="n">
        <f aca="false">$M$13*EXP(MAX(-700,MIN(700,$M$86-CJ234)))</f>
        <v>0</v>
      </c>
      <c r="K235" s="60" t="n">
        <f aca="false">$N$13*EXP(MAX(-700,MIN(700,$N$86-CK234)))</f>
        <v>0</v>
      </c>
      <c r="L235" s="60" t="n">
        <f aca="false">$O$13*EXP(MAX(-700,MIN(700,$O$86-CL234)))</f>
        <v>0</v>
      </c>
      <c r="M235" s="60" t="n">
        <f aca="false">$P$13*EXP(MAX(-700,MIN(700,$P$86-CM234)))</f>
        <v>0</v>
      </c>
      <c r="N235" s="60" t="n">
        <f aca="false">SUM(B235:M235)</f>
        <v>1</v>
      </c>
      <c r="O235" s="60" t="n">
        <f aca="false">B235/N235</f>
        <v>1</v>
      </c>
      <c r="P235" s="60" t="n">
        <f aca="false">C235/N235</f>
        <v>0</v>
      </c>
      <c r="Q235" s="60" t="n">
        <f aca="false">D235/N235</f>
        <v>0</v>
      </c>
      <c r="R235" s="60" t="n">
        <f aca="false">E235/N235</f>
        <v>0</v>
      </c>
      <c r="S235" s="60" t="n">
        <f aca="false">F235/N235</f>
        <v>0</v>
      </c>
      <c r="T235" s="60" t="n">
        <f aca="false">G235/N235</f>
        <v>0</v>
      </c>
      <c r="U235" s="60" t="n">
        <f aca="false">H235/N235</f>
        <v>0</v>
      </c>
      <c r="V235" s="60" t="n">
        <f aca="false">I235/N235</f>
        <v>0</v>
      </c>
      <c r="W235" s="60" t="n">
        <f aca="false">J235/N235</f>
        <v>0</v>
      </c>
      <c r="X235" s="60" t="n">
        <f aca="false">K235/N235</f>
        <v>0</v>
      </c>
      <c r="Y235" s="60" t="n">
        <f aca="false">L235/N235</f>
        <v>0</v>
      </c>
      <c r="Z235" s="60" t="n">
        <f aca="false">M235/N235</f>
        <v>0</v>
      </c>
      <c r="AA235" s="60" t="n">
        <f aca="false">$E$28*SUMPRODUCT($E$31:$P$31,O235:Z235,$E$28:$P$28)</f>
        <v>0.184416866619846</v>
      </c>
      <c r="AB235" s="60" t="n">
        <f aca="false">$F$28*SUMPRODUCT($E$32:$P$32,O235:Z235,$E$28:$P$28)</f>
        <v>0</v>
      </c>
      <c r="AC235" s="60" t="n">
        <f aca="false">$G$28*SUMPRODUCT($E$33:$P$33,O235:Z235,$E$28:$P$28)</f>
        <v>0</v>
      </c>
      <c r="AD235" s="60" t="n">
        <f aca="false">$H$28*SUMPRODUCT($E$34:$P$34,O235:Z235,$E$28:$P$28)</f>
        <v>0</v>
      </c>
      <c r="AE235" s="60" t="n">
        <f aca="false">$I$28*SUMPRODUCT($E$35:$P$35,O235:Z235,$E$28:$P$28)</f>
        <v>0</v>
      </c>
      <c r="AF235" s="60" t="n">
        <f aca="false">$J$28*SUMPRODUCT($E$36:$P$36,O235:Z235,$E$28:$P$28)</f>
        <v>0</v>
      </c>
      <c r="AG235" s="60" t="n">
        <f aca="false">$K$28*SUMPRODUCT($E$37:$P$37,O235:Z235,$E$28:$P$28)</f>
        <v>0</v>
      </c>
      <c r="AH235" s="60" t="n">
        <f aca="false">$L$28*SUMPRODUCT($E$38:$P$38,O235:Z235,$E$28:$P$28)</f>
        <v>0</v>
      </c>
      <c r="AI235" s="60" t="n">
        <f aca="false">$M$28*SUMPRODUCT($E$39:$P$39,O235:Z235,$E$28:$P$28)</f>
        <v>0</v>
      </c>
      <c r="AJ235" s="60" t="n">
        <f aca="false">$N$28*SUMPRODUCT($E$40:$P$40,O235:Z235,$E$28:$P$28)</f>
        <v>0</v>
      </c>
      <c r="AK235" s="60" t="n">
        <f aca="false">$O$28*SUMPRODUCT($E$41:$P$41,O235:Z235,$E$28:$P$28)</f>
        <v>0</v>
      </c>
      <c r="AL235" s="60" t="n">
        <f aca="false">$P$28*SUMPRODUCT($E$42:$P$42,O235:Z235,$E$28:$P$28)</f>
        <v>0</v>
      </c>
      <c r="AM235" s="60" t="n">
        <f aca="false">SUMPRODUCT(O235:Z235,AA235:AL235)</f>
        <v>0.184416866619846</v>
      </c>
      <c r="AN235" s="60" t="n">
        <f aca="false">SUMPRODUCT(O235:Z235,$E$27:$P$27)</f>
        <v>2.67389635063809E-005</v>
      </c>
      <c r="AO235" s="60" t="n">
        <f aca="false">AM235*$C$9/($C$10*$C$8)^2</f>
        <v>0.21776909410545</v>
      </c>
      <c r="AP235" s="60" t="n">
        <f aca="false">AN235*$C$9/($C$10*$C$8)</f>
        <v>0.0918845243259994</v>
      </c>
      <c r="AQ235" s="60" t="n">
        <f aca="false">CHOOSE($C$7,-(1+AP235),-1,-(1-AP235))</f>
        <v>-0.908115475674001</v>
      </c>
      <c r="AR235" s="60" t="n">
        <f aca="false">CHOOSE($C$7,AO235,AO235-AP235-AP235^2,AO235-3*AP235^2-2*AP235)</f>
        <v>0.00867174802160559</v>
      </c>
      <c r="AS235" s="60" t="n">
        <f aca="false">CHOOSE($C$7,-AO235*AP235,-AO235*AP235,-(AO235*AP235-AP235^2-AP235^3))</f>
        <v>-0.0107910842936637</v>
      </c>
      <c r="AT235" s="60" t="n">
        <f aca="false">AR235-AQ235^2/3</f>
        <v>-0.266219491031267</v>
      </c>
      <c r="AU235" s="60" t="n">
        <f aca="false">2*AQ235^3/27-AQ235*AR235/3+AS235</f>
        <v>-0.0636400988362784</v>
      </c>
      <c r="AV235" s="60" t="n">
        <f aca="false">AU235^2/4+AT235^3/27</f>
        <v>0.000313710901361829</v>
      </c>
      <c r="AW235" s="60" t="n">
        <f aca="false">-AU235/2-IF(AU235&gt;=0,1,-1)*SQRT(MAX(AV235,0))</f>
        <v>0.0495319352963236</v>
      </c>
      <c r="AX235" s="60" t="n">
        <f aca="false">SIGN(AW235)*ABS(AW235)^(1/3)</f>
        <v>0.367249967174439</v>
      </c>
      <c r="AY235" s="60" t="n">
        <f aca="false">IF(AX235=0,0,AX235-AT235/(3*AX235))</f>
        <v>0.60888329127384</v>
      </c>
      <c r="AZ235" s="60" t="n">
        <f aca="false">2*SQRT(MAX(-AT235,0)/3)</f>
        <v>0.595784626668918</v>
      </c>
      <c r="BA235" s="60" t="n">
        <f aca="false">ACOS(IF(AZ235=0,0,MAX(-1,MIN(1,3*AU235/(AT235*AZ235)))))</f>
        <v>0</v>
      </c>
      <c r="BB235" s="60" t="n">
        <f aca="false">AZ235*COS(BA235/3)</f>
        <v>0.595784626668918</v>
      </c>
      <c r="BC235" s="60" t="n">
        <f aca="false">IF(AV235&lt;0,BB235,AY235)-AQ235/3</f>
        <v>0.91158844983184</v>
      </c>
      <c r="BD235" s="60" t="n">
        <f aca="false">IFERROR((((BC235+AQ235)*BC235+AR235)*BC235+AS235)/((3*BC235+2*AQ235)*BC235+AR235),0)</f>
        <v>0</v>
      </c>
      <c r="BE235" s="60" t="n">
        <f aca="false">IF(ABS(BD235)&lt;0.1*ABS(BC235),BC235-BD235,BC235)</f>
        <v>0.91158844983184</v>
      </c>
      <c r="BF235" s="60" t="n">
        <f aca="false">IFERROR((((BE235+AQ235)*BE235+AR235)*BE235+AS235)/((3*BE235+2*AQ235)*BE235+AR235),0)</f>
        <v>0</v>
      </c>
      <c r="BG235" s="60" t="n">
        <f aca="false">IF(ABS(BF235)&lt;0.1*ABS(BE235),BE235-BF235,BE235)</f>
        <v>0.91158844983184</v>
      </c>
      <c r="BH235" s="60" t="n">
        <f aca="false">-AS235/BG235</f>
        <v>0.0118376711504565</v>
      </c>
      <c r="BI235" s="60" t="n">
        <f aca="false">(AR235-BH235)/BG235</f>
        <v>-0.00347297415783941</v>
      </c>
      <c r="BJ235" s="60" t="n">
        <f aca="false">BI235^2-4*BH235</f>
        <v>-0.0473386230523248</v>
      </c>
      <c r="BK235" s="60" t="n">
        <f aca="false">IF(BJ235&gt;=0,(BI235+IF(BI235&gt;=0,1,-1)*SQRT(BJ235))/2,0)</f>
        <v>0</v>
      </c>
      <c r="BL235" s="60" t="n">
        <f aca="false">IF(AND(BJ235&gt;=0,BK235&lt;&gt;0),MIN(BK235,BH235/BK235),-1)</f>
        <v>-1</v>
      </c>
      <c r="BM235" s="60" t="n">
        <f aca="false">AND(BJ235&gt;=0,BL235&gt;AP235,ABS(BG235-BL235)&gt;=0.00005*MAX(BG235,BL235))</f>
        <v>0</v>
      </c>
      <c r="BN235" s="60" t="n">
        <f aca="false">IF(BM235,IFERROR((((BL235+AQ235)*BL235+AR235)*BL235+AS235)/((3*BL235+2*AQ235)*BL235+AR235),0),0)</f>
        <v>0</v>
      </c>
      <c r="BO235" s="60" t="n">
        <f aca="false">IF(ABS(BN235)&lt;0.1*ABS(BL235),BL235-BN235,BL235)</f>
        <v>-1</v>
      </c>
      <c r="BP235" s="60" t="n">
        <f aca="false">IF(BM235,IFERROR((((BO235+AQ235)*BO235+AR235)*BO235+AS235)/((3*BO235+2*AQ235)*BO235+AR235),0),0)</f>
        <v>0</v>
      </c>
      <c r="BQ235" s="60" t="n">
        <f aca="false">IF(ABS(BP235)&lt;0.1*ABS(BO235),BO235-BP235,BO235)</f>
        <v>-1</v>
      </c>
      <c r="BR235" s="60" t="n">
        <f aca="false">IF(BM235,MAX(BG235,BQ235),BG235)</f>
        <v>0.91158844983184</v>
      </c>
      <c r="BS235" s="60" t="n">
        <f aca="false">IF(BM235,MIN(BG235,BQ235),-1)</f>
        <v>-1</v>
      </c>
      <c r="BT235" s="60" t="n">
        <f aca="false">CHOOSE($C$7,AO235/BR235,AO235/AP235*LN(1+AP235/BR235),AO235/(2*SQRT(2)*AP235)*LN((BR235+(1+SQRT(2))*AP235)/(BR235+(1-SQRT(2))*AP235)))</f>
        <v>0.218240791233887</v>
      </c>
      <c r="BU235" s="60" t="n">
        <f aca="false">BR235-1-LN(BR235-AP235)-BT235</f>
        <v>-0.107840271021729</v>
      </c>
      <c r="BV235" s="60" t="n">
        <f aca="false">IF(BM235,CHOOSE($C$7,AO235/BS235,AO235/AP235*LN(1+AP235/BS235),AO235/(2*SQRT(2)*AP235)*LN((BS235+(1+SQRT(2))*AP235)/(BS235+(1-SQRT(2))*AP235))),0)</f>
        <v>0</v>
      </c>
      <c r="BW235" s="60" t="n">
        <f aca="false">IF(BM235,BS235-1-LN(BS235-AP235)-BV235,0)</f>
        <v>0</v>
      </c>
      <c r="BX235" s="60" t="n">
        <f aca="false">AND(BM235,BW235&lt;BU235)</f>
        <v>0</v>
      </c>
      <c r="BY235" s="60" t="n">
        <f aca="false">IF(BX235,BS235,BR235)</f>
        <v>0.91158844983184</v>
      </c>
      <c r="BZ235" s="60" t="n">
        <f aca="false">IF(BX235,BV235,BT235)</f>
        <v>0.218240791233887</v>
      </c>
      <c r="CA235" s="60" t="n">
        <f aca="false">LN(BY235-AP235)</f>
        <v>-0.198812070380318</v>
      </c>
      <c r="CB235" s="60" t="n">
        <f aca="false">$E$27/AN235*(BY235-1)-CA235-BZ235*(2*AA235/AM235-$E$27/AN235)</f>
        <v>-0.107840271021729</v>
      </c>
      <c r="CC235" s="60" t="n">
        <f aca="false">$F$27/AN235*(BY235-1)-CA235-BZ235*(2*AB235/AM235-$F$27/AN235)</f>
        <v>0.198812070380318</v>
      </c>
      <c r="CD235" s="60" t="n">
        <f aca="false">$G$27/AN235*(BY235-1)-CA235-BZ235*(2*AC235/AM235-$G$27/AN235)</f>
        <v>0.198812070380318</v>
      </c>
      <c r="CE235" s="60" t="n">
        <f aca="false">$H$27/AN235*(BY235-1)-CA235-BZ235*(2*AD235/AM235-$H$27/AN235)</f>
        <v>0.198812070380318</v>
      </c>
      <c r="CF235" s="60" t="n">
        <f aca="false">$I$27/AN235*(BY235-1)-CA235-BZ235*(2*AE235/AM235-$I$27/AN235)</f>
        <v>0.198812070380318</v>
      </c>
      <c r="CG235" s="60" t="n">
        <f aca="false">$J$27/AN235*(BY235-1)-CA235-BZ235*(2*AF235/AM235-$J$27/AN235)</f>
        <v>0.198812070380318</v>
      </c>
      <c r="CH235" s="60" t="n">
        <f aca="false">$K$27/AN235*(BY235-1)-CA235-BZ235*(2*AG235/AM235-$K$27/AN235)</f>
        <v>0.198812070380318</v>
      </c>
      <c r="CI235" s="60" t="n">
        <f aca="false">$L$27/AN235*(BY235-1)-CA235-BZ235*(2*AH235/AM235-$L$27/AN235)</f>
        <v>0.198812070380318</v>
      </c>
      <c r="CJ235" s="60" t="n">
        <f aca="false">$M$27/AN235*(BY235-1)-CA235-BZ235*(2*AI235/AM235-$M$27/AN235)</f>
        <v>0.198812070380318</v>
      </c>
      <c r="CK235" s="60" t="n">
        <f aca="false">$N$27/AN235*(BY235-1)-CA235-BZ235*(2*AJ235/AM235-$N$27/AN235)</f>
        <v>0.198812070380318</v>
      </c>
      <c r="CL235" s="60" t="n">
        <f aca="false">$O$27/AN235*(BY235-1)-CA235-BZ235*(2*AK235/AM235-$O$27/AN235)</f>
        <v>0.198812070380318</v>
      </c>
      <c r="CM235" s="60" t="n">
        <f aca="false">$P$27/AN235*(BY235-1)-CA235-BZ235*(2*AL235/AM235-$P$27/AN235)</f>
        <v>0.198812070380318</v>
      </c>
      <c r="CN235" s="60" t="n">
        <f aca="false">AP235/BY235&gt;$C$22</f>
        <v>0</v>
      </c>
      <c r="CO235" s="60" t="n">
        <f aca="false">1-N235+SUMPRODUCT(B235:M235,CB235:CM235)-SUMPRODUCT(B235:M235,CB234:CM234)</f>
        <v>0</v>
      </c>
      <c r="CP235" s="60" t="n">
        <f aca="false">SUMXMY2(O235:Z235,$E$13:$P$13)</f>
        <v>0</v>
      </c>
    </row>
    <row r="236" customFormat="false" ht="15" hidden="false" customHeight="false" outlineLevel="0" collapsed="false">
      <c r="A236" s="59" t="n">
        <v>27</v>
      </c>
      <c r="B236" s="60" t="n">
        <f aca="false">$E$13*EXP(MAX(-700,MIN(700,$E$86-CB235)))</f>
        <v>1</v>
      </c>
      <c r="C236" s="60" t="n">
        <f aca="false">$F$13*EXP(MAX(-700,MIN(700,$F$86-CC235)))</f>
        <v>0</v>
      </c>
      <c r="D236" s="60" t="n">
        <f aca="false">$G$13*EXP(MAX(-700,MIN(700,$G$86-CD235)))</f>
        <v>0</v>
      </c>
      <c r="E236" s="60" t="n">
        <f aca="false">$H$13*EXP(MAX(-700,MIN(700,$H$86-CE235)))</f>
        <v>0</v>
      </c>
      <c r="F236" s="60" t="n">
        <f aca="false">$I$13*EXP(MAX(-700,MIN(700,$I$86-CF235)))</f>
        <v>0</v>
      </c>
      <c r="G236" s="60" t="n">
        <f aca="false">$J$13*EXP(MAX(-700,MIN(700,$J$86-CG235)))</f>
        <v>0</v>
      </c>
      <c r="H236" s="60" t="n">
        <f aca="false">$K$13*EXP(MAX(-700,MIN(700,$K$86-CH235)))</f>
        <v>0</v>
      </c>
      <c r="I236" s="60" t="n">
        <f aca="false">$L$13*EXP(MAX(-700,MIN(700,$L$86-CI235)))</f>
        <v>0</v>
      </c>
      <c r="J236" s="60" t="n">
        <f aca="false">$M$13*EXP(MAX(-700,MIN(700,$M$86-CJ235)))</f>
        <v>0</v>
      </c>
      <c r="K236" s="60" t="n">
        <f aca="false">$N$13*EXP(MAX(-700,MIN(700,$N$86-CK235)))</f>
        <v>0</v>
      </c>
      <c r="L236" s="60" t="n">
        <f aca="false">$O$13*EXP(MAX(-700,MIN(700,$O$86-CL235)))</f>
        <v>0</v>
      </c>
      <c r="M236" s="60" t="n">
        <f aca="false">$P$13*EXP(MAX(-700,MIN(700,$P$86-CM235)))</f>
        <v>0</v>
      </c>
      <c r="N236" s="60" t="n">
        <f aca="false">SUM(B236:M236)</f>
        <v>1</v>
      </c>
      <c r="O236" s="60" t="n">
        <f aca="false">B236/N236</f>
        <v>1</v>
      </c>
      <c r="P236" s="60" t="n">
        <f aca="false">C236/N236</f>
        <v>0</v>
      </c>
      <c r="Q236" s="60" t="n">
        <f aca="false">D236/N236</f>
        <v>0</v>
      </c>
      <c r="R236" s="60" t="n">
        <f aca="false">E236/N236</f>
        <v>0</v>
      </c>
      <c r="S236" s="60" t="n">
        <f aca="false">F236/N236</f>
        <v>0</v>
      </c>
      <c r="T236" s="60" t="n">
        <f aca="false">G236/N236</f>
        <v>0</v>
      </c>
      <c r="U236" s="60" t="n">
        <f aca="false">H236/N236</f>
        <v>0</v>
      </c>
      <c r="V236" s="60" t="n">
        <f aca="false">I236/N236</f>
        <v>0</v>
      </c>
      <c r="W236" s="60" t="n">
        <f aca="false">J236/N236</f>
        <v>0</v>
      </c>
      <c r="X236" s="60" t="n">
        <f aca="false">K236/N236</f>
        <v>0</v>
      </c>
      <c r="Y236" s="60" t="n">
        <f aca="false">L236/N236</f>
        <v>0</v>
      </c>
      <c r="Z236" s="60" t="n">
        <f aca="false">M236/N236</f>
        <v>0</v>
      </c>
      <c r="AA236" s="60" t="n">
        <f aca="false">$E$28*SUMPRODUCT($E$31:$P$31,O236:Z236,$E$28:$P$28)</f>
        <v>0.184416866619846</v>
      </c>
      <c r="AB236" s="60" t="n">
        <f aca="false">$F$28*SUMPRODUCT($E$32:$P$32,O236:Z236,$E$28:$P$28)</f>
        <v>0</v>
      </c>
      <c r="AC236" s="60" t="n">
        <f aca="false">$G$28*SUMPRODUCT($E$33:$P$33,O236:Z236,$E$28:$P$28)</f>
        <v>0</v>
      </c>
      <c r="AD236" s="60" t="n">
        <f aca="false">$H$28*SUMPRODUCT($E$34:$P$34,O236:Z236,$E$28:$P$28)</f>
        <v>0</v>
      </c>
      <c r="AE236" s="60" t="n">
        <f aca="false">$I$28*SUMPRODUCT($E$35:$P$35,O236:Z236,$E$28:$P$28)</f>
        <v>0</v>
      </c>
      <c r="AF236" s="60" t="n">
        <f aca="false">$J$28*SUMPRODUCT($E$36:$P$36,O236:Z236,$E$28:$P$28)</f>
        <v>0</v>
      </c>
      <c r="AG236" s="60" t="n">
        <f aca="false">$K$28*SUMPRODUCT($E$37:$P$37,O236:Z236,$E$28:$P$28)</f>
        <v>0</v>
      </c>
      <c r="AH236" s="60" t="n">
        <f aca="false">$L$28*SUMPRODUCT($E$38:$P$38,O236:Z236,$E$28:$P$28)</f>
        <v>0</v>
      </c>
      <c r="AI236" s="60" t="n">
        <f aca="false">$M$28*SUMPRODUCT($E$39:$P$39,O236:Z236,$E$28:$P$28)</f>
        <v>0</v>
      </c>
      <c r="AJ236" s="60" t="n">
        <f aca="false">$N$28*SUMPRODUCT($E$40:$P$40,O236:Z236,$E$28:$P$28)</f>
        <v>0</v>
      </c>
      <c r="AK236" s="60" t="n">
        <f aca="false">$O$28*SUMPRODUCT($E$41:$P$41,O236:Z236,$E$28:$P$28)</f>
        <v>0</v>
      </c>
      <c r="AL236" s="60" t="n">
        <f aca="false">$P$28*SUMPRODUCT($E$42:$P$42,O236:Z236,$E$28:$P$28)</f>
        <v>0</v>
      </c>
      <c r="AM236" s="60" t="n">
        <f aca="false">SUMPRODUCT(O236:Z236,AA236:AL236)</f>
        <v>0.184416866619846</v>
      </c>
      <c r="AN236" s="60" t="n">
        <f aca="false">SUMPRODUCT(O236:Z236,$E$27:$P$27)</f>
        <v>2.67389635063809E-005</v>
      </c>
      <c r="AO236" s="60" t="n">
        <f aca="false">AM236*$C$9/($C$10*$C$8)^2</f>
        <v>0.21776909410545</v>
      </c>
      <c r="AP236" s="60" t="n">
        <f aca="false">AN236*$C$9/($C$10*$C$8)</f>
        <v>0.0918845243259994</v>
      </c>
      <c r="AQ236" s="60" t="n">
        <f aca="false">CHOOSE($C$7,-(1+AP236),-1,-(1-AP236))</f>
        <v>-0.908115475674001</v>
      </c>
      <c r="AR236" s="60" t="n">
        <f aca="false">CHOOSE($C$7,AO236,AO236-AP236-AP236^2,AO236-3*AP236^2-2*AP236)</f>
        <v>0.00867174802160559</v>
      </c>
      <c r="AS236" s="60" t="n">
        <f aca="false">CHOOSE($C$7,-AO236*AP236,-AO236*AP236,-(AO236*AP236-AP236^2-AP236^3))</f>
        <v>-0.0107910842936637</v>
      </c>
      <c r="AT236" s="60" t="n">
        <f aca="false">AR236-AQ236^2/3</f>
        <v>-0.266219491031267</v>
      </c>
      <c r="AU236" s="60" t="n">
        <f aca="false">2*AQ236^3/27-AQ236*AR236/3+AS236</f>
        <v>-0.0636400988362784</v>
      </c>
      <c r="AV236" s="60" t="n">
        <f aca="false">AU236^2/4+AT236^3/27</f>
        <v>0.000313710901361829</v>
      </c>
      <c r="AW236" s="60" t="n">
        <f aca="false">-AU236/2-IF(AU236&gt;=0,1,-1)*SQRT(MAX(AV236,0))</f>
        <v>0.0495319352963236</v>
      </c>
      <c r="AX236" s="60" t="n">
        <f aca="false">SIGN(AW236)*ABS(AW236)^(1/3)</f>
        <v>0.367249967174439</v>
      </c>
      <c r="AY236" s="60" t="n">
        <f aca="false">IF(AX236=0,0,AX236-AT236/(3*AX236))</f>
        <v>0.60888329127384</v>
      </c>
      <c r="AZ236" s="60" t="n">
        <f aca="false">2*SQRT(MAX(-AT236,0)/3)</f>
        <v>0.595784626668918</v>
      </c>
      <c r="BA236" s="60" t="n">
        <f aca="false">ACOS(IF(AZ236=0,0,MAX(-1,MIN(1,3*AU236/(AT236*AZ236)))))</f>
        <v>0</v>
      </c>
      <c r="BB236" s="60" t="n">
        <f aca="false">AZ236*COS(BA236/3)</f>
        <v>0.595784626668918</v>
      </c>
      <c r="BC236" s="60" t="n">
        <f aca="false">IF(AV236&lt;0,BB236,AY236)-AQ236/3</f>
        <v>0.91158844983184</v>
      </c>
      <c r="BD236" s="60" t="n">
        <f aca="false">IFERROR((((BC236+AQ236)*BC236+AR236)*BC236+AS236)/((3*BC236+2*AQ236)*BC236+AR236),0)</f>
        <v>0</v>
      </c>
      <c r="BE236" s="60" t="n">
        <f aca="false">IF(ABS(BD236)&lt;0.1*ABS(BC236),BC236-BD236,BC236)</f>
        <v>0.91158844983184</v>
      </c>
      <c r="BF236" s="60" t="n">
        <f aca="false">IFERROR((((BE236+AQ236)*BE236+AR236)*BE236+AS236)/((3*BE236+2*AQ236)*BE236+AR236),0)</f>
        <v>0</v>
      </c>
      <c r="BG236" s="60" t="n">
        <f aca="false">IF(ABS(BF236)&lt;0.1*ABS(BE236),BE236-BF236,BE236)</f>
        <v>0.91158844983184</v>
      </c>
      <c r="BH236" s="60" t="n">
        <f aca="false">-AS236/BG236</f>
        <v>0.0118376711504565</v>
      </c>
      <c r="BI236" s="60" t="n">
        <f aca="false">(AR236-BH236)/BG236</f>
        <v>-0.00347297415783941</v>
      </c>
      <c r="BJ236" s="60" t="n">
        <f aca="false">BI236^2-4*BH236</f>
        <v>-0.0473386230523248</v>
      </c>
      <c r="BK236" s="60" t="n">
        <f aca="false">IF(BJ236&gt;=0,(BI236+IF(BI236&gt;=0,1,-1)*SQRT(BJ236))/2,0)</f>
        <v>0</v>
      </c>
      <c r="BL236" s="60" t="n">
        <f aca="false">IF(AND(BJ236&gt;=0,BK236&lt;&gt;0),MIN(BK236,BH236/BK236),-1)</f>
        <v>-1</v>
      </c>
      <c r="BM236" s="60" t="n">
        <f aca="false">AND(BJ236&gt;=0,BL236&gt;AP236,ABS(BG236-BL236)&gt;=0.00005*MAX(BG236,BL236))</f>
        <v>0</v>
      </c>
      <c r="BN236" s="60" t="n">
        <f aca="false">IF(BM236,IFERROR((((BL236+AQ236)*BL236+AR236)*BL236+AS236)/((3*BL236+2*AQ236)*BL236+AR236),0),0)</f>
        <v>0</v>
      </c>
      <c r="BO236" s="60" t="n">
        <f aca="false">IF(ABS(BN236)&lt;0.1*ABS(BL236),BL236-BN236,BL236)</f>
        <v>-1</v>
      </c>
      <c r="BP236" s="60" t="n">
        <f aca="false">IF(BM236,IFERROR((((BO236+AQ236)*BO236+AR236)*BO236+AS236)/((3*BO236+2*AQ236)*BO236+AR236),0),0)</f>
        <v>0</v>
      </c>
      <c r="BQ236" s="60" t="n">
        <f aca="false">IF(ABS(BP236)&lt;0.1*ABS(BO236),BO236-BP236,BO236)</f>
        <v>-1</v>
      </c>
      <c r="BR236" s="60" t="n">
        <f aca="false">IF(BM236,MAX(BG236,BQ236),BG236)</f>
        <v>0.91158844983184</v>
      </c>
      <c r="BS236" s="60" t="n">
        <f aca="false">IF(BM236,MIN(BG236,BQ236),-1)</f>
        <v>-1</v>
      </c>
      <c r="BT236" s="60" t="n">
        <f aca="false">CHOOSE($C$7,AO236/BR236,AO236/AP236*LN(1+AP236/BR236),AO236/(2*SQRT(2)*AP236)*LN((BR236+(1+SQRT(2))*AP236)/(BR236+(1-SQRT(2))*AP236)))</f>
        <v>0.218240791233887</v>
      </c>
      <c r="BU236" s="60" t="n">
        <f aca="false">BR236-1-LN(BR236-AP236)-BT236</f>
        <v>-0.107840271021729</v>
      </c>
      <c r="BV236" s="60" t="n">
        <f aca="false">IF(BM236,CHOOSE($C$7,AO236/BS236,AO236/AP236*LN(1+AP236/BS236),AO236/(2*SQRT(2)*AP236)*LN((BS236+(1+SQRT(2))*AP236)/(BS236+(1-SQRT(2))*AP236))),0)</f>
        <v>0</v>
      </c>
      <c r="BW236" s="60" t="n">
        <f aca="false">IF(BM236,BS236-1-LN(BS236-AP236)-BV236,0)</f>
        <v>0</v>
      </c>
      <c r="BX236" s="60" t="n">
        <f aca="false">AND(BM236,BW236&lt;BU236)</f>
        <v>0</v>
      </c>
      <c r="BY236" s="60" t="n">
        <f aca="false">IF(BX236,BS236,BR236)</f>
        <v>0.91158844983184</v>
      </c>
      <c r="BZ236" s="60" t="n">
        <f aca="false">IF(BX236,BV236,BT236)</f>
        <v>0.218240791233887</v>
      </c>
      <c r="CA236" s="60" t="n">
        <f aca="false">LN(BY236-AP236)</f>
        <v>-0.198812070380318</v>
      </c>
      <c r="CB236" s="60" t="n">
        <f aca="false">$E$27/AN236*(BY236-1)-CA236-BZ236*(2*AA236/AM236-$E$27/AN236)</f>
        <v>-0.107840271021729</v>
      </c>
      <c r="CC236" s="60" t="n">
        <f aca="false">$F$27/AN236*(BY236-1)-CA236-BZ236*(2*AB236/AM236-$F$27/AN236)</f>
        <v>0.198812070380318</v>
      </c>
      <c r="CD236" s="60" t="n">
        <f aca="false">$G$27/AN236*(BY236-1)-CA236-BZ236*(2*AC236/AM236-$G$27/AN236)</f>
        <v>0.198812070380318</v>
      </c>
      <c r="CE236" s="60" t="n">
        <f aca="false">$H$27/AN236*(BY236-1)-CA236-BZ236*(2*AD236/AM236-$H$27/AN236)</f>
        <v>0.198812070380318</v>
      </c>
      <c r="CF236" s="60" t="n">
        <f aca="false">$I$27/AN236*(BY236-1)-CA236-BZ236*(2*AE236/AM236-$I$27/AN236)</f>
        <v>0.198812070380318</v>
      </c>
      <c r="CG236" s="60" t="n">
        <f aca="false">$J$27/AN236*(BY236-1)-CA236-BZ236*(2*AF236/AM236-$J$27/AN236)</f>
        <v>0.198812070380318</v>
      </c>
      <c r="CH236" s="60" t="n">
        <f aca="false">$K$27/AN236*(BY236-1)-CA236-BZ236*(2*AG236/AM236-$K$27/AN236)</f>
        <v>0.198812070380318</v>
      </c>
      <c r="CI236" s="60" t="n">
        <f aca="false">$L$27/AN236*(BY236-1)-CA236-BZ236*(2*AH236/AM236-$L$27/AN236)</f>
        <v>0.198812070380318</v>
      </c>
      <c r="CJ236" s="60" t="n">
        <f aca="false">$M$27/AN236*(BY236-1)-CA236-BZ236*(2*AI236/AM236-$M$27/AN236)</f>
        <v>0.198812070380318</v>
      </c>
      <c r="CK236" s="60" t="n">
        <f aca="false">$N$27/AN236*(BY236-1)-CA236-BZ236*(2*AJ236/AM236-$N$27/AN236)</f>
        <v>0.198812070380318</v>
      </c>
      <c r="CL236" s="60" t="n">
        <f aca="false">$O$27/AN236*(BY236-1)-CA236-BZ236*(2*AK236/AM236-$O$27/AN236)</f>
        <v>0.198812070380318</v>
      </c>
      <c r="CM236" s="60" t="n">
        <f aca="false">$P$27/AN236*(BY236-1)-CA236-BZ236*(2*AL236/AM236-$P$27/AN236)</f>
        <v>0.198812070380318</v>
      </c>
      <c r="CN236" s="60" t="n">
        <f aca="false">AP236/BY236&gt;$C$22</f>
        <v>0</v>
      </c>
      <c r="CO236" s="60" t="n">
        <f aca="false">1-N236+SUMPRODUCT(B236:M236,CB236:CM236)-SUMPRODUCT(B236:M236,CB235:CM235)</f>
        <v>0</v>
      </c>
      <c r="CP236" s="60" t="n">
        <f aca="false">SUMXMY2(O236:Z236,$E$13:$P$13)</f>
        <v>0</v>
      </c>
    </row>
    <row r="237" customFormat="false" ht="15" hidden="false" customHeight="false" outlineLevel="0" collapsed="false">
      <c r="A237" s="59" t="n">
        <v>28</v>
      </c>
      <c r="B237" s="60" t="n">
        <f aca="false">$E$13*EXP(MAX(-700,MIN(700,$E$86-CB236)))</f>
        <v>1</v>
      </c>
      <c r="C237" s="60" t="n">
        <f aca="false">$F$13*EXP(MAX(-700,MIN(700,$F$86-CC236)))</f>
        <v>0</v>
      </c>
      <c r="D237" s="60" t="n">
        <f aca="false">$G$13*EXP(MAX(-700,MIN(700,$G$86-CD236)))</f>
        <v>0</v>
      </c>
      <c r="E237" s="60" t="n">
        <f aca="false">$H$13*EXP(MAX(-700,MIN(700,$H$86-CE236)))</f>
        <v>0</v>
      </c>
      <c r="F237" s="60" t="n">
        <f aca="false">$I$13*EXP(MAX(-700,MIN(700,$I$86-CF236)))</f>
        <v>0</v>
      </c>
      <c r="G237" s="60" t="n">
        <f aca="false">$J$13*EXP(MAX(-700,MIN(700,$J$86-CG236)))</f>
        <v>0</v>
      </c>
      <c r="H237" s="60" t="n">
        <f aca="false">$K$13*EXP(MAX(-700,MIN(700,$K$86-CH236)))</f>
        <v>0</v>
      </c>
      <c r="I237" s="60" t="n">
        <f aca="false">$L$13*EXP(MAX(-700,MIN(700,$L$86-CI236)))</f>
        <v>0</v>
      </c>
      <c r="J237" s="60" t="n">
        <f aca="false">$M$13*EXP(MAX(-700,MIN(700,$M$86-CJ236)))</f>
        <v>0</v>
      </c>
      <c r="K237" s="60" t="n">
        <f aca="false">$N$13*EXP(MAX(-700,MIN(700,$N$86-CK236)))</f>
        <v>0</v>
      </c>
      <c r="L237" s="60" t="n">
        <f aca="false">$O$13*EXP(MAX(-700,MIN(700,$O$86-CL236)))</f>
        <v>0</v>
      </c>
      <c r="M237" s="60" t="n">
        <f aca="false">$P$13*EXP(MAX(-700,MIN(700,$P$86-CM236)))</f>
        <v>0</v>
      </c>
      <c r="N237" s="60" t="n">
        <f aca="false">SUM(B237:M237)</f>
        <v>1</v>
      </c>
      <c r="O237" s="60" t="n">
        <f aca="false">B237/N237</f>
        <v>1</v>
      </c>
      <c r="P237" s="60" t="n">
        <f aca="false">C237/N237</f>
        <v>0</v>
      </c>
      <c r="Q237" s="60" t="n">
        <f aca="false">D237/N237</f>
        <v>0</v>
      </c>
      <c r="R237" s="60" t="n">
        <f aca="false">E237/N237</f>
        <v>0</v>
      </c>
      <c r="S237" s="60" t="n">
        <f aca="false">F237/N237</f>
        <v>0</v>
      </c>
      <c r="T237" s="60" t="n">
        <f aca="false">G237/N237</f>
        <v>0</v>
      </c>
      <c r="U237" s="60" t="n">
        <f aca="false">H237/N237</f>
        <v>0</v>
      </c>
      <c r="V237" s="60" t="n">
        <f aca="false">I237/N237</f>
        <v>0</v>
      </c>
      <c r="W237" s="60" t="n">
        <f aca="false">J237/N237</f>
        <v>0</v>
      </c>
      <c r="X237" s="60" t="n">
        <f aca="false">K237/N237</f>
        <v>0</v>
      </c>
      <c r="Y237" s="60" t="n">
        <f aca="false">L237/N237</f>
        <v>0</v>
      </c>
      <c r="Z237" s="60" t="n">
        <f aca="false">M237/N237</f>
        <v>0</v>
      </c>
      <c r="AA237" s="60" t="n">
        <f aca="false">$E$28*SUMPRODUCT($E$31:$P$31,O237:Z237,$E$28:$P$28)</f>
        <v>0.184416866619846</v>
      </c>
      <c r="AB237" s="60" t="n">
        <f aca="false">$F$28*SUMPRODUCT($E$32:$P$32,O237:Z237,$E$28:$P$28)</f>
        <v>0</v>
      </c>
      <c r="AC237" s="60" t="n">
        <f aca="false">$G$28*SUMPRODUCT($E$33:$P$33,O237:Z237,$E$28:$P$28)</f>
        <v>0</v>
      </c>
      <c r="AD237" s="60" t="n">
        <f aca="false">$H$28*SUMPRODUCT($E$34:$P$34,O237:Z237,$E$28:$P$28)</f>
        <v>0</v>
      </c>
      <c r="AE237" s="60" t="n">
        <f aca="false">$I$28*SUMPRODUCT($E$35:$P$35,O237:Z237,$E$28:$P$28)</f>
        <v>0</v>
      </c>
      <c r="AF237" s="60" t="n">
        <f aca="false">$J$28*SUMPRODUCT($E$36:$P$36,O237:Z237,$E$28:$P$28)</f>
        <v>0</v>
      </c>
      <c r="AG237" s="60" t="n">
        <f aca="false">$K$28*SUMPRODUCT($E$37:$P$37,O237:Z237,$E$28:$P$28)</f>
        <v>0</v>
      </c>
      <c r="AH237" s="60" t="n">
        <f aca="false">$L$28*SUMPRODUCT($E$38:$P$38,O237:Z237,$E$28:$P$28)</f>
        <v>0</v>
      </c>
      <c r="AI237" s="60" t="n">
        <f aca="false">$M$28*SUMPRODUCT($E$39:$P$39,O237:Z237,$E$28:$P$28)</f>
        <v>0</v>
      </c>
      <c r="AJ237" s="60" t="n">
        <f aca="false">$N$28*SUMPRODUCT($E$40:$P$40,O237:Z237,$E$28:$P$28)</f>
        <v>0</v>
      </c>
      <c r="AK237" s="60" t="n">
        <f aca="false">$O$28*SUMPRODUCT($E$41:$P$41,O237:Z237,$E$28:$P$28)</f>
        <v>0</v>
      </c>
      <c r="AL237" s="60" t="n">
        <f aca="false">$P$28*SUMPRODUCT($E$42:$P$42,O237:Z237,$E$28:$P$28)</f>
        <v>0</v>
      </c>
      <c r="AM237" s="60" t="n">
        <f aca="false">SUMPRODUCT(O237:Z237,AA237:AL237)</f>
        <v>0.184416866619846</v>
      </c>
      <c r="AN237" s="60" t="n">
        <f aca="false">SUMPRODUCT(O237:Z237,$E$27:$P$27)</f>
        <v>2.67389635063809E-005</v>
      </c>
      <c r="AO237" s="60" t="n">
        <f aca="false">AM237*$C$9/($C$10*$C$8)^2</f>
        <v>0.21776909410545</v>
      </c>
      <c r="AP237" s="60" t="n">
        <f aca="false">AN237*$C$9/($C$10*$C$8)</f>
        <v>0.0918845243259994</v>
      </c>
      <c r="AQ237" s="60" t="n">
        <f aca="false">CHOOSE($C$7,-(1+AP237),-1,-(1-AP237))</f>
        <v>-0.908115475674001</v>
      </c>
      <c r="AR237" s="60" t="n">
        <f aca="false">CHOOSE($C$7,AO237,AO237-AP237-AP237^2,AO237-3*AP237^2-2*AP237)</f>
        <v>0.00867174802160559</v>
      </c>
      <c r="AS237" s="60" t="n">
        <f aca="false">CHOOSE($C$7,-AO237*AP237,-AO237*AP237,-(AO237*AP237-AP237^2-AP237^3))</f>
        <v>-0.0107910842936637</v>
      </c>
      <c r="AT237" s="60" t="n">
        <f aca="false">AR237-AQ237^2/3</f>
        <v>-0.266219491031267</v>
      </c>
      <c r="AU237" s="60" t="n">
        <f aca="false">2*AQ237^3/27-AQ237*AR237/3+AS237</f>
        <v>-0.0636400988362784</v>
      </c>
      <c r="AV237" s="60" t="n">
        <f aca="false">AU237^2/4+AT237^3/27</f>
        <v>0.000313710901361829</v>
      </c>
      <c r="AW237" s="60" t="n">
        <f aca="false">-AU237/2-IF(AU237&gt;=0,1,-1)*SQRT(MAX(AV237,0))</f>
        <v>0.0495319352963236</v>
      </c>
      <c r="AX237" s="60" t="n">
        <f aca="false">SIGN(AW237)*ABS(AW237)^(1/3)</f>
        <v>0.367249967174439</v>
      </c>
      <c r="AY237" s="60" t="n">
        <f aca="false">IF(AX237=0,0,AX237-AT237/(3*AX237))</f>
        <v>0.60888329127384</v>
      </c>
      <c r="AZ237" s="60" t="n">
        <f aca="false">2*SQRT(MAX(-AT237,0)/3)</f>
        <v>0.595784626668918</v>
      </c>
      <c r="BA237" s="60" t="n">
        <f aca="false">ACOS(IF(AZ237=0,0,MAX(-1,MIN(1,3*AU237/(AT237*AZ237)))))</f>
        <v>0</v>
      </c>
      <c r="BB237" s="60" t="n">
        <f aca="false">AZ237*COS(BA237/3)</f>
        <v>0.595784626668918</v>
      </c>
      <c r="BC237" s="60" t="n">
        <f aca="false">IF(AV237&lt;0,BB237,AY237)-AQ237/3</f>
        <v>0.91158844983184</v>
      </c>
      <c r="BD237" s="60" t="n">
        <f aca="false">IFERROR((((BC237+AQ237)*BC237+AR237)*BC237+AS237)/((3*BC237+2*AQ237)*BC237+AR237),0)</f>
        <v>0</v>
      </c>
      <c r="BE237" s="60" t="n">
        <f aca="false">IF(ABS(BD237)&lt;0.1*ABS(BC237),BC237-BD237,BC237)</f>
        <v>0.91158844983184</v>
      </c>
      <c r="BF237" s="60" t="n">
        <f aca="false">IFERROR((((BE237+AQ237)*BE237+AR237)*BE237+AS237)/((3*BE237+2*AQ237)*BE237+AR237),0)</f>
        <v>0</v>
      </c>
      <c r="BG237" s="60" t="n">
        <f aca="false">IF(ABS(BF237)&lt;0.1*ABS(BE237),BE237-BF237,BE237)</f>
        <v>0.91158844983184</v>
      </c>
      <c r="BH237" s="60" t="n">
        <f aca="false">-AS237/BG237</f>
        <v>0.0118376711504565</v>
      </c>
      <c r="BI237" s="60" t="n">
        <f aca="false">(AR237-BH237)/BG237</f>
        <v>-0.00347297415783941</v>
      </c>
      <c r="BJ237" s="60" t="n">
        <f aca="false">BI237^2-4*BH237</f>
        <v>-0.0473386230523248</v>
      </c>
      <c r="BK237" s="60" t="n">
        <f aca="false">IF(BJ237&gt;=0,(BI237+IF(BI237&gt;=0,1,-1)*SQRT(BJ237))/2,0)</f>
        <v>0</v>
      </c>
      <c r="BL237" s="60" t="n">
        <f aca="false">IF(AND(BJ237&gt;=0,BK237&lt;&gt;0),MIN(BK237,BH237/BK237),-1)</f>
        <v>-1</v>
      </c>
      <c r="BM237" s="60" t="n">
        <f aca="false">AND(BJ237&gt;=0,BL237&gt;AP237,ABS(BG237-BL237)&gt;=0.00005*MAX(BG237,BL237))</f>
        <v>0</v>
      </c>
      <c r="BN237" s="60" t="n">
        <f aca="false">IF(BM237,IFERROR((((BL237+AQ237)*BL237+AR237)*BL237+AS237)/((3*BL237+2*AQ237)*BL237+AR237),0),0)</f>
        <v>0</v>
      </c>
      <c r="BO237" s="60" t="n">
        <f aca="false">IF(ABS(BN237)&lt;0.1*ABS(BL237),BL237-BN237,BL237)</f>
        <v>-1</v>
      </c>
      <c r="BP237" s="60" t="n">
        <f aca="false">IF(BM237,IFERROR((((BO237+AQ237)*BO237+AR237)*BO237+AS237)/((3*BO237+2*AQ237)*BO237+AR237),0),0)</f>
        <v>0</v>
      </c>
      <c r="BQ237" s="60" t="n">
        <f aca="false">IF(ABS(BP237)&lt;0.1*ABS(BO237),BO237-BP237,BO237)</f>
        <v>-1</v>
      </c>
      <c r="BR237" s="60" t="n">
        <f aca="false">IF(BM237,MAX(BG237,BQ237),BG237)</f>
        <v>0.91158844983184</v>
      </c>
      <c r="BS237" s="60" t="n">
        <f aca="false">IF(BM237,MIN(BG237,BQ237),-1)</f>
        <v>-1</v>
      </c>
      <c r="BT237" s="60" t="n">
        <f aca="false">CHOOSE($C$7,AO237/BR237,AO237/AP237*LN(1+AP237/BR237),AO237/(2*SQRT(2)*AP237)*LN((BR237+(1+SQRT(2))*AP237)/(BR237+(1-SQRT(2))*AP237)))</f>
        <v>0.218240791233887</v>
      </c>
      <c r="BU237" s="60" t="n">
        <f aca="false">BR237-1-LN(BR237-AP237)-BT237</f>
        <v>-0.107840271021729</v>
      </c>
      <c r="BV237" s="60" t="n">
        <f aca="false">IF(BM237,CHOOSE($C$7,AO237/BS237,AO237/AP237*LN(1+AP237/BS237),AO237/(2*SQRT(2)*AP237)*LN((BS237+(1+SQRT(2))*AP237)/(BS237+(1-SQRT(2))*AP237))),0)</f>
        <v>0</v>
      </c>
      <c r="BW237" s="60" t="n">
        <f aca="false">IF(BM237,BS237-1-LN(BS237-AP237)-BV237,0)</f>
        <v>0</v>
      </c>
      <c r="BX237" s="60" t="n">
        <f aca="false">AND(BM237,BW237&lt;BU237)</f>
        <v>0</v>
      </c>
      <c r="BY237" s="60" t="n">
        <f aca="false">IF(BX237,BS237,BR237)</f>
        <v>0.91158844983184</v>
      </c>
      <c r="BZ237" s="60" t="n">
        <f aca="false">IF(BX237,BV237,BT237)</f>
        <v>0.218240791233887</v>
      </c>
      <c r="CA237" s="60" t="n">
        <f aca="false">LN(BY237-AP237)</f>
        <v>-0.198812070380318</v>
      </c>
      <c r="CB237" s="60" t="n">
        <f aca="false">$E$27/AN237*(BY237-1)-CA237-BZ237*(2*AA237/AM237-$E$27/AN237)</f>
        <v>-0.107840271021729</v>
      </c>
      <c r="CC237" s="60" t="n">
        <f aca="false">$F$27/AN237*(BY237-1)-CA237-BZ237*(2*AB237/AM237-$F$27/AN237)</f>
        <v>0.198812070380318</v>
      </c>
      <c r="CD237" s="60" t="n">
        <f aca="false">$G$27/AN237*(BY237-1)-CA237-BZ237*(2*AC237/AM237-$G$27/AN237)</f>
        <v>0.198812070380318</v>
      </c>
      <c r="CE237" s="60" t="n">
        <f aca="false">$H$27/AN237*(BY237-1)-CA237-BZ237*(2*AD237/AM237-$H$27/AN237)</f>
        <v>0.198812070380318</v>
      </c>
      <c r="CF237" s="60" t="n">
        <f aca="false">$I$27/AN237*(BY237-1)-CA237-BZ237*(2*AE237/AM237-$I$27/AN237)</f>
        <v>0.198812070380318</v>
      </c>
      <c r="CG237" s="60" t="n">
        <f aca="false">$J$27/AN237*(BY237-1)-CA237-BZ237*(2*AF237/AM237-$J$27/AN237)</f>
        <v>0.198812070380318</v>
      </c>
      <c r="CH237" s="60" t="n">
        <f aca="false">$K$27/AN237*(BY237-1)-CA237-BZ237*(2*AG237/AM237-$K$27/AN237)</f>
        <v>0.198812070380318</v>
      </c>
      <c r="CI237" s="60" t="n">
        <f aca="false">$L$27/AN237*(BY237-1)-CA237-BZ237*(2*AH237/AM237-$L$27/AN237)</f>
        <v>0.198812070380318</v>
      </c>
      <c r="CJ237" s="60" t="n">
        <f aca="false">$M$27/AN237*(BY237-1)-CA237-BZ237*(2*AI237/AM237-$M$27/AN237)</f>
        <v>0.198812070380318</v>
      </c>
      <c r="CK237" s="60" t="n">
        <f aca="false">$N$27/AN237*(BY237-1)-CA237-BZ237*(2*AJ237/AM237-$N$27/AN237)</f>
        <v>0.198812070380318</v>
      </c>
      <c r="CL237" s="60" t="n">
        <f aca="false">$O$27/AN237*(BY237-1)-CA237-BZ237*(2*AK237/AM237-$O$27/AN237)</f>
        <v>0.198812070380318</v>
      </c>
      <c r="CM237" s="60" t="n">
        <f aca="false">$P$27/AN237*(BY237-1)-CA237-BZ237*(2*AL237/AM237-$P$27/AN237)</f>
        <v>0.198812070380318</v>
      </c>
      <c r="CN237" s="60" t="n">
        <f aca="false">AP237/BY237&gt;$C$22</f>
        <v>0</v>
      </c>
      <c r="CO237" s="60" t="n">
        <f aca="false">1-N237+SUMPRODUCT(B237:M237,CB237:CM237)-SUMPRODUCT(B237:M237,CB236:CM236)</f>
        <v>0</v>
      </c>
      <c r="CP237" s="60" t="n">
        <f aca="false">SUMXMY2(O237:Z237,$E$13:$P$13)</f>
        <v>0</v>
      </c>
    </row>
    <row r="238" customFormat="false" ht="15" hidden="false" customHeight="false" outlineLevel="0" collapsed="false">
      <c r="A238" s="59" t="n">
        <v>29</v>
      </c>
      <c r="B238" s="60" t="n">
        <f aca="false">$E$13*EXP(MAX(-700,MIN(700,$E$86-CB237)))</f>
        <v>1</v>
      </c>
      <c r="C238" s="60" t="n">
        <f aca="false">$F$13*EXP(MAX(-700,MIN(700,$F$86-CC237)))</f>
        <v>0</v>
      </c>
      <c r="D238" s="60" t="n">
        <f aca="false">$G$13*EXP(MAX(-700,MIN(700,$G$86-CD237)))</f>
        <v>0</v>
      </c>
      <c r="E238" s="60" t="n">
        <f aca="false">$H$13*EXP(MAX(-700,MIN(700,$H$86-CE237)))</f>
        <v>0</v>
      </c>
      <c r="F238" s="60" t="n">
        <f aca="false">$I$13*EXP(MAX(-700,MIN(700,$I$86-CF237)))</f>
        <v>0</v>
      </c>
      <c r="G238" s="60" t="n">
        <f aca="false">$J$13*EXP(MAX(-700,MIN(700,$J$86-CG237)))</f>
        <v>0</v>
      </c>
      <c r="H238" s="60" t="n">
        <f aca="false">$K$13*EXP(MAX(-700,MIN(700,$K$86-CH237)))</f>
        <v>0</v>
      </c>
      <c r="I238" s="60" t="n">
        <f aca="false">$L$13*EXP(MAX(-700,MIN(700,$L$86-CI237)))</f>
        <v>0</v>
      </c>
      <c r="J238" s="60" t="n">
        <f aca="false">$M$13*EXP(MAX(-700,MIN(700,$M$86-CJ237)))</f>
        <v>0</v>
      </c>
      <c r="K238" s="60" t="n">
        <f aca="false">$N$13*EXP(MAX(-700,MIN(700,$N$86-CK237)))</f>
        <v>0</v>
      </c>
      <c r="L238" s="60" t="n">
        <f aca="false">$O$13*EXP(MAX(-700,MIN(700,$O$86-CL237)))</f>
        <v>0</v>
      </c>
      <c r="M238" s="60" t="n">
        <f aca="false">$P$13*EXP(MAX(-700,MIN(700,$P$86-CM237)))</f>
        <v>0</v>
      </c>
      <c r="N238" s="60" t="n">
        <f aca="false">SUM(B238:M238)</f>
        <v>1</v>
      </c>
      <c r="O238" s="60" t="n">
        <f aca="false">B238/N238</f>
        <v>1</v>
      </c>
      <c r="P238" s="60" t="n">
        <f aca="false">C238/N238</f>
        <v>0</v>
      </c>
      <c r="Q238" s="60" t="n">
        <f aca="false">D238/N238</f>
        <v>0</v>
      </c>
      <c r="R238" s="60" t="n">
        <f aca="false">E238/N238</f>
        <v>0</v>
      </c>
      <c r="S238" s="60" t="n">
        <f aca="false">F238/N238</f>
        <v>0</v>
      </c>
      <c r="T238" s="60" t="n">
        <f aca="false">G238/N238</f>
        <v>0</v>
      </c>
      <c r="U238" s="60" t="n">
        <f aca="false">H238/N238</f>
        <v>0</v>
      </c>
      <c r="V238" s="60" t="n">
        <f aca="false">I238/N238</f>
        <v>0</v>
      </c>
      <c r="W238" s="60" t="n">
        <f aca="false">J238/N238</f>
        <v>0</v>
      </c>
      <c r="X238" s="60" t="n">
        <f aca="false">K238/N238</f>
        <v>0</v>
      </c>
      <c r="Y238" s="60" t="n">
        <f aca="false">L238/N238</f>
        <v>0</v>
      </c>
      <c r="Z238" s="60" t="n">
        <f aca="false">M238/N238</f>
        <v>0</v>
      </c>
      <c r="AA238" s="60" t="n">
        <f aca="false">$E$28*SUMPRODUCT($E$31:$P$31,O238:Z238,$E$28:$P$28)</f>
        <v>0.184416866619846</v>
      </c>
      <c r="AB238" s="60" t="n">
        <f aca="false">$F$28*SUMPRODUCT($E$32:$P$32,O238:Z238,$E$28:$P$28)</f>
        <v>0</v>
      </c>
      <c r="AC238" s="60" t="n">
        <f aca="false">$G$28*SUMPRODUCT($E$33:$P$33,O238:Z238,$E$28:$P$28)</f>
        <v>0</v>
      </c>
      <c r="AD238" s="60" t="n">
        <f aca="false">$H$28*SUMPRODUCT($E$34:$P$34,O238:Z238,$E$28:$P$28)</f>
        <v>0</v>
      </c>
      <c r="AE238" s="60" t="n">
        <f aca="false">$I$28*SUMPRODUCT($E$35:$P$35,O238:Z238,$E$28:$P$28)</f>
        <v>0</v>
      </c>
      <c r="AF238" s="60" t="n">
        <f aca="false">$J$28*SUMPRODUCT($E$36:$P$36,O238:Z238,$E$28:$P$28)</f>
        <v>0</v>
      </c>
      <c r="AG238" s="60" t="n">
        <f aca="false">$K$28*SUMPRODUCT($E$37:$P$37,O238:Z238,$E$28:$P$28)</f>
        <v>0</v>
      </c>
      <c r="AH238" s="60" t="n">
        <f aca="false">$L$28*SUMPRODUCT($E$38:$P$38,O238:Z238,$E$28:$P$28)</f>
        <v>0</v>
      </c>
      <c r="AI238" s="60" t="n">
        <f aca="false">$M$28*SUMPRODUCT($E$39:$P$39,O238:Z238,$E$28:$P$28)</f>
        <v>0</v>
      </c>
      <c r="AJ238" s="60" t="n">
        <f aca="false">$N$28*SUMPRODUCT($E$40:$P$40,O238:Z238,$E$28:$P$28)</f>
        <v>0</v>
      </c>
      <c r="AK238" s="60" t="n">
        <f aca="false">$O$28*SUMPRODUCT($E$41:$P$41,O238:Z238,$E$28:$P$28)</f>
        <v>0</v>
      </c>
      <c r="AL238" s="60" t="n">
        <f aca="false">$P$28*SUMPRODUCT($E$42:$P$42,O238:Z238,$E$28:$P$28)</f>
        <v>0</v>
      </c>
      <c r="AM238" s="60" t="n">
        <f aca="false">SUMPRODUCT(O238:Z238,AA238:AL238)</f>
        <v>0.184416866619846</v>
      </c>
      <c r="AN238" s="60" t="n">
        <f aca="false">SUMPRODUCT(O238:Z238,$E$27:$P$27)</f>
        <v>2.67389635063809E-005</v>
      </c>
      <c r="AO238" s="60" t="n">
        <f aca="false">AM238*$C$9/($C$10*$C$8)^2</f>
        <v>0.21776909410545</v>
      </c>
      <c r="AP238" s="60" t="n">
        <f aca="false">AN238*$C$9/($C$10*$C$8)</f>
        <v>0.0918845243259994</v>
      </c>
      <c r="AQ238" s="60" t="n">
        <f aca="false">CHOOSE($C$7,-(1+AP238),-1,-(1-AP238))</f>
        <v>-0.908115475674001</v>
      </c>
      <c r="AR238" s="60" t="n">
        <f aca="false">CHOOSE($C$7,AO238,AO238-AP238-AP238^2,AO238-3*AP238^2-2*AP238)</f>
        <v>0.00867174802160559</v>
      </c>
      <c r="AS238" s="60" t="n">
        <f aca="false">CHOOSE($C$7,-AO238*AP238,-AO238*AP238,-(AO238*AP238-AP238^2-AP238^3))</f>
        <v>-0.0107910842936637</v>
      </c>
      <c r="AT238" s="60" t="n">
        <f aca="false">AR238-AQ238^2/3</f>
        <v>-0.266219491031267</v>
      </c>
      <c r="AU238" s="60" t="n">
        <f aca="false">2*AQ238^3/27-AQ238*AR238/3+AS238</f>
        <v>-0.0636400988362784</v>
      </c>
      <c r="AV238" s="60" t="n">
        <f aca="false">AU238^2/4+AT238^3/27</f>
        <v>0.000313710901361829</v>
      </c>
      <c r="AW238" s="60" t="n">
        <f aca="false">-AU238/2-IF(AU238&gt;=0,1,-1)*SQRT(MAX(AV238,0))</f>
        <v>0.0495319352963236</v>
      </c>
      <c r="AX238" s="60" t="n">
        <f aca="false">SIGN(AW238)*ABS(AW238)^(1/3)</f>
        <v>0.367249967174439</v>
      </c>
      <c r="AY238" s="60" t="n">
        <f aca="false">IF(AX238=0,0,AX238-AT238/(3*AX238))</f>
        <v>0.60888329127384</v>
      </c>
      <c r="AZ238" s="60" t="n">
        <f aca="false">2*SQRT(MAX(-AT238,0)/3)</f>
        <v>0.595784626668918</v>
      </c>
      <c r="BA238" s="60" t="n">
        <f aca="false">ACOS(IF(AZ238=0,0,MAX(-1,MIN(1,3*AU238/(AT238*AZ238)))))</f>
        <v>0</v>
      </c>
      <c r="BB238" s="60" t="n">
        <f aca="false">AZ238*COS(BA238/3)</f>
        <v>0.595784626668918</v>
      </c>
      <c r="BC238" s="60" t="n">
        <f aca="false">IF(AV238&lt;0,BB238,AY238)-AQ238/3</f>
        <v>0.91158844983184</v>
      </c>
      <c r="BD238" s="60" t="n">
        <f aca="false">IFERROR((((BC238+AQ238)*BC238+AR238)*BC238+AS238)/((3*BC238+2*AQ238)*BC238+AR238),0)</f>
        <v>0</v>
      </c>
      <c r="BE238" s="60" t="n">
        <f aca="false">IF(ABS(BD238)&lt;0.1*ABS(BC238),BC238-BD238,BC238)</f>
        <v>0.91158844983184</v>
      </c>
      <c r="BF238" s="60" t="n">
        <f aca="false">IFERROR((((BE238+AQ238)*BE238+AR238)*BE238+AS238)/((3*BE238+2*AQ238)*BE238+AR238),0)</f>
        <v>0</v>
      </c>
      <c r="BG238" s="60" t="n">
        <f aca="false">IF(ABS(BF238)&lt;0.1*ABS(BE238),BE238-BF238,BE238)</f>
        <v>0.91158844983184</v>
      </c>
      <c r="BH238" s="60" t="n">
        <f aca="false">-AS238/BG238</f>
        <v>0.0118376711504565</v>
      </c>
      <c r="BI238" s="60" t="n">
        <f aca="false">(AR238-BH238)/BG238</f>
        <v>-0.00347297415783941</v>
      </c>
      <c r="BJ238" s="60" t="n">
        <f aca="false">BI238^2-4*BH238</f>
        <v>-0.0473386230523248</v>
      </c>
      <c r="BK238" s="60" t="n">
        <f aca="false">IF(BJ238&gt;=0,(BI238+IF(BI238&gt;=0,1,-1)*SQRT(BJ238))/2,0)</f>
        <v>0</v>
      </c>
      <c r="BL238" s="60" t="n">
        <f aca="false">IF(AND(BJ238&gt;=0,BK238&lt;&gt;0),MIN(BK238,BH238/BK238),-1)</f>
        <v>-1</v>
      </c>
      <c r="BM238" s="60" t="n">
        <f aca="false">AND(BJ238&gt;=0,BL238&gt;AP238,ABS(BG238-BL238)&gt;=0.00005*MAX(BG238,BL238))</f>
        <v>0</v>
      </c>
      <c r="BN238" s="60" t="n">
        <f aca="false">IF(BM238,IFERROR((((BL238+AQ238)*BL238+AR238)*BL238+AS238)/((3*BL238+2*AQ238)*BL238+AR238),0),0)</f>
        <v>0</v>
      </c>
      <c r="BO238" s="60" t="n">
        <f aca="false">IF(ABS(BN238)&lt;0.1*ABS(BL238),BL238-BN238,BL238)</f>
        <v>-1</v>
      </c>
      <c r="BP238" s="60" t="n">
        <f aca="false">IF(BM238,IFERROR((((BO238+AQ238)*BO238+AR238)*BO238+AS238)/((3*BO238+2*AQ238)*BO238+AR238),0),0)</f>
        <v>0</v>
      </c>
      <c r="BQ238" s="60" t="n">
        <f aca="false">IF(ABS(BP238)&lt;0.1*ABS(BO238),BO238-BP238,BO238)</f>
        <v>-1</v>
      </c>
      <c r="BR238" s="60" t="n">
        <f aca="false">IF(BM238,MAX(BG238,BQ238),BG238)</f>
        <v>0.91158844983184</v>
      </c>
      <c r="BS238" s="60" t="n">
        <f aca="false">IF(BM238,MIN(BG238,BQ238),-1)</f>
        <v>-1</v>
      </c>
      <c r="BT238" s="60" t="n">
        <f aca="false">CHOOSE($C$7,AO238/BR238,AO238/AP238*LN(1+AP238/BR238),AO238/(2*SQRT(2)*AP238)*LN((BR238+(1+SQRT(2))*AP238)/(BR238+(1-SQRT(2))*AP238)))</f>
        <v>0.218240791233887</v>
      </c>
      <c r="BU238" s="60" t="n">
        <f aca="false">BR238-1-LN(BR238-AP238)-BT238</f>
        <v>-0.107840271021729</v>
      </c>
      <c r="BV238" s="60" t="n">
        <f aca="false">IF(BM238,CHOOSE($C$7,AO238/BS238,AO238/AP238*LN(1+AP238/BS238),AO238/(2*SQRT(2)*AP238)*LN((BS238+(1+SQRT(2))*AP238)/(BS238+(1-SQRT(2))*AP238))),0)</f>
        <v>0</v>
      </c>
      <c r="BW238" s="60" t="n">
        <f aca="false">IF(BM238,BS238-1-LN(BS238-AP238)-BV238,0)</f>
        <v>0</v>
      </c>
      <c r="BX238" s="60" t="n">
        <f aca="false">AND(BM238,BW238&lt;BU238)</f>
        <v>0</v>
      </c>
      <c r="BY238" s="60" t="n">
        <f aca="false">IF(BX238,BS238,BR238)</f>
        <v>0.91158844983184</v>
      </c>
      <c r="BZ238" s="60" t="n">
        <f aca="false">IF(BX238,BV238,BT238)</f>
        <v>0.218240791233887</v>
      </c>
      <c r="CA238" s="60" t="n">
        <f aca="false">LN(BY238-AP238)</f>
        <v>-0.198812070380318</v>
      </c>
      <c r="CB238" s="60" t="n">
        <f aca="false">$E$27/AN238*(BY238-1)-CA238-BZ238*(2*AA238/AM238-$E$27/AN238)</f>
        <v>-0.107840271021729</v>
      </c>
      <c r="CC238" s="60" t="n">
        <f aca="false">$F$27/AN238*(BY238-1)-CA238-BZ238*(2*AB238/AM238-$F$27/AN238)</f>
        <v>0.198812070380318</v>
      </c>
      <c r="CD238" s="60" t="n">
        <f aca="false">$G$27/AN238*(BY238-1)-CA238-BZ238*(2*AC238/AM238-$G$27/AN238)</f>
        <v>0.198812070380318</v>
      </c>
      <c r="CE238" s="60" t="n">
        <f aca="false">$H$27/AN238*(BY238-1)-CA238-BZ238*(2*AD238/AM238-$H$27/AN238)</f>
        <v>0.198812070380318</v>
      </c>
      <c r="CF238" s="60" t="n">
        <f aca="false">$I$27/AN238*(BY238-1)-CA238-BZ238*(2*AE238/AM238-$I$27/AN238)</f>
        <v>0.198812070380318</v>
      </c>
      <c r="CG238" s="60" t="n">
        <f aca="false">$J$27/AN238*(BY238-1)-CA238-BZ238*(2*AF238/AM238-$J$27/AN238)</f>
        <v>0.198812070380318</v>
      </c>
      <c r="CH238" s="60" t="n">
        <f aca="false">$K$27/AN238*(BY238-1)-CA238-BZ238*(2*AG238/AM238-$K$27/AN238)</f>
        <v>0.198812070380318</v>
      </c>
      <c r="CI238" s="60" t="n">
        <f aca="false">$L$27/AN238*(BY238-1)-CA238-BZ238*(2*AH238/AM238-$L$27/AN238)</f>
        <v>0.198812070380318</v>
      </c>
      <c r="CJ238" s="60" t="n">
        <f aca="false">$M$27/AN238*(BY238-1)-CA238-BZ238*(2*AI238/AM238-$M$27/AN238)</f>
        <v>0.198812070380318</v>
      </c>
      <c r="CK238" s="60" t="n">
        <f aca="false">$N$27/AN238*(BY238-1)-CA238-BZ238*(2*AJ238/AM238-$N$27/AN238)</f>
        <v>0.198812070380318</v>
      </c>
      <c r="CL238" s="60" t="n">
        <f aca="false">$O$27/AN238*(BY238-1)-CA238-BZ238*(2*AK238/AM238-$O$27/AN238)</f>
        <v>0.198812070380318</v>
      </c>
      <c r="CM238" s="60" t="n">
        <f aca="false">$P$27/AN238*(BY238-1)-CA238-BZ238*(2*AL238/AM238-$P$27/AN238)</f>
        <v>0.198812070380318</v>
      </c>
      <c r="CN238" s="60" t="n">
        <f aca="false">AP238/BY238&gt;$C$22</f>
        <v>0</v>
      </c>
      <c r="CO238" s="60" t="n">
        <f aca="false">1-N238+SUMPRODUCT(B238:M238,CB238:CM238)-SUMPRODUCT(B238:M238,CB237:CM237)</f>
        <v>0</v>
      </c>
      <c r="CP238" s="60" t="n">
        <f aca="false">SUMXMY2(O238:Z238,$E$13:$P$13)</f>
        <v>0</v>
      </c>
    </row>
    <row r="239" customFormat="false" ht="15" hidden="false" customHeight="false" outlineLevel="0" collapsed="false">
      <c r="A239" s="59" t="n">
        <v>30</v>
      </c>
      <c r="B239" s="60" t="n">
        <f aca="false">$E$13*EXP(MAX(-700,MIN(700,$E$86-CB238)))</f>
        <v>1</v>
      </c>
      <c r="C239" s="60" t="n">
        <f aca="false">$F$13*EXP(MAX(-700,MIN(700,$F$86-CC238)))</f>
        <v>0</v>
      </c>
      <c r="D239" s="60" t="n">
        <f aca="false">$G$13*EXP(MAX(-700,MIN(700,$G$86-CD238)))</f>
        <v>0</v>
      </c>
      <c r="E239" s="60" t="n">
        <f aca="false">$H$13*EXP(MAX(-700,MIN(700,$H$86-CE238)))</f>
        <v>0</v>
      </c>
      <c r="F239" s="60" t="n">
        <f aca="false">$I$13*EXP(MAX(-700,MIN(700,$I$86-CF238)))</f>
        <v>0</v>
      </c>
      <c r="G239" s="60" t="n">
        <f aca="false">$J$13*EXP(MAX(-700,MIN(700,$J$86-CG238)))</f>
        <v>0</v>
      </c>
      <c r="H239" s="60" t="n">
        <f aca="false">$K$13*EXP(MAX(-700,MIN(700,$K$86-CH238)))</f>
        <v>0</v>
      </c>
      <c r="I239" s="60" t="n">
        <f aca="false">$L$13*EXP(MAX(-700,MIN(700,$L$86-CI238)))</f>
        <v>0</v>
      </c>
      <c r="J239" s="60" t="n">
        <f aca="false">$M$13*EXP(MAX(-700,MIN(700,$M$86-CJ238)))</f>
        <v>0</v>
      </c>
      <c r="K239" s="60" t="n">
        <f aca="false">$N$13*EXP(MAX(-700,MIN(700,$N$86-CK238)))</f>
        <v>0</v>
      </c>
      <c r="L239" s="60" t="n">
        <f aca="false">$O$13*EXP(MAX(-700,MIN(700,$O$86-CL238)))</f>
        <v>0</v>
      </c>
      <c r="M239" s="60" t="n">
        <f aca="false">$P$13*EXP(MAX(-700,MIN(700,$P$86-CM238)))</f>
        <v>0</v>
      </c>
      <c r="N239" s="60" t="n">
        <f aca="false">SUM(B239:M239)</f>
        <v>1</v>
      </c>
      <c r="O239" s="60" t="n">
        <f aca="false">B239/N239</f>
        <v>1</v>
      </c>
      <c r="P239" s="60" t="n">
        <f aca="false">C239/N239</f>
        <v>0</v>
      </c>
      <c r="Q239" s="60" t="n">
        <f aca="false">D239/N239</f>
        <v>0</v>
      </c>
      <c r="R239" s="60" t="n">
        <f aca="false">E239/N239</f>
        <v>0</v>
      </c>
      <c r="S239" s="60" t="n">
        <f aca="false">F239/N239</f>
        <v>0</v>
      </c>
      <c r="T239" s="60" t="n">
        <f aca="false">G239/N239</f>
        <v>0</v>
      </c>
      <c r="U239" s="60" t="n">
        <f aca="false">H239/N239</f>
        <v>0</v>
      </c>
      <c r="V239" s="60" t="n">
        <f aca="false">I239/N239</f>
        <v>0</v>
      </c>
      <c r="W239" s="60" t="n">
        <f aca="false">J239/N239</f>
        <v>0</v>
      </c>
      <c r="X239" s="60" t="n">
        <f aca="false">K239/N239</f>
        <v>0</v>
      </c>
      <c r="Y239" s="60" t="n">
        <f aca="false">L239/N239</f>
        <v>0</v>
      </c>
      <c r="Z239" s="60" t="n">
        <f aca="false">M239/N239</f>
        <v>0</v>
      </c>
      <c r="AA239" s="60" t="n">
        <f aca="false">$E$28*SUMPRODUCT($E$31:$P$31,O239:Z239,$E$28:$P$28)</f>
        <v>0.184416866619846</v>
      </c>
      <c r="AB239" s="60" t="n">
        <f aca="false">$F$28*SUMPRODUCT($E$32:$P$32,O239:Z239,$E$28:$P$28)</f>
        <v>0</v>
      </c>
      <c r="AC239" s="60" t="n">
        <f aca="false">$G$28*SUMPRODUCT($E$33:$P$33,O239:Z239,$E$28:$P$28)</f>
        <v>0</v>
      </c>
      <c r="AD239" s="60" t="n">
        <f aca="false">$H$28*SUMPRODUCT($E$34:$P$34,O239:Z239,$E$28:$P$28)</f>
        <v>0</v>
      </c>
      <c r="AE239" s="60" t="n">
        <f aca="false">$I$28*SUMPRODUCT($E$35:$P$35,O239:Z239,$E$28:$P$28)</f>
        <v>0</v>
      </c>
      <c r="AF239" s="60" t="n">
        <f aca="false">$J$28*SUMPRODUCT($E$36:$P$36,O239:Z239,$E$28:$P$28)</f>
        <v>0</v>
      </c>
      <c r="AG239" s="60" t="n">
        <f aca="false">$K$28*SUMPRODUCT($E$37:$P$37,O239:Z239,$E$28:$P$28)</f>
        <v>0</v>
      </c>
      <c r="AH239" s="60" t="n">
        <f aca="false">$L$28*SUMPRODUCT($E$38:$P$38,O239:Z239,$E$28:$P$28)</f>
        <v>0</v>
      </c>
      <c r="AI239" s="60" t="n">
        <f aca="false">$M$28*SUMPRODUCT($E$39:$P$39,O239:Z239,$E$28:$P$28)</f>
        <v>0</v>
      </c>
      <c r="AJ239" s="60" t="n">
        <f aca="false">$N$28*SUMPRODUCT($E$40:$P$40,O239:Z239,$E$28:$P$28)</f>
        <v>0</v>
      </c>
      <c r="AK239" s="60" t="n">
        <f aca="false">$O$28*SUMPRODUCT($E$41:$P$41,O239:Z239,$E$28:$P$28)</f>
        <v>0</v>
      </c>
      <c r="AL239" s="60" t="n">
        <f aca="false">$P$28*SUMPRODUCT($E$42:$P$42,O239:Z239,$E$28:$P$28)</f>
        <v>0</v>
      </c>
      <c r="AM239" s="60" t="n">
        <f aca="false">SUMPRODUCT(O239:Z239,AA239:AL239)</f>
        <v>0.184416866619846</v>
      </c>
      <c r="AN239" s="60" t="n">
        <f aca="false">SUMPRODUCT(O239:Z239,$E$27:$P$27)</f>
        <v>2.67389635063809E-005</v>
      </c>
      <c r="AO239" s="60" t="n">
        <f aca="false">AM239*$C$9/($C$10*$C$8)^2</f>
        <v>0.21776909410545</v>
      </c>
      <c r="AP239" s="60" t="n">
        <f aca="false">AN239*$C$9/($C$10*$C$8)</f>
        <v>0.0918845243259994</v>
      </c>
      <c r="AQ239" s="60" t="n">
        <f aca="false">CHOOSE($C$7,-(1+AP239),-1,-(1-AP239))</f>
        <v>-0.908115475674001</v>
      </c>
      <c r="AR239" s="60" t="n">
        <f aca="false">CHOOSE($C$7,AO239,AO239-AP239-AP239^2,AO239-3*AP239^2-2*AP239)</f>
        <v>0.00867174802160559</v>
      </c>
      <c r="AS239" s="60" t="n">
        <f aca="false">CHOOSE($C$7,-AO239*AP239,-AO239*AP239,-(AO239*AP239-AP239^2-AP239^3))</f>
        <v>-0.0107910842936637</v>
      </c>
      <c r="AT239" s="60" t="n">
        <f aca="false">AR239-AQ239^2/3</f>
        <v>-0.266219491031267</v>
      </c>
      <c r="AU239" s="60" t="n">
        <f aca="false">2*AQ239^3/27-AQ239*AR239/3+AS239</f>
        <v>-0.0636400988362784</v>
      </c>
      <c r="AV239" s="60" t="n">
        <f aca="false">AU239^2/4+AT239^3/27</f>
        <v>0.000313710901361829</v>
      </c>
      <c r="AW239" s="60" t="n">
        <f aca="false">-AU239/2-IF(AU239&gt;=0,1,-1)*SQRT(MAX(AV239,0))</f>
        <v>0.0495319352963236</v>
      </c>
      <c r="AX239" s="60" t="n">
        <f aca="false">SIGN(AW239)*ABS(AW239)^(1/3)</f>
        <v>0.367249967174439</v>
      </c>
      <c r="AY239" s="60" t="n">
        <f aca="false">IF(AX239=0,0,AX239-AT239/(3*AX239))</f>
        <v>0.60888329127384</v>
      </c>
      <c r="AZ239" s="60" t="n">
        <f aca="false">2*SQRT(MAX(-AT239,0)/3)</f>
        <v>0.595784626668918</v>
      </c>
      <c r="BA239" s="60" t="n">
        <f aca="false">ACOS(IF(AZ239=0,0,MAX(-1,MIN(1,3*AU239/(AT239*AZ239)))))</f>
        <v>0</v>
      </c>
      <c r="BB239" s="60" t="n">
        <f aca="false">AZ239*COS(BA239/3)</f>
        <v>0.595784626668918</v>
      </c>
      <c r="BC239" s="60" t="n">
        <f aca="false">IF(AV239&lt;0,BB239,AY239)-AQ239/3</f>
        <v>0.91158844983184</v>
      </c>
      <c r="BD239" s="60" t="n">
        <f aca="false">IFERROR((((BC239+AQ239)*BC239+AR239)*BC239+AS239)/((3*BC239+2*AQ239)*BC239+AR239),0)</f>
        <v>0</v>
      </c>
      <c r="BE239" s="60" t="n">
        <f aca="false">IF(ABS(BD239)&lt;0.1*ABS(BC239),BC239-BD239,BC239)</f>
        <v>0.91158844983184</v>
      </c>
      <c r="BF239" s="60" t="n">
        <f aca="false">IFERROR((((BE239+AQ239)*BE239+AR239)*BE239+AS239)/((3*BE239+2*AQ239)*BE239+AR239),0)</f>
        <v>0</v>
      </c>
      <c r="BG239" s="60" t="n">
        <f aca="false">IF(ABS(BF239)&lt;0.1*ABS(BE239),BE239-BF239,BE239)</f>
        <v>0.91158844983184</v>
      </c>
      <c r="BH239" s="60" t="n">
        <f aca="false">-AS239/BG239</f>
        <v>0.0118376711504565</v>
      </c>
      <c r="BI239" s="60" t="n">
        <f aca="false">(AR239-BH239)/BG239</f>
        <v>-0.00347297415783941</v>
      </c>
      <c r="BJ239" s="60" t="n">
        <f aca="false">BI239^2-4*BH239</f>
        <v>-0.0473386230523248</v>
      </c>
      <c r="BK239" s="60" t="n">
        <f aca="false">IF(BJ239&gt;=0,(BI239+IF(BI239&gt;=0,1,-1)*SQRT(BJ239))/2,0)</f>
        <v>0</v>
      </c>
      <c r="BL239" s="60" t="n">
        <f aca="false">IF(AND(BJ239&gt;=0,BK239&lt;&gt;0),MIN(BK239,BH239/BK239),-1)</f>
        <v>-1</v>
      </c>
      <c r="BM239" s="60" t="n">
        <f aca="false">AND(BJ239&gt;=0,BL239&gt;AP239,ABS(BG239-BL239)&gt;=0.00005*MAX(BG239,BL239))</f>
        <v>0</v>
      </c>
      <c r="BN239" s="60" t="n">
        <f aca="false">IF(BM239,IFERROR((((BL239+AQ239)*BL239+AR239)*BL239+AS239)/((3*BL239+2*AQ239)*BL239+AR239),0),0)</f>
        <v>0</v>
      </c>
      <c r="BO239" s="60" t="n">
        <f aca="false">IF(ABS(BN239)&lt;0.1*ABS(BL239),BL239-BN239,BL239)</f>
        <v>-1</v>
      </c>
      <c r="BP239" s="60" t="n">
        <f aca="false">IF(BM239,IFERROR((((BO239+AQ239)*BO239+AR239)*BO239+AS239)/((3*BO239+2*AQ239)*BO239+AR239),0),0)</f>
        <v>0</v>
      </c>
      <c r="BQ239" s="60" t="n">
        <f aca="false">IF(ABS(BP239)&lt;0.1*ABS(BO239),BO239-BP239,BO239)</f>
        <v>-1</v>
      </c>
      <c r="BR239" s="60" t="n">
        <f aca="false">IF(BM239,MAX(BG239,BQ239),BG239)</f>
        <v>0.91158844983184</v>
      </c>
      <c r="BS239" s="60" t="n">
        <f aca="false">IF(BM239,MIN(BG239,BQ239),-1)</f>
        <v>-1</v>
      </c>
      <c r="BT239" s="60" t="n">
        <f aca="false">CHOOSE($C$7,AO239/BR239,AO239/AP239*LN(1+AP239/BR239),AO239/(2*SQRT(2)*AP239)*LN((BR239+(1+SQRT(2))*AP239)/(BR239+(1-SQRT(2))*AP239)))</f>
        <v>0.218240791233887</v>
      </c>
      <c r="BU239" s="60" t="n">
        <f aca="false">BR239-1-LN(BR239-AP239)-BT239</f>
        <v>-0.107840271021729</v>
      </c>
      <c r="BV239" s="60" t="n">
        <f aca="false">IF(BM239,CHOOSE($C$7,AO239/BS239,AO239/AP239*LN(1+AP239/BS239),AO239/(2*SQRT(2)*AP239)*LN((BS239+(1+SQRT(2))*AP239)/(BS239+(1-SQRT(2))*AP239))),0)</f>
        <v>0</v>
      </c>
      <c r="BW239" s="60" t="n">
        <f aca="false">IF(BM239,BS239-1-LN(BS239-AP239)-BV239,0)</f>
        <v>0</v>
      </c>
      <c r="BX239" s="60" t="n">
        <f aca="false">AND(BM239,BW239&lt;BU239)</f>
        <v>0</v>
      </c>
      <c r="BY239" s="60" t="n">
        <f aca="false">IF(BX239,BS239,BR239)</f>
        <v>0.91158844983184</v>
      </c>
      <c r="BZ239" s="60" t="n">
        <f aca="false">IF(BX239,BV239,BT239)</f>
        <v>0.218240791233887</v>
      </c>
      <c r="CA239" s="60" t="n">
        <f aca="false">LN(BY239-AP239)</f>
        <v>-0.198812070380318</v>
      </c>
      <c r="CB239" s="60" t="n">
        <f aca="false">$E$27/AN239*(BY239-1)-CA239-BZ239*(2*AA239/AM239-$E$27/AN239)</f>
        <v>-0.107840271021729</v>
      </c>
      <c r="CC239" s="60" t="n">
        <f aca="false">$F$27/AN239*(BY239-1)-CA239-BZ239*(2*AB239/AM239-$F$27/AN239)</f>
        <v>0.198812070380318</v>
      </c>
      <c r="CD239" s="60" t="n">
        <f aca="false">$G$27/AN239*(BY239-1)-CA239-BZ239*(2*AC239/AM239-$G$27/AN239)</f>
        <v>0.198812070380318</v>
      </c>
      <c r="CE239" s="60" t="n">
        <f aca="false">$H$27/AN239*(BY239-1)-CA239-BZ239*(2*AD239/AM239-$H$27/AN239)</f>
        <v>0.198812070380318</v>
      </c>
      <c r="CF239" s="60" t="n">
        <f aca="false">$I$27/AN239*(BY239-1)-CA239-BZ239*(2*AE239/AM239-$I$27/AN239)</f>
        <v>0.198812070380318</v>
      </c>
      <c r="CG239" s="60" t="n">
        <f aca="false">$J$27/AN239*(BY239-1)-CA239-BZ239*(2*AF239/AM239-$J$27/AN239)</f>
        <v>0.198812070380318</v>
      </c>
      <c r="CH239" s="60" t="n">
        <f aca="false">$K$27/AN239*(BY239-1)-CA239-BZ239*(2*AG239/AM239-$K$27/AN239)</f>
        <v>0.198812070380318</v>
      </c>
      <c r="CI239" s="60" t="n">
        <f aca="false">$L$27/AN239*(BY239-1)-CA239-BZ239*(2*AH239/AM239-$L$27/AN239)</f>
        <v>0.198812070380318</v>
      </c>
      <c r="CJ239" s="60" t="n">
        <f aca="false">$M$27/AN239*(BY239-1)-CA239-BZ239*(2*AI239/AM239-$M$27/AN239)</f>
        <v>0.198812070380318</v>
      </c>
      <c r="CK239" s="60" t="n">
        <f aca="false">$N$27/AN239*(BY239-1)-CA239-BZ239*(2*AJ239/AM239-$N$27/AN239)</f>
        <v>0.198812070380318</v>
      </c>
      <c r="CL239" s="60" t="n">
        <f aca="false">$O$27/AN239*(BY239-1)-CA239-BZ239*(2*AK239/AM239-$O$27/AN239)</f>
        <v>0.198812070380318</v>
      </c>
      <c r="CM239" s="60" t="n">
        <f aca="false">$P$27/AN239*(BY239-1)-CA239-BZ239*(2*AL239/AM239-$P$27/AN239)</f>
        <v>0.198812070380318</v>
      </c>
      <c r="CN239" s="60" t="n">
        <f aca="false">AP239/BY239&gt;$C$22</f>
        <v>0</v>
      </c>
      <c r="CO239" s="60" t="n">
        <f aca="false">1-N239+SUMPRODUCT(B239:M239,CB239:CM239)-SUMPRODUCT(B239:M239,CB238:CM238)</f>
        <v>0</v>
      </c>
      <c r="CP239" s="60" t="n">
        <f aca="false">SUMXMY2(O239:Z239,$E$13:$P$13)</f>
        <v>0</v>
      </c>
    </row>
    <row r="240" customFormat="false" ht="15" hidden="false" customHeight="false" outlineLevel="0" collapsed="false">
      <c r="A240" s="59" t="n">
        <v>31</v>
      </c>
      <c r="B240" s="60" t="n">
        <f aca="false">$E$13*EXP(MAX(-700,MIN(700,$E$86-CB239)))</f>
        <v>1</v>
      </c>
      <c r="C240" s="60" t="n">
        <f aca="false">$F$13*EXP(MAX(-700,MIN(700,$F$86-CC239)))</f>
        <v>0</v>
      </c>
      <c r="D240" s="60" t="n">
        <f aca="false">$G$13*EXP(MAX(-700,MIN(700,$G$86-CD239)))</f>
        <v>0</v>
      </c>
      <c r="E240" s="60" t="n">
        <f aca="false">$H$13*EXP(MAX(-700,MIN(700,$H$86-CE239)))</f>
        <v>0</v>
      </c>
      <c r="F240" s="60" t="n">
        <f aca="false">$I$13*EXP(MAX(-700,MIN(700,$I$86-CF239)))</f>
        <v>0</v>
      </c>
      <c r="G240" s="60" t="n">
        <f aca="false">$J$13*EXP(MAX(-700,MIN(700,$J$86-CG239)))</f>
        <v>0</v>
      </c>
      <c r="H240" s="60" t="n">
        <f aca="false">$K$13*EXP(MAX(-700,MIN(700,$K$86-CH239)))</f>
        <v>0</v>
      </c>
      <c r="I240" s="60" t="n">
        <f aca="false">$L$13*EXP(MAX(-700,MIN(700,$L$86-CI239)))</f>
        <v>0</v>
      </c>
      <c r="J240" s="60" t="n">
        <f aca="false">$M$13*EXP(MAX(-700,MIN(700,$M$86-CJ239)))</f>
        <v>0</v>
      </c>
      <c r="K240" s="60" t="n">
        <f aca="false">$N$13*EXP(MAX(-700,MIN(700,$N$86-CK239)))</f>
        <v>0</v>
      </c>
      <c r="L240" s="60" t="n">
        <f aca="false">$O$13*EXP(MAX(-700,MIN(700,$O$86-CL239)))</f>
        <v>0</v>
      </c>
      <c r="M240" s="60" t="n">
        <f aca="false">$P$13*EXP(MAX(-700,MIN(700,$P$86-CM239)))</f>
        <v>0</v>
      </c>
      <c r="N240" s="60" t="n">
        <f aca="false">SUM(B240:M240)</f>
        <v>1</v>
      </c>
      <c r="O240" s="60" t="n">
        <f aca="false">B240/N240</f>
        <v>1</v>
      </c>
      <c r="P240" s="60" t="n">
        <f aca="false">C240/N240</f>
        <v>0</v>
      </c>
      <c r="Q240" s="60" t="n">
        <f aca="false">D240/N240</f>
        <v>0</v>
      </c>
      <c r="R240" s="60" t="n">
        <f aca="false">E240/N240</f>
        <v>0</v>
      </c>
      <c r="S240" s="60" t="n">
        <f aca="false">F240/N240</f>
        <v>0</v>
      </c>
      <c r="T240" s="60" t="n">
        <f aca="false">G240/N240</f>
        <v>0</v>
      </c>
      <c r="U240" s="60" t="n">
        <f aca="false">H240/N240</f>
        <v>0</v>
      </c>
      <c r="V240" s="60" t="n">
        <f aca="false">I240/N240</f>
        <v>0</v>
      </c>
      <c r="W240" s="60" t="n">
        <f aca="false">J240/N240</f>
        <v>0</v>
      </c>
      <c r="X240" s="60" t="n">
        <f aca="false">K240/N240</f>
        <v>0</v>
      </c>
      <c r="Y240" s="60" t="n">
        <f aca="false">L240/N240</f>
        <v>0</v>
      </c>
      <c r="Z240" s="60" t="n">
        <f aca="false">M240/N240</f>
        <v>0</v>
      </c>
      <c r="AA240" s="60" t="n">
        <f aca="false">$E$28*SUMPRODUCT($E$31:$P$31,O240:Z240,$E$28:$P$28)</f>
        <v>0.184416866619846</v>
      </c>
      <c r="AB240" s="60" t="n">
        <f aca="false">$F$28*SUMPRODUCT($E$32:$P$32,O240:Z240,$E$28:$P$28)</f>
        <v>0</v>
      </c>
      <c r="AC240" s="60" t="n">
        <f aca="false">$G$28*SUMPRODUCT($E$33:$P$33,O240:Z240,$E$28:$P$28)</f>
        <v>0</v>
      </c>
      <c r="AD240" s="60" t="n">
        <f aca="false">$H$28*SUMPRODUCT($E$34:$P$34,O240:Z240,$E$28:$P$28)</f>
        <v>0</v>
      </c>
      <c r="AE240" s="60" t="n">
        <f aca="false">$I$28*SUMPRODUCT($E$35:$P$35,O240:Z240,$E$28:$P$28)</f>
        <v>0</v>
      </c>
      <c r="AF240" s="60" t="n">
        <f aca="false">$J$28*SUMPRODUCT($E$36:$P$36,O240:Z240,$E$28:$P$28)</f>
        <v>0</v>
      </c>
      <c r="AG240" s="60" t="n">
        <f aca="false">$K$28*SUMPRODUCT($E$37:$P$37,O240:Z240,$E$28:$P$28)</f>
        <v>0</v>
      </c>
      <c r="AH240" s="60" t="n">
        <f aca="false">$L$28*SUMPRODUCT($E$38:$P$38,O240:Z240,$E$28:$P$28)</f>
        <v>0</v>
      </c>
      <c r="AI240" s="60" t="n">
        <f aca="false">$M$28*SUMPRODUCT($E$39:$P$39,O240:Z240,$E$28:$P$28)</f>
        <v>0</v>
      </c>
      <c r="AJ240" s="60" t="n">
        <f aca="false">$N$28*SUMPRODUCT($E$40:$P$40,O240:Z240,$E$28:$P$28)</f>
        <v>0</v>
      </c>
      <c r="AK240" s="60" t="n">
        <f aca="false">$O$28*SUMPRODUCT($E$41:$P$41,O240:Z240,$E$28:$P$28)</f>
        <v>0</v>
      </c>
      <c r="AL240" s="60" t="n">
        <f aca="false">$P$28*SUMPRODUCT($E$42:$P$42,O240:Z240,$E$28:$P$28)</f>
        <v>0</v>
      </c>
      <c r="AM240" s="60" t="n">
        <f aca="false">SUMPRODUCT(O240:Z240,AA240:AL240)</f>
        <v>0.184416866619846</v>
      </c>
      <c r="AN240" s="60" t="n">
        <f aca="false">SUMPRODUCT(O240:Z240,$E$27:$P$27)</f>
        <v>2.67389635063809E-005</v>
      </c>
      <c r="AO240" s="60" t="n">
        <f aca="false">AM240*$C$9/($C$10*$C$8)^2</f>
        <v>0.21776909410545</v>
      </c>
      <c r="AP240" s="60" t="n">
        <f aca="false">AN240*$C$9/($C$10*$C$8)</f>
        <v>0.0918845243259994</v>
      </c>
      <c r="AQ240" s="60" t="n">
        <f aca="false">CHOOSE($C$7,-(1+AP240),-1,-(1-AP240))</f>
        <v>-0.908115475674001</v>
      </c>
      <c r="AR240" s="60" t="n">
        <f aca="false">CHOOSE($C$7,AO240,AO240-AP240-AP240^2,AO240-3*AP240^2-2*AP240)</f>
        <v>0.00867174802160559</v>
      </c>
      <c r="AS240" s="60" t="n">
        <f aca="false">CHOOSE($C$7,-AO240*AP240,-AO240*AP240,-(AO240*AP240-AP240^2-AP240^3))</f>
        <v>-0.0107910842936637</v>
      </c>
      <c r="AT240" s="60" t="n">
        <f aca="false">AR240-AQ240^2/3</f>
        <v>-0.266219491031267</v>
      </c>
      <c r="AU240" s="60" t="n">
        <f aca="false">2*AQ240^3/27-AQ240*AR240/3+AS240</f>
        <v>-0.0636400988362784</v>
      </c>
      <c r="AV240" s="60" t="n">
        <f aca="false">AU240^2/4+AT240^3/27</f>
        <v>0.000313710901361829</v>
      </c>
      <c r="AW240" s="60" t="n">
        <f aca="false">-AU240/2-IF(AU240&gt;=0,1,-1)*SQRT(MAX(AV240,0))</f>
        <v>0.0495319352963236</v>
      </c>
      <c r="AX240" s="60" t="n">
        <f aca="false">SIGN(AW240)*ABS(AW240)^(1/3)</f>
        <v>0.367249967174439</v>
      </c>
      <c r="AY240" s="60" t="n">
        <f aca="false">IF(AX240=0,0,AX240-AT240/(3*AX240))</f>
        <v>0.60888329127384</v>
      </c>
      <c r="AZ240" s="60" t="n">
        <f aca="false">2*SQRT(MAX(-AT240,0)/3)</f>
        <v>0.595784626668918</v>
      </c>
      <c r="BA240" s="60" t="n">
        <f aca="false">ACOS(IF(AZ240=0,0,MAX(-1,MIN(1,3*AU240/(AT240*AZ240)))))</f>
        <v>0</v>
      </c>
      <c r="BB240" s="60" t="n">
        <f aca="false">AZ240*COS(BA240/3)</f>
        <v>0.595784626668918</v>
      </c>
      <c r="BC240" s="60" t="n">
        <f aca="false">IF(AV240&lt;0,BB240,AY240)-AQ240/3</f>
        <v>0.91158844983184</v>
      </c>
      <c r="BD240" s="60" t="n">
        <f aca="false">IFERROR((((BC240+AQ240)*BC240+AR240)*BC240+AS240)/((3*BC240+2*AQ240)*BC240+AR240),0)</f>
        <v>0</v>
      </c>
      <c r="BE240" s="60" t="n">
        <f aca="false">IF(ABS(BD240)&lt;0.1*ABS(BC240),BC240-BD240,BC240)</f>
        <v>0.91158844983184</v>
      </c>
      <c r="BF240" s="60" t="n">
        <f aca="false">IFERROR((((BE240+AQ240)*BE240+AR240)*BE240+AS240)/((3*BE240+2*AQ240)*BE240+AR240),0)</f>
        <v>0</v>
      </c>
      <c r="BG240" s="60" t="n">
        <f aca="false">IF(ABS(BF240)&lt;0.1*ABS(BE240),BE240-BF240,BE240)</f>
        <v>0.91158844983184</v>
      </c>
      <c r="BH240" s="60" t="n">
        <f aca="false">-AS240/BG240</f>
        <v>0.0118376711504565</v>
      </c>
      <c r="BI240" s="60" t="n">
        <f aca="false">(AR240-BH240)/BG240</f>
        <v>-0.00347297415783941</v>
      </c>
      <c r="BJ240" s="60" t="n">
        <f aca="false">BI240^2-4*BH240</f>
        <v>-0.0473386230523248</v>
      </c>
      <c r="BK240" s="60" t="n">
        <f aca="false">IF(BJ240&gt;=0,(BI240+IF(BI240&gt;=0,1,-1)*SQRT(BJ240))/2,0)</f>
        <v>0</v>
      </c>
      <c r="BL240" s="60" t="n">
        <f aca="false">IF(AND(BJ240&gt;=0,BK240&lt;&gt;0),MIN(BK240,BH240/BK240),-1)</f>
        <v>-1</v>
      </c>
      <c r="BM240" s="60" t="n">
        <f aca="false">AND(BJ240&gt;=0,BL240&gt;AP240,ABS(BG240-BL240)&gt;=0.00005*MAX(BG240,BL240))</f>
        <v>0</v>
      </c>
      <c r="BN240" s="60" t="n">
        <f aca="false">IF(BM240,IFERROR((((BL240+AQ240)*BL240+AR240)*BL240+AS240)/((3*BL240+2*AQ240)*BL240+AR240),0),0)</f>
        <v>0</v>
      </c>
      <c r="BO240" s="60" t="n">
        <f aca="false">IF(ABS(BN240)&lt;0.1*ABS(BL240),BL240-BN240,BL240)</f>
        <v>-1</v>
      </c>
      <c r="BP240" s="60" t="n">
        <f aca="false">IF(BM240,IFERROR((((BO240+AQ240)*BO240+AR240)*BO240+AS240)/((3*BO240+2*AQ240)*BO240+AR240),0),0)</f>
        <v>0</v>
      </c>
      <c r="BQ240" s="60" t="n">
        <f aca="false">IF(ABS(BP240)&lt;0.1*ABS(BO240),BO240-BP240,BO240)</f>
        <v>-1</v>
      </c>
      <c r="BR240" s="60" t="n">
        <f aca="false">IF(BM240,MAX(BG240,BQ240),BG240)</f>
        <v>0.91158844983184</v>
      </c>
      <c r="BS240" s="60" t="n">
        <f aca="false">IF(BM240,MIN(BG240,BQ240),-1)</f>
        <v>-1</v>
      </c>
      <c r="BT240" s="60" t="n">
        <f aca="false">CHOOSE($C$7,AO240/BR240,AO240/AP240*LN(1+AP240/BR240),AO240/(2*SQRT(2)*AP240)*LN((BR240+(1+SQRT(2))*AP240)/(BR240+(1-SQRT(2))*AP240)))</f>
        <v>0.218240791233887</v>
      </c>
      <c r="BU240" s="60" t="n">
        <f aca="false">BR240-1-LN(BR240-AP240)-BT240</f>
        <v>-0.107840271021729</v>
      </c>
      <c r="BV240" s="60" t="n">
        <f aca="false">IF(BM240,CHOOSE($C$7,AO240/BS240,AO240/AP240*LN(1+AP240/BS240),AO240/(2*SQRT(2)*AP240)*LN((BS240+(1+SQRT(2))*AP240)/(BS240+(1-SQRT(2))*AP240))),0)</f>
        <v>0</v>
      </c>
      <c r="BW240" s="60" t="n">
        <f aca="false">IF(BM240,BS240-1-LN(BS240-AP240)-BV240,0)</f>
        <v>0</v>
      </c>
      <c r="BX240" s="60" t="n">
        <f aca="false">AND(BM240,BW240&lt;BU240)</f>
        <v>0</v>
      </c>
      <c r="BY240" s="60" t="n">
        <f aca="false">IF(BX240,BS240,BR240)</f>
        <v>0.91158844983184</v>
      </c>
      <c r="BZ240" s="60" t="n">
        <f aca="false">IF(BX240,BV240,BT240)</f>
        <v>0.218240791233887</v>
      </c>
      <c r="CA240" s="60" t="n">
        <f aca="false">LN(BY240-AP240)</f>
        <v>-0.198812070380318</v>
      </c>
      <c r="CB240" s="60" t="n">
        <f aca="false">$E$27/AN240*(BY240-1)-CA240-BZ240*(2*AA240/AM240-$E$27/AN240)</f>
        <v>-0.107840271021729</v>
      </c>
      <c r="CC240" s="60" t="n">
        <f aca="false">$F$27/AN240*(BY240-1)-CA240-BZ240*(2*AB240/AM240-$F$27/AN240)</f>
        <v>0.198812070380318</v>
      </c>
      <c r="CD240" s="60" t="n">
        <f aca="false">$G$27/AN240*(BY240-1)-CA240-BZ240*(2*AC240/AM240-$G$27/AN240)</f>
        <v>0.198812070380318</v>
      </c>
      <c r="CE240" s="60" t="n">
        <f aca="false">$H$27/AN240*(BY240-1)-CA240-BZ240*(2*AD240/AM240-$H$27/AN240)</f>
        <v>0.198812070380318</v>
      </c>
      <c r="CF240" s="60" t="n">
        <f aca="false">$I$27/AN240*(BY240-1)-CA240-BZ240*(2*AE240/AM240-$I$27/AN240)</f>
        <v>0.198812070380318</v>
      </c>
      <c r="CG240" s="60" t="n">
        <f aca="false">$J$27/AN240*(BY240-1)-CA240-BZ240*(2*AF240/AM240-$J$27/AN240)</f>
        <v>0.198812070380318</v>
      </c>
      <c r="CH240" s="60" t="n">
        <f aca="false">$K$27/AN240*(BY240-1)-CA240-BZ240*(2*AG240/AM240-$K$27/AN240)</f>
        <v>0.198812070380318</v>
      </c>
      <c r="CI240" s="60" t="n">
        <f aca="false">$L$27/AN240*(BY240-1)-CA240-BZ240*(2*AH240/AM240-$L$27/AN240)</f>
        <v>0.198812070380318</v>
      </c>
      <c r="CJ240" s="60" t="n">
        <f aca="false">$M$27/AN240*(BY240-1)-CA240-BZ240*(2*AI240/AM240-$M$27/AN240)</f>
        <v>0.198812070380318</v>
      </c>
      <c r="CK240" s="60" t="n">
        <f aca="false">$N$27/AN240*(BY240-1)-CA240-BZ240*(2*AJ240/AM240-$N$27/AN240)</f>
        <v>0.198812070380318</v>
      </c>
      <c r="CL240" s="60" t="n">
        <f aca="false">$O$27/AN240*(BY240-1)-CA240-BZ240*(2*AK240/AM240-$O$27/AN240)</f>
        <v>0.198812070380318</v>
      </c>
      <c r="CM240" s="60" t="n">
        <f aca="false">$P$27/AN240*(BY240-1)-CA240-BZ240*(2*AL240/AM240-$P$27/AN240)</f>
        <v>0.198812070380318</v>
      </c>
      <c r="CN240" s="60" t="n">
        <f aca="false">AP240/BY240&gt;$C$22</f>
        <v>0</v>
      </c>
      <c r="CO240" s="60" t="n">
        <f aca="false">1-N240+SUMPRODUCT(B240:M240,CB240:CM240)-SUMPRODUCT(B240:M240,CB239:CM239)</f>
        <v>0</v>
      </c>
      <c r="CP240" s="60" t="n">
        <f aca="false">SUMXMY2(O240:Z240,$E$13:$P$13)</f>
        <v>0</v>
      </c>
    </row>
    <row r="241" customFormat="false" ht="15" hidden="false" customHeight="false" outlineLevel="0" collapsed="false">
      <c r="A241" s="59" t="n">
        <v>32</v>
      </c>
      <c r="B241" s="60" t="n">
        <f aca="false">$E$13*EXP(MAX(-700,MIN(700,$E$86-CB240)))</f>
        <v>1</v>
      </c>
      <c r="C241" s="60" t="n">
        <f aca="false">$F$13*EXP(MAX(-700,MIN(700,$F$86-CC240)))</f>
        <v>0</v>
      </c>
      <c r="D241" s="60" t="n">
        <f aca="false">$G$13*EXP(MAX(-700,MIN(700,$G$86-CD240)))</f>
        <v>0</v>
      </c>
      <c r="E241" s="60" t="n">
        <f aca="false">$H$13*EXP(MAX(-700,MIN(700,$H$86-CE240)))</f>
        <v>0</v>
      </c>
      <c r="F241" s="60" t="n">
        <f aca="false">$I$13*EXP(MAX(-700,MIN(700,$I$86-CF240)))</f>
        <v>0</v>
      </c>
      <c r="G241" s="60" t="n">
        <f aca="false">$J$13*EXP(MAX(-700,MIN(700,$J$86-CG240)))</f>
        <v>0</v>
      </c>
      <c r="H241" s="60" t="n">
        <f aca="false">$K$13*EXP(MAX(-700,MIN(700,$K$86-CH240)))</f>
        <v>0</v>
      </c>
      <c r="I241" s="60" t="n">
        <f aca="false">$L$13*EXP(MAX(-700,MIN(700,$L$86-CI240)))</f>
        <v>0</v>
      </c>
      <c r="J241" s="60" t="n">
        <f aca="false">$M$13*EXP(MAX(-700,MIN(700,$M$86-CJ240)))</f>
        <v>0</v>
      </c>
      <c r="K241" s="60" t="n">
        <f aca="false">$N$13*EXP(MAX(-700,MIN(700,$N$86-CK240)))</f>
        <v>0</v>
      </c>
      <c r="L241" s="60" t="n">
        <f aca="false">$O$13*EXP(MAX(-700,MIN(700,$O$86-CL240)))</f>
        <v>0</v>
      </c>
      <c r="M241" s="60" t="n">
        <f aca="false">$P$13*EXP(MAX(-700,MIN(700,$P$86-CM240)))</f>
        <v>0</v>
      </c>
      <c r="N241" s="60" t="n">
        <f aca="false">SUM(B241:M241)</f>
        <v>1</v>
      </c>
      <c r="O241" s="60" t="n">
        <f aca="false">B241/N241</f>
        <v>1</v>
      </c>
      <c r="P241" s="60" t="n">
        <f aca="false">C241/N241</f>
        <v>0</v>
      </c>
      <c r="Q241" s="60" t="n">
        <f aca="false">D241/N241</f>
        <v>0</v>
      </c>
      <c r="R241" s="60" t="n">
        <f aca="false">E241/N241</f>
        <v>0</v>
      </c>
      <c r="S241" s="60" t="n">
        <f aca="false">F241/N241</f>
        <v>0</v>
      </c>
      <c r="T241" s="60" t="n">
        <f aca="false">G241/N241</f>
        <v>0</v>
      </c>
      <c r="U241" s="60" t="n">
        <f aca="false">H241/N241</f>
        <v>0</v>
      </c>
      <c r="V241" s="60" t="n">
        <f aca="false">I241/N241</f>
        <v>0</v>
      </c>
      <c r="W241" s="60" t="n">
        <f aca="false">J241/N241</f>
        <v>0</v>
      </c>
      <c r="X241" s="60" t="n">
        <f aca="false">K241/N241</f>
        <v>0</v>
      </c>
      <c r="Y241" s="60" t="n">
        <f aca="false">L241/N241</f>
        <v>0</v>
      </c>
      <c r="Z241" s="60" t="n">
        <f aca="false">M241/N241</f>
        <v>0</v>
      </c>
      <c r="AA241" s="60" t="n">
        <f aca="false">$E$28*SUMPRODUCT($E$31:$P$31,O241:Z241,$E$28:$P$28)</f>
        <v>0.184416866619846</v>
      </c>
      <c r="AB241" s="60" t="n">
        <f aca="false">$F$28*SUMPRODUCT($E$32:$P$32,O241:Z241,$E$28:$P$28)</f>
        <v>0</v>
      </c>
      <c r="AC241" s="60" t="n">
        <f aca="false">$G$28*SUMPRODUCT($E$33:$P$33,O241:Z241,$E$28:$P$28)</f>
        <v>0</v>
      </c>
      <c r="AD241" s="60" t="n">
        <f aca="false">$H$28*SUMPRODUCT($E$34:$P$34,O241:Z241,$E$28:$P$28)</f>
        <v>0</v>
      </c>
      <c r="AE241" s="60" t="n">
        <f aca="false">$I$28*SUMPRODUCT($E$35:$P$35,O241:Z241,$E$28:$P$28)</f>
        <v>0</v>
      </c>
      <c r="AF241" s="60" t="n">
        <f aca="false">$J$28*SUMPRODUCT($E$36:$P$36,O241:Z241,$E$28:$P$28)</f>
        <v>0</v>
      </c>
      <c r="AG241" s="60" t="n">
        <f aca="false">$K$28*SUMPRODUCT($E$37:$P$37,O241:Z241,$E$28:$P$28)</f>
        <v>0</v>
      </c>
      <c r="AH241" s="60" t="n">
        <f aca="false">$L$28*SUMPRODUCT($E$38:$P$38,O241:Z241,$E$28:$P$28)</f>
        <v>0</v>
      </c>
      <c r="AI241" s="60" t="n">
        <f aca="false">$M$28*SUMPRODUCT($E$39:$P$39,O241:Z241,$E$28:$P$28)</f>
        <v>0</v>
      </c>
      <c r="AJ241" s="60" t="n">
        <f aca="false">$N$28*SUMPRODUCT($E$40:$P$40,O241:Z241,$E$28:$P$28)</f>
        <v>0</v>
      </c>
      <c r="AK241" s="60" t="n">
        <f aca="false">$O$28*SUMPRODUCT($E$41:$P$41,O241:Z241,$E$28:$P$28)</f>
        <v>0</v>
      </c>
      <c r="AL241" s="60" t="n">
        <f aca="false">$P$28*SUMPRODUCT($E$42:$P$42,O241:Z241,$E$28:$P$28)</f>
        <v>0</v>
      </c>
      <c r="AM241" s="60" t="n">
        <f aca="false">SUMPRODUCT(O241:Z241,AA241:AL241)</f>
        <v>0.184416866619846</v>
      </c>
      <c r="AN241" s="60" t="n">
        <f aca="false">SUMPRODUCT(O241:Z241,$E$27:$P$27)</f>
        <v>2.67389635063809E-005</v>
      </c>
      <c r="AO241" s="60" t="n">
        <f aca="false">AM241*$C$9/($C$10*$C$8)^2</f>
        <v>0.21776909410545</v>
      </c>
      <c r="AP241" s="60" t="n">
        <f aca="false">AN241*$C$9/($C$10*$C$8)</f>
        <v>0.0918845243259994</v>
      </c>
      <c r="AQ241" s="60" t="n">
        <f aca="false">CHOOSE($C$7,-(1+AP241),-1,-(1-AP241))</f>
        <v>-0.908115475674001</v>
      </c>
      <c r="AR241" s="60" t="n">
        <f aca="false">CHOOSE($C$7,AO241,AO241-AP241-AP241^2,AO241-3*AP241^2-2*AP241)</f>
        <v>0.00867174802160559</v>
      </c>
      <c r="AS241" s="60" t="n">
        <f aca="false">CHOOSE($C$7,-AO241*AP241,-AO241*AP241,-(AO241*AP241-AP241^2-AP241^3))</f>
        <v>-0.0107910842936637</v>
      </c>
      <c r="AT241" s="60" t="n">
        <f aca="false">AR241-AQ241^2/3</f>
        <v>-0.266219491031267</v>
      </c>
      <c r="AU241" s="60" t="n">
        <f aca="false">2*AQ241^3/27-AQ241*AR241/3+AS241</f>
        <v>-0.0636400988362784</v>
      </c>
      <c r="AV241" s="60" t="n">
        <f aca="false">AU241^2/4+AT241^3/27</f>
        <v>0.000313710901361829</v>
      </c>
      <c r="AW241" s="60" t="n">
        <f aca="false">-AU241/2-IF(AU241&gt;=0,1,-1)*SQRT(MAX(AV241,0))</f>
        <v>0.0495319352963236</v>
      </c>
      <c r="AX241" s="60" t="n">
        <f aca="false">SIGN(AW241)*ABS(AW241)^(1/3)</f>
        <v>0.367249967174439</v>
      </c>
      <c r="AY241" s="60" t="n">
        <f aca="false">IF(AX241=0,0,AX241-AT241/(3*AX241))</f>
        <v>0.60888329127384</v>
      </c>
      <c r="AZ241" s="60" t="n">
        <f aca="false">2*SQRT(MAX(-AT241,0)/3)</f>
        <v>0.595784626668918</v>
      </c>
      <c r="BA241" s="60" t="n">
        <f aca="false">ACOS(IF(AZ241=0,0,MAX(-1,MIN(1,3*AU241/(AT241*AZ241)))))</f>
        <v>0</v>
      </c>
      <c r="BB241" s="60" t="n">
        <f aca="false">AZ241*COS(BA241/3)</f>
        <v>0.595784626668918</v>
      </c>
      <c r="BC241" s="60" t="n">
        <f aca="false">IF(AV241&lt;0,BB241,AY241)-AQ241/3</f>
        <v>0.91158844983184</v>
      </c>
      <c r="BD241" s="60" t="n">
        <f aca="false">IFERROR((((BC241+AQ241)*BC241+AR241)*BC241+AS241)/((3*BC241+2*AQ241)*BC241+AR241),0)</f>
        <v>0</v>
      </c>
      <c r="BE241" s="60" t="n">
        <f aca="false">IF(ABS(BD241)&lt;0.1*ABS(BC241),BC241-BD241,BC241)</f>
        <v>0.91158844983184</v>
      </c>
      <c r="BF241" s="60" t="n">
        <f aca="false">IFERROR((((BE241+AQ241)*BE241+AR241)*BE241+AS241)/((3*BE241+2*AQ241)*BE241+AR241),0)</f>
        <v>0</v>
      </c>
      <c r="BG241" s="60" t="n">
        <f aca="false">IF(ABS(BF241)&lt;0.1*ABS(BE241),BE241-BF241,BE241)</f>
        <v>0.91158844983184</v>
      </c>
      <c r="BH241" s="60" t="n">
        <f aca="false">-AS241/BG241</f>
        <v>0.0118376711504565</v>
      </c>
      <c r="BI241" s="60" t="n">
        <f aca="false">(AR241-BH241)/BG241</f>
        <v>-0.00347297415783941</v>
      </c>
      <c r="BJ241" s="60" t="n">
        <f aca="false">BI241^2-4*BH241</f>
        <v>-0.0473386230523248</v>
      </c>
      <c r="BK241" s="60" t="n">
        <f aca="false">IF(BJ241&gt;=0,(BI241+IF(BI241&gt;=0,1,-1)*SQRT(BJ241))/2,0)</f>
        <v>0</v>
      </c>
      <c r="BL241" s="60" t="n">
        <f aca="false">IF(AND(BJ241&gt;=0,BK241&lt;&gt;0),MIN(BK241,BH241/BK241),-1)</f>
        <v>-1</v>
      </c>
      <c r="BM241" s="60" t="n">
        <f aca="false">AND(BJ241&gt;=0,BL241&gt;AP241,ABS(BG241-BL241)&gt;=0.00005*MAX(BG241,BL241))</f>
        <v>0</v>
      </c>
      <c r="BN241" s="60" t="n">
        <f aca="false">IF(BM241,IFERROR((((BL241+AQ241)*BL241+AR241)*BL241+AS241)/((3*BL241+2*AQ241)*BL241+AR241),0),0)</f>
        <v>0</v>
      </c>
      <c r="BO241" s="60" t="n">
        <f aca="false">IF(ABS(BN241)&lt;0.1*ABS(BL241),BL241-BN241,BL241)</f>
        <v>-1</v>
      </c>
      <c r="BP241" s="60" t="n">
        <f aca="false">IF(BM241,IFERROR((((BO241+AQ241)*BO241+AR241)*BO241+AS241)/((3*BO241+2*AQ241)*BO241+AR241),0),0)</f>
        <v>0</v>
      </c>
      <c r="BQ241" s="60" t="n">
        <f aca="false">IF(ABS(BP241)&lt;0.1*ABS(BO241),BO241-BP241,BO241)</f>
        <v>-1</v>
      </c>
      <c r="BR241" s="60" t="n">
        <f aca="false">IF(BM241,MAX(BG241,BQ241),BG241)</f>
        <v>0.91158844983184</v>
      </c>
      <c r="BS241" s="60" t="n">
        <f aca="false">IF(BM241,MIN(BG241,BQ241),-1)</f>
        <v>-1</v>
      </c>
      <c r="BT241" s="60" t="n">
        <f aca="false">CHOOSE($C$7,AO241/BR241,AO241/AP241*LN(1+AP241/BR241),AO241/(2*SQRT(2)*AP241)*LN((BR241+(1+SQRT(2))*AP241)/(BR241+(1-SQRT(2))*AP241)))</f>
        <v>0.218240791233887</v>
      </c>
      <c r="BU241" s="60" t="n">
        <f aca="false">BR241-1-LN(BR241-AP241)-BT241</f>
        <v>-0.107840271021729</v>
      </c>
      <c r="BV241" s="60" t="n">
        <f aca="false">IF(BM241,CHOOSE($C$7,AO241/BS241,AO241/AP241*LN(1+AP241/BS241),AO241/(2*SQRT(2)*AP241)*LN((BS241+(1+SQRT(2))*AP241)/(BS241+(1-SQRT(2))*AP241))),0)</f>
        <v>0</v>
      </c>
      <c r="BW241" s="60" t="n">
        <f aca="false">IF(BM241,BS241-1-LN(BS241-AP241)-BV241,0)</f>
        <v>0</v>
      </c>
      <c r="BX241" s="60" t="n">
        <f aca="false">AND(BM241,BW241&lt;BU241)</f>
        <v>0</v>
      </c>
      <c r="BY241" s="60" t="n">
        <f aca="false">IF(BX241,BS241,BR241)</f>
        <v>0.91158844983184</v>
      </c>
      <c r="BZ241" s="60" t="n">
        <f aca="false">IF(BX241,BV241,BT241)</f>
        <v>0.218240791233887</v>
      </c>
      <c r="CA241" s="60" t="n">
        <f aca="false">LN(BY241-AP241)</f>
        <v>-0.198812070380318</v>
      </c>
      <c r="CB241" s="60" t="n">
        <f aca="false">$E$27/AN241*(BY241-1)-CA241-BZ241*(2*AA241/AM241-$E$27/AN241)</f>
        <v>-0.107840271021729</v>
      </c>
      <c r="CC241" s="60" t="n">
        <f aca="false">$F$27/AN241*(BY241-1)-CA241-BZ241*(2*AB241/AM241-$F$27/AN241)</f>
        <v>0.198812070380318</v>
      </c>
      <c r="CD241" s="60" t="n">
        <f aca="false">$G$27/AN241*(BY241-1)-CA241-BZ241*(2*AC241/AM241-$G$27/AN241)</f>
        <v>0.198812070380318</v>
      </c>
      <c r="CE241" s="60" t="n">
        <f aca="false">$H$27/AN241*(BY241-1)-CA241-BZ241*(2*AD241/AM241-$H$27/AN241)</f>
        <v>0.198812070380318</v>
      </c>
      <c r="CF241" s="60" t="n">
        <f aca="false">$I$27/AN241*(BY241-1)-CA241-BZ241*(2*AE241/AM241-$I$27/AN241)</f>
        <v>0.198812070380318</v>
      </c>
      <c r="CG241" s="60" t="n">
        <f aca="false">$J$27/AN241*(BY241-1)-CA241-BZ241*(2*AF241/AM241-$J$27/AN241)</f>
        <v>0.198812070380318</v>
      </c>
      <c r="CH241" s="60" t="n">
        <f aca="false">$K$27/AN241*(BY241-1)-CA241-BZ241*(2*AG241/AM241-$K$27/AN241)</f>
        <v>0.198812070380318</v>
      </c>
      <c r="CI241" s="60" t="n">
        <f aca="false">$L$27/AN241*(BY241-1)-CA241-BZ241*(2*AH241/AM241-$L$27/AN241)</f>
        <v>0.198812070380318</v>
      </c>
      <c r="CJ241" s="60" t="n">
        <f aca="false">$M$27/AN241*(BY241-1)-CA241-BZ241*(2*AI241/AM241-$M$27/AN241)</f>
        <v>0.198812070380318</v>
      </c>
      <c r="CK241" s="60" t="n">
        <f aca="false">$N$27/AN241*(BY241-1)-CA241-BZ241*(2*AJ241/AM241-$N$27/AN241)</f>
        <v>0.198812070380318</v>
      </c>
      <c r="CL241" s="60" t="n">
        <f aca="false">$O$27/AN241*(BY241-1)-CA241-BZ241*(2*AK241/AM241-$O$27/AN241)</f>
        <v>0.198812070380318</v>
      </c>
      <c r="CM241" s="60" t="n">
        <f aca="false">$P$27/AN241*(BY241-1)-CA241-BZ241*(2*AL241/AM241-$P$27/AN241)</f>
        <v>0.198812070380318</v>
      </c>
      <c r="CN241" s="60" t="n">
        <f aca="false">AP241/BY241&gt;$C$22</f>
        <v>0</v>
      </c>
      <c r="CO241" s="60" t="n">
        <f aca="false">1-N241+SUMPRODUCT(B241:M241,CB241:CM241)-SUMPRODUCT(B241:M241,CB240:CM240)</f>
        <v>0</v>
      </c>
      <c r="CP241" s="60" t="n">
        <f aca="false">SUMXMY2(O241:Z241,$E$13:$P$13)</f>
        <v>0</v>
      </c>
    </row>
    <row r="242" customFormat="false" ht="15" hidden="false" customHeight="false" outlineLevel="0" collapsed="false">
      <c r="A242" s="59" t="n">
        <v>33</v>
      </c>
      <c r="B242" s="60" t="n">
        <f aca="false">$E$13*EXP(MAX(-700,MIN(700,$E$86-CB241)))</f>
        <v>1</v>
      </c>
      <c r="C242" s="60" t="n">
        <f aca="false">$F$13*EXP(MAX(-700,MIN(700,$F$86-CC241)))</f>
        <v>0</v>
      </c>
      <c r="D242" s="60" t="n">
        <f aca="false">$G$13*EXP(MAX(-700,MIN(700,$G$86-CD241)))</f>
        <v>0</v>
      </c>
      <c r="E242" s="60" t="n">
        <f aca="false">$H$13*EXP(MAX(-700,MIN(700,$H$86-CE241)))</f>
        <v>0</v>
      </c>
      <c r="F242" s="60" t="n">
        <f aca="false">$I$13*EXP(MAX(-700,MIN(700,$I$86-CF241)))</f>
        <v>0</v>
      </c>
      <c r="G242" s="60" t="n">
        <f aca="false">$J$13*EXP(MAX(-700,MIN(700,$J$86-CG241)))</f>
        <v>0</v>
      </c>
      <c r="H242" s="60" t="n">
        <f aca="false">$K$13*EXP(MAX(-700,MIN(700,$K$86-CH241)))</f>
        <v>0</v>
      </c>
      <c r="I242" s="60" t="n">
        <f aca="false">$L$13*EXP(MAX(-700,MIN(700,$L$86-CI241)))</f>
        <v>0</v>
      </c>
      <c r="J242" s="60" t="n">
        <f aca="false">$M$13*EXP(MAX(-700,MIN(700,$M$86-CJ241)))</f>
        <v>0</v>
      </c>
      <c r="K242" s="60" t="n">
        <f aca="false">$N$13*EXP(MAX(-700,MIN(700,$N$86-CK241)))</f>
        <v>0</v>
      </c>
      <c r="L242" s="60" t="n">
        <f aca="false">$O$13*EXP(MAX(-700,MIN(700,$O$86-CL241)))</f>
        <v>0</v>
      </c>
      <c r="M242" s="60" t="n">
        <f aca="false">$P$13*EXP(MAX(-700,MIN(700,$P$86-CM241)))</f>
        <v>0</v>
      </c>
      <c r="N242" s="60" t="n">
        <f aca="false">SUM(B242:M242)</f>
        <v>1</v>
      </c>
      <c r="O242" s="60" t="n">
        <f aca="false">B242/N242</f>
        <v>1</v>
      </c>
      <c r="P242" s="60" t="n">
        <f aca="false">C242/N242</f>
        <v>0</v>
      </c>
      <c r="Q242" s="60" t="n">
        <f aca="false">D242/N242</f>
        <v>0</v>
      </c>
      <c r="R242" s="60" t="n">
        <f aca="false">E242/N242</f>
        <v>0</v>
      </c>
      <c r="S242" s="60" t="n">
        <f aca="false">F242/N242</f>
        <v>0</v>
      </c>
      <c r="T242" s="60" t="n">
        <f aca="false">G242/N242</f>
        <v>0</v>
      </c>
      <c r="U242" s="60" t="n">
        <f aca="false">H242/N242</f>
        <v>0</v>
      </c>
      <c r="V242" s="60" t="n">
        <f aca="false">I242/N242</f>
        <v>0</v>
      </c>
      <c r="W242" s="60" t="n">
        <f aca="false">J242/N242</f>
        <v>0</v>
      </c>
      <c r="X242" s="60" t="n">
        <f aca="false">K242/N242</f>
        <v>0</v>
      </c>
      <c r="Y242" s="60" t="n">
        <f aca="false">L242/N242</f>
        <v>0</v>
      </c>
      <c r="Z242" s="60" t="n">
        <f aca="false">M242/N242</f>
        <v>0</v>
      </c>
      <c r="AA242" s="60" t="n">
        <f aca="false">$E$28*SUMPRODUCT($E$31:$P$31,O242:Z242,$E$28:$P$28)</f>
        <v>0.184416866619846</v>
      </c>
      <c r="AB242" s="60" t="n">
        <f aca="false">$F$28*SUMPRODUCT($E$32:$P$32,O242:Z242,$E$28:$P$28)</f>
        <v>0</v>
      </c>
      <c r="AC242" s="60" t="n">
        <f aca="false">$G$28*SUMPRODUCT($E$33:$P$33,O242:Z242,$E$28:$P$28)</f>
        <v>0</v>
      </c>
      <c r="AD242" s="60" t="n">
        <f aca="false">$H$28*SUMPRODUCT($E$34:$P$34,O242:Z242,$E$28:$P$28)</f>
        <v>0</v>
      </c>
      <c r="AE242" s="60" t="n">
        <f aca="false">$I$28*SUMPRODUCT($E$35:$P$35,O242:Z242,$E$28:$P$28)</f>
        <v>0</v>
      </c>
      <c r="AF242" s="60" t="n">
        <f aca="false">$J$28*SUMPRODUCT($E$36:$P$36,O242:Z242,$E$28:$P$28)</f>
        <v>0</v>
      </c>
      <c r="AG242" s="60" t="n">
        <f aca="false">$K$28*SUMPRODUCT($E$37:$P$37,O242:Z242,$E$28:$P$28)</f>
        <v>0</v>
      </c>
      <c r="AH242" s="60" t="n">
        <f aca="false">$L$28*SUMPRODUCT($E$38:$P$38,O242:Z242,$E$28:$P$28)</f>
        <v>0</v>
      </c>
      <c r="AI242" s="60" t="n">
        <f aca="false">$M$28*SUMPRODUCT($E$39:$P$39,O242:Z242,$E$28:$P$28)</f>
        <v>0</v>
      </c>
      <c r="AJ242" s="60" t="n">
        <f aca="false">$N$28*SUMPRODUCT($E$40:$P$40,O242:Z242,$E$28:$P$28)</f>
        <v>0</v>
      </c>
      <c r="AK242" s="60" t="n">
        <f aca="false">$O$28*SUMPRODUCT($E$41:$P$41,O242:Z242,$E$28:$P$28)</f>
        <v>0</v>
      </c>
      <c r="AL242" s="60" t="n">
        <f aca="false">$P$28*SUMPRODUCT($E$42:$P$42,O242:Z242,$E$28:$P$28)</f>
        <v>0</v>
      </c>
      <c r="AM242" s="60" t="n">
        <f aca="false">SUMPRODUCT(O242:Z242,AA242:AL242)</f>
        <v>0.184416866619846</v>
      </c>
      <c r="AN242" s="60" t="n">
        <f aca="false">SUMPRODUCT(O242:Z242,$E$27:$P$27)</f>
        <v>2.67389635063809E-005</v>
      </c>
      <c r="AO242" s="60" t="n">
        <f aca="false">AM242*$C$9/($C$10*$C$8)^2</f>
        <v>0.21776909410545</v>
      </c>
      <c r="AP242" s="60" t="n">
        <f aca="false">AN242*$C$9/($C$10*$C$8)</f>
        <v>0.0918845243259994</v>
      </c>
      <c r="AQ242" s="60" t="n">
        <f aca="false">CHOOSE($C$7,-(1+AP242),-1,-(1-AP242))</f>
        <v>-0.908115475674001</v>
      </c>
      <c r="AR242" s="60" t="n">
        <f aca="false">CHOOSE($C$7,AO242,AO242-AP242-AP242^2,AO242-3*AP242^2-2*AP242)</f>
        <v>0.00867174802160559</v>
      </c>
      <c r="AS242" s="60" t="n">
        <f aca="false">CHOOSE($C$7,-AO242*AP242,-AO242*AP242,-(AO242*AP242-AP242^2-AP242^3))</f>
        <v>-0.0107910842936637</v>
      </c>
      <c r="AT242" s="60" t="n">
        <f aca="false">AR242-AQ242^2/3</f>
        <v>-0.266219491031267</v>
      </c>
      <c r="AU242" s="60" t="n">
        <f aca="false">2*AQ242^3/27-AQ242*AR242/3+AS242</f>
        <v>-0.0636400988362784</v>
      </c>
      <c r="AV242" s="60" t="n">
        <f aca="false">AU242^2/4+AT242^3/27</f>
        <v>0.000313710901361829</v>
      </c>
      <c r="AW242" s="60" t="n">
        <f aca="false">-AU242/2-IF(AU242&gt;=0,1,-1)*SQRT(MAX(AV242,0))</f>
        <v>0.0495319352963236</v>
      </c>
      <c r="AX242" s="60" t="n">
        <f aca="false">SIGN(AW242)*ABS(AW242)^(1/3)</f>
        <v>0.367249967174439</v>
      </c>
      <c r="AY242" s="60" t="n">
        <f aca="false">IF(AX242=0,0,AX242-AT242/(3*AX242))</f>
        <v>0.60888329127384</v>
      </c>
      <c r="AZ242" s="60" t="n">
        <f aca="false">2*SQRT(MAX(-AT242,0)/3)</f>
        <v>0.595784626668918</v>
      </c>
      <c r="BA242" s="60" t="n">
        <f aca="false">ACOS(IF(AZ242=0,0,MAX(-1,MIN(1,3*AU242/(AT242*AZ242)))))</f>
        <v>0</v>
      </c>
      <c r="BB242" s="60" t="n">
        <f aca="false">AZ242*COS(BA242/3)</f>
        <v>0.595784626668918</v>
      </c>
      <c r="BC242" s="60" t="n">
        <f aca="false">IF(AV242&lt;0,BB242,AY242)-AQ242/3</f>
        <v>0.91158844983184</v>
      </c>
      <c r="BD242" s="60" t="n">
        <f aca="false">IFERROR((((BC242+AQ242)*BC242+AR242)*BC242+AS242)/((3*BC242+2*AQ242)*BC242+AR242),0)</f>
        <v>0</v>
      </c>
      <c r="BE242" s="60" t="n">
        <f aca="false">IF(ABS(BD242)&lt;0.1*ABS(BC242),BC242-BD242,BC242)</f>
        <v>0.91158844983184</v>
      </c>
      <c r="BF242" s="60" t="n">
        <f aca="false">IFERROR((((BE242+AQ242)*BE242+AR242)*BE242+AS242)/((3*BE242+2*AQ242)*BE242+AR242),0)</f>
        <v>0</v>
      </c>
      <c r="BG242" s="60" t="n">
        <f aca="false">IF(ABS(BF242)&lt;0.1*ABS(BE242),BE242-BF242,BE242)</f>
        <v>0.91158844983184</v>
      </c>
      <c r="BH242" s="60" t="n">
        <f aca="false">-AS242/BG242</f>
        <v>0.0118376711504565</v>
      </c>
      <c r="BI242" s="60" t="n">
        <f aca="false">(AR242-BH242)/BG242</f>
        <v>-0.00347297415783941</v>
      </c>
      <c r="BJ242" s="60" t="n">
        <f aca="false">BI242^2-4*BH242</f>
        <v>-0.0473386230523248</v>
      </c>
      <c r="BK242" s="60" t="n">
        <f aca="false">IF(BJ242&gt;=0,(BI242+IF(BI242&gt;=0,1,-1)*SQRT(BJ242))/2,0)</f>
        <v>0</v>
      </c>
      <c r="BL242" s="60" t="n">
        <f aca="false">IF(AND(BJ242&gt;=0,BK242&lt;&gt;0),MIN(BK242,BH242/BK242),-1)</f>
        <v>-1</v>
      </c>
      <c r="BM242" s="60" t="n">
        <f aca="false">AND(BJ242&gt;=0,BL242&gt;AP242,ABS(BG242-BL242)&gt;=0.00005*MAX(BG242,BL242))</f>
        <v>0</v>
      </c>
      <c r="BN242" s="60" t="n">
        <f aca="false">IF(BM242,IFERROR((((BL242+AQ242)*BL242+AR242)*BL242+AS242)/((3*BL242+2*AQ242)*BL242+AR242),0),0)</f>
        <v>0</v>
      </c>
      <c r="BO242" s="60" t="n">
        <f aca="false">IF(ABS(BN242)&lt;0.1*ABS(BL242),BL242-BN242,BL242)</f>
        <v>-1</v>
      </c>
      <c r="BP242" s="60" t="n">
        <f aca="false">IF(BM242,IFERROR((((BO242+AQ242)*BO242+AR242)*BO242+AS242)/((3*BO242+2*AQ242)*BO242+AR242),0),0)</f>
        <v>0</v>
      </c>
      <c r="BQ242" s="60" t="n">
        <f aca="false">IF(ABS(BP242)&lt;0.1*ABS(BO242),BO242-BP242,BO242)</f>
        <v>-1</v>
      </c>
      <c r="BR242" s="60" t="n">
        <f aca="false">IF(BM242,MAX(BG242,BQ242),BG242)</f>
        <v>0.91158844983184</v>
      </c>
      <c r="BS242" s="60" t="n">
        <f aca="false">IF(BM242,MIN(BG242,BQ242),-1)</f>
        <v>-1</v>
      </c>
      <c r="BT242" s="60" t="n">
        <f aca="false">CHOOSE($C$7,AO242/BR242,AO242/AP242*LN(1+AP242/BR242),AO242/(2*SQRT(2)*AP242)*LN((BR242+(1+SQRT(2))*AP242)/(BR242+(1-SQRT(2))*AP242)))</f>
        <v>0.218240791233887</v>
      </c>
      <c r="BU242" s="60" t="n">
        <f aca="false">BR242-1-LN(BR242-AP242)-BT242</f>
        <v>-0.107840271021729</v>
      </c>
      <c r="BV242" s="60" t="n">
        <f aca="false">IF(BM242,CHOOSE($C$7,AO242/BS242,AO242/AP242*LN(1+AP242/BS242),AO242/(2*SQRT(2)*AP242)*LN((BS242+(1+SQRT(2))*AP242)/(BS242+(1-SQRT(2))*AP242))),0)</f>
        <v>0</v>
      </c>
      <c r="BW242" s="60" t="n">
        <f aca="false">IF(BM242,BS242-1-LN(BS242-AP242)-BV242,0)</f>
        <v>0</v>
      </c>
      <c r="BX242" s="60" t="n">
        <f aca="false">AND(BM242,BW242&lt;BU242)</f>
        <v>0</v>
      </c>
      <c r="BY242" s="60" t="n">
        <f aca="false">IF(BX242,BS242,BR242)</f>
        <v>0.91158844983184</v>
      </c>
      <c r="BZ242" s="60" t="n">
        <f aca="false">IF(BX242,BV242,BT242)</f>
        <v>0.218240791233887</v>
      </c>
      <c r="CA242" s="60" t="n">
        <f aca="false">LN(BY242-AP242)</f>
        <v>-0.198812070380318</v>
      </c>
      <c r="CB242" s="60" t="n">
        <f aca="false">$E$27/AN242*(BY242-1)-CA242-BZ242*(2*AA242/AM242-$E$27/AN242)</f>
        <v>-0.107840271021729</v>
      </c>
      <c r="CC242" s="60" t="n">
        <f aca="false">$F$27/AN242*(BY242-1)-CA242-BZ242*(2*AB242/AM242-$F$27/AN242)</f>
        <v>0.198812070380318</v>
      </c>
      <c r="CD242" s="60" t="n">
        <f aca="false">$G$27/AN242*(BY242-1)-CA242-BZ242*(2*AC242/AM242-$G$27/AN242)</f>
        <v>0.198812070380318</v>
      </c>
      <c r="CE242" s="60" t="n">
        <f aca="false">$H$27/AN242*(BY242-1)-CA242-BZ242*(2*AD242/AM242-$H$27/AN242)</f>
        <v>0.198812070380318</v>
      </c>
      <c r="CF242" s="60" t="n">
        <f aca="false">$I$27/AN242*(BY242-1)-CA242-BZ242*(2*AE242/AM242-$I$27/AN242)</f>
        <v>0.198812070380318</v>
      </c>
      <c r="CG242" s="60" t="n">
        <f aca="false">$J$27/AN242*(BY242-1)-CA242-BZ242*(2*AF242/AM242-$J$27/AN242)</f>
        <v>0.198812070380318</v>
      </c>
      <c r="CH242" s="60" t="n">
        <f aca="false">$K$27/AN242*(BY242-1)-CA242-BZ242*(2*AG242/AM242-$K$27/AN242)</f>
        <v>0.198812070380318</v>
      </c>
      <c r="CI242" s="60" t="n">
        <f aca="false">$L$27/AN242*(BY242-1)-CA242-BZ242*(2*AH242/AM242-$L$27/AN242)</f>
        <v>0.198812070380318</v>
      </c>
      <c r="CJ242" s="60" t="n">
        <f aca="false">$M$27/AN242*(BY242-1)-CA242-BZ242*(2*AI242/AM242-$M$27/AN242)</f>
        <v>0.198812070380318</v>
      </c>
      <c r="CK242" s="60" t="n">
        <f aca="false">$N$27/AN242*(BY242-1)-CA242-BZ242*(2*AJ242/AM242-$N$27/AN242)</f>
        <v>0.198812070380318</v>
      </c>
      <c r="CL242" s="60" t="n">
        <f aca="false">$O$27/AN242*(BY242-1)-CA242-BZ242*(2*AK242/AM242-$O$27/AN242)</f>
        <v>0.198812070380318</v>
      </c>
      <c r="CM242" s="60" t="n">
        <f aca="false">$P$27/AN242*(BY242-1)-CA242-BZ242*(2*AL242/AM242-$P$27/AN242)</f>
        <v>0.198812070380318</v>
      </c>
      <c r="CN242" s="60" t="n">
        <f aca="false">AP242/BY242&gt;$C$22</f>
        <v>0</v>
      </c>
      <c r="CO242" s="60" t="n">
        <f aca="false">1-N242+SUMPRODUCT(B242:M242,CB242:CM242)-SUMPRODUCT(B242:M242,CB241:CM241)</f>
        <v>0</v>
      </c>
      <c r="CP242" s="60" t="n">
        <f aca="false">SUMXMY2(O242:Z242,$E$13:$P$13)</f>
        <v>0</v>
      </c>
    </row>
    <row r="243" customFormat="false" ht="15" hidden="false" customHeight="false" outlineLevel="0" collapsed="false">
      <c r="A243" s="59" t="n">
        <v>34</v>
      </c>
      <c r="B243" s="60" t="n">
        <f aca="false">$E$13*EXP(MAX(-700,MIN(700,$E$86-CB242)))</f>
        <v>1</v>
      </c>
      <c r="C243" s="60" t="n">
        <f aca="false">$F$13*EXP(MAX(-700,MIN(700,$F$86-CC242)))</f>
        <v>0</v>
      </c>
      <c r="D243" s="60" t="n">
        <f aca="false">$G$13*EXP(MAX(-700,MIN(700,$G$86-CD242)))</f>
        <v>0</v>
      </c>
      <c r="E243" s="60" t="n">
        <f aca="false">$H$13*EXP(MAX(-700,MIN(700,$H$86-CE242)))</f>
        <v>0</v>
      </c>
      <c r="F243" s="60" t="n">
        <f aca="false">$I$13*EXP(MAX(-700,MIN(700,$I$86-CF242)))</f>
        <v>0</v>
      </c>
      <c r="G243" s="60" t="n">
        <f aca="false">$J$13*EXP(MAX(-700,MIN(700,$J$86-CG242)))</f>
        <v>0</v>
      </c>
      <c r="H243" s="60" t="n">
        <f aca="false">$K$13*EXP(MAX(-700,MIN(700,$K$86-CH242)))</f>
        <v>0</v>
      </c>
      <c r="I243" s="60" t="n">
        <f aca="false">$L$13*EXP(MAX(-700,MIN(700,$L$86-CI242)))</f>
        <v>0</v>
      </c>
      <c r="J243" s="60" t="n">
        <f aca="false">$M$13*EXP(MAX(-700,MIN(700,$M$86-CJ242)))</f>
        <v>0</v>
      </c>
      <c r="K243" s="60" t="n">
        <f aca="false">$N$13*EXP(MAX(-700,MIN(700,$N$86-CK242)))</f>
        <v>0</v>
      </c>
      <c r="L243" s="60" t="n">
        <f aca="false">$O$13*EXP(MAX(-700,MIN(700,$O$86-CL242)))</f>
        <v>0</v>
      </c>
      <c r="M243" s="60" t="n">
        <f aca="false">$P$13*EXP(MAX(-700,MIN(700,$P$86-CM242)))</f>
        <v>0</v>
      </c>
      <c r="N243" s="60" t="n">
        <f aca="false">SUM(B243:M243)</f>
        <v>1</v>
      </c>
      <c r="O243" s="60" t="n">
        <f aca="false">B243/N243</f>
        <v>1</v>
      </c>
      <c r="P243" s="60" t="n">
        <f aca="false">C243/N243</f>
        <v>0</v>
      </c>
      <c r="Q243" s="60" t="n">
        <f aca="false">D243/N243</f>
        <v>0</v>
      </c>
      <c r="R243" s="60" t="n">
        <f aca="false">E243/N243</f>
        <v>0</v>
      </c>
      <c r="S243" s="60" t="n">
        <f aca="false">F243/N243</f>
        <v>0</v>
      </c>
      <c r="T243" s="60" t="n">
        <f aca="false">G243/N243</f>
        <v>0</v>
      </c>
      <c r="U243" s="60" t="n">
        <f aca="false">H243/N243</f>
        <v>0</v>
      </c>
      <c r="V243" s="60" t="n">
        <f aca="false">I243/N243</f>
        <v>0</v>
      </c>
      <c r="W243" s="60" t="n">
        <f aca="false">J243/N243</f>
        <v>0</v>
      </c>
      <c r="X243" s="60" t="n">
        <f aca="false">K243/N243</f>
        <v>0</v>
      </c>
      <c r="Y243" s="60" t="n">
        <f aca="false">L243/N243</f>
        <v>0</v>
      </c>
      <c r="Z243" s="60" t="n">
        <f aca="false">M243/N243</f>
        <v>0</v>
      </c>
      <c r="AA243" s="60" t="n">
        <f aca="false">$E$28*SUMPRODUCT($E$31:$P$31,O243:Z243,$E$28:$P$28)</f>
        <v>0.184416866619846</v>
      </c>
      <c r="AB243" s="60" t="n">
        <f aca="false">$F$28*SUMPRODUCT($E$32:$P$32,O243:Z243,$E$28:$P$28)</f>
        <v>0</v>
      </c>
      <c r="AC243" s="60" t="n">
        <f aca="false">$G$28*SUMPRODUCT($E$33:$P$33,O243:Z243,$E$28:$P$28)</f>
        <v>0</v>
      </c>
      <c r="AD243" s="60" t="n">
        <f aca="false">$H$28*SUMPRODUCT($E$34:$P$34,O243:Z243,$E$28:$P$28)</f>
        <v>0</v>
      </c>
      <c r="AE243" s="60" t="n">
        <f aca="false">$I$28*SUMPRODUCT($E$35:$P$35,O243:Z243,$E$28:$P$28)</f>
        <v>0</v>
      </c>
      <c r="AF243" s="60" t="n">
        <f aca="false">$J$28*SUMPRODUCT($E$36:$P$36,O243:Z243,$E$28:$P$28)</f>
        <v>0</v>
      </c>
      <c r="AG243" s="60" t="n">
        <f aca="false">$K$28*SUMPRODUCT($E$37:$P$37,O243:Z243,$E$28:$P$28)</f>
        <v>0</v>
      </c>
      <c r="AH243" s="60" t="n">
        <f aca="false">$L$28*SUMPRODUCT($E$38:$P$38,O243:Z243,$E$28:$P$28)</f>
        <v>0</v>
      </c>
      <c r="AI243" s="60" t="n">
        <f aca="false">$M$28*SUMPRODUCT($E$39:$P$39,O243:Z243,$E$28:$P$28)</f>
        <v>0</v>
      </c>
      <c r="AJ243" s="60" t="n">
        <f aca="false">$N$28*SUMPRODUCT($E$40:$P$40,O243:Z243,$E$28:$P$28)</f>
        <v>0</v>
      </c>
      <c r="AK243" s="60" t="n">
        <f aca="false">$O$28*SUMPRODUCT($E$41:$P$41,O243:Z243,$E$28:$P$28)</f>
        <v>0</v>
      </c>
      <c r="AL243" s="60" t="n">
        <f aca="false">$P$28*SUMPRODUCT($E$42:$P$42,O243:Z243,$E$28:$P$28)</f>
        <v>0</v>
      </c>
      <c r="AM243" s="60" t="n">
        <f aca="false">SUMPRODUCT(O243:Z243,AA243:AL243)</f>
        <v>0.184416866619846</v>
      </c>
      <c r="AN243" s="60" t="n">
        <f aca="false">SUMPRODUCT(O243:Z243,$E$27:$P$27)</f>
        <v>2.67389635063809E-005</v>
      </c>
      <c r="AO243" s="60" t="n">
        <f aca="false">AM243*$C$9/($C$10*$C$8)^2</f>
        <v>0.21776909410545</v>
      </c>
      <c r="AP243" s="60" t="n">
        <f aca="false">AN243*$C$9/($C$10*$C$8)</f>
        <v>0.0918845243259994</v>
      </c>
      <c r="AQ243" s="60" t="n">
        <f aca="false">CHOOSE($C$7,-(1+AP243),-1,-(1-AP243))</f>
        <v>-0.908115475674001</v>
      </c>
      <c r="AR243" s="60" t="n">
        <f aca="false">CHOOSE($C$7,AO243,AO243-AP243-AP243^2,AO243-3*AP243^2-2*AP243)</f>
        <v>0.00867174802160559</v>
      </c>
      <c r="AS243" s="60" t="n">
        <f aca="false">CHOOSE($C$7,-AO243*AP243,-AO243*AP243,-(AO243*AP243-AP243^2-AP243^3))</f>
        <v>-0.0107910842936637</v>
      </c>
      <c r="AT243" s="60" t="n">
        <f aca="false">AR243-AQ243^2/3</f>
        <v>-0.266219491031267</v>
      </c>
      <c r="AU243" s="60" t="n">
        <f aca="false">2*AQ243^3/27-AQ243*AR243/3+AS243</f>
        <v>-0.0636400988362784</v>
      </c>
      <c r="AV243" s="60" t="n">
        <f aca="false">AU243^2/4+AT243^3/27</f>
        <v>0.000313710901361829</v>
      </c>
      <c r="AW243" s="60" t="n">
        <f aca="false">-AU243/2-IF(AU243&gt;=0,1,-1)*SQRT(MAX(AV243,0))</f>
        <v>0.0495319352963236</v>
      </c>
      <c r="AX243" s="60" t="n">
        <f aca="false">SIGN(AW243)*ABS(AW243)^(1/3)</f>
        <v>0.367249967174439</v>
      </c>
      <c r="AY243" s="60" t="n">
        <f aca="false">IF(AX243=0,0,AX243-AT243/(3*AX243))</f>
        <v>0.60888329127384</v>
      </c>
      <c r="AZ243" s="60" t="n">
        <f aca="false">2*SQRT(MAX(-AT243,0)/3)</f>
        <v>0.595784626668918</v>
      </c>
      <c r="BA243" s="60" t="n">
        <f aca="false">ACOS(IF(AZ243=0,0,MAX(-1,MIN(1,3*AU243/(AT243*AZ243)))))</f>
        <v>0</v>
      </c>
      <c r="BB243" s="60" t="n">
        <f aca="false">AZ243*COS(BA243/3)</f>
        <v>0.595784626668918</v>
      </c>
      <c r="BC243" s="60" t="n">
        <f aca="false">IF(AV243&lt;0,BB243,AY243)-AQ243/3</f>
        <v>0.91158844983184</v>
      </c>
      <c r="BD243" s="60" t="n">
        <f aca="false">IFERROR((((BC243+AQ243)*BC243+AR243)*BC243+AS243)/((3*BC243+2*AQ243)*BC243+AR243),0)</f>
        <v>0</v>
      </c>
      <c r="BE243" s="60" t="n">
        <f aca="false">IF(ABS(BD243)&lt;0.1*ABS(BC243),BC243-BD243,BC243)</f>
        <v>0.91158844983184</v>
      </c>
      <c r="BF243" s="60" t="n">
        <f aca="false">IFERROR((((BE243+AQ243)*BE243+AR243)*BE243+AS243)/((3*BE243+2*AQ243)*BE243+AR243),0)</f>
        <v>0</v>
      </c>
      <c r="BG243" s="60" t="n">
        <f aca="false">IF(ABS(BF243)&lt;0.1*ABS(BE243),BE243-BF243,BE243)</f>
        <v>0.91158844983184</v>
      </c>
      <c r="BH243" s="60" t="n">
        <f aca="false">-AS243/BG243</f>
        <v>0.0118376711504565</v>
      </c>
      <c r="BI243" s="60" t="n">
        <f aca="false">(AR243-BH243)/BG243</f>
        <v>-0.00347297415783941</v>
      </c>
      <c r="BJ243" s="60" t="n">
        <f aca="false">BI243^2-4*BH243</f>
        <v>-0.0473386230523248</v>
      </c>
      <c r="BK243" s="60" t="n">
        <f aca="false">IF(BJ243&gt;=0,(BI243+IF(BI243&gt;=0,1,-1)*SQRT(BJ243))/2,0)</f>
        <v>0</v>
      </c>
      <c r="BL243" s="60" t="n">
        <f aca="false">IF(AND(BJ243&gt;=0,BK243&lt;&gt;0),MIN(BK243,BH243/BK243),-1)</f>
        <v>-1</v>
      </c>
      <c r="BM243" s="60" t="n">
        <f aca="false">AND(BJ243&gt;=0,BL243&gt;AP243,ABS(BG243-BL243)&gt;=0.00005*MAX(BG243,BL243))</f>
        <v>0</v>
      </c>
      <c r="BN243" s="60" t="n">
        <f aca="false">IF(BM243,IFERROR((((BL243+AQ243)*BL243+AR243)*BL243+AS243)/((3*BL243+2*AQ243)*BL243+AR243),0),0)</f>
        <v>0</v>
      </c>
      <c r="BO243" s="60" t="n">
        <f aca="false">IF(ABS(BN243)&lt;0.1*ABS(BL243),BL243-BN243,BL243)</f>
        <v>-1</v>
      </c>
      <c r="BP243" s="60" t="n">
        <f aca="false">IF(BM243,IFERROR((((BO243+AQ243)*BO243+AR243)*BO243+AS243)/((3*BO243+2*AQ243)*BO243+AR243),0),0)</f>
        <v>0</v>
      </c>
      <c r="BQ243" s="60" t="n">
        <f aca="false">IF(ABS(BP243)&lt;0.1*ABS(BO243),BO243-BP243,BO243)</f>
        <v>-1</v>
      </c>
      <c r="BR243" s="60" t="n">
        <f aca="false">IF(BM243,MAX(BG243,BQ243),BG243)</f>
        <v>0.91158844983184</v>
      </c>
      <c r="BS243" s="60" t="n">
        <f aca="false">IF(BM243,MIN(BG243,BQ243),-1)</f>
        <v>-1</v>
      </c>
      <c r="BT243" s="60" t="n">
        <f aca="false">CHOOSE($C$7,AO243/BR243,AO243/AP243*LN(1+AP243/BR243),AO243/(2*SQRT(2)*AP243)*LN((BR243+(1+SQRT(2))*AP243)/(BR243+(1-SQRT(2))*AP243)))</f>
        <v>0.218240791233887</v>
      </c>
      <c r="BU243" s="60" t="n">
        <f aca="false">BR243-1-LN(BR243-AP243)-BT243</f>
        <v>-0.107840271021729</v>
      </c>
      <c r="BV243" s="60" t="n">
        <f aca="false">IF(BM243,CHOOSE($C$7,AO243/BS243,AO243/AP243*LN(1+AP243/BS243),AO243/(2*SQRT(2)*AP243)*LN((BS243+(1+SQRT(2))*AP243)/(BS243+(1-SQRT(2))*AP243))),0)</f>
        <v>0</v>
      </c>
      <c r="BW243" s="60" t="n">
        <f aca="false">IF(BM243,BS243-1-LN(BS243-AP243)-BV243,0)</f>
        <v>0</v>
      </c>
      <c r="BX243" s="60" t="n">
        <f aca="false">AND(BM243,BW243&lt;BU243)</f>
        <v>0</v>
      </c>
      <c r="BY243" s="60" t="n">
        <f aca="false">IF(BX243,BS243,BR243)</f>
        <v>0.91158844983184</v>
      </c>
      <c r="BZ243" s="60" t="n">
        <f aca="false">IF(BX243,BV243,BT243)</f>
        <v>0.218240791233887</v>
      </c>
      <c r="CA243" s="60" t="n">
        <f aca="false">LN(BY243-AP243)</f>
        <v>-0.198812070380318</v>
      </c>
      <c r="CB243" s="60" t="n">
        <f aca="false">$E$27/AN243*(BY243-1)-CA243-BZ243*(2*AA243/AM243-$E$27/AN243)</f>
        <v>-0.107840271021729</v>
      </c>
      <c r="CC243" s="60" t="n">
        <f aca="false">$F$27/AN243*(BY243-1)-CA243-BZ243*(2*AB243/AM243-$F$27/AN243)</f>
        <v>0.198812070380318</v>
      </c>
      <c r="CD243" s="60" t="n">
        <f aca="false">$G$27/AN243*(BY243-1)-CA243-BZ243*(2*AC243/AM243-$G$27/AN243)</f>
        <v>0.198812070380318</v>
      </c>
      <c r="CE243" s="60" t="n">
        <f aca="false">$H$27/AN243*(BY243-1)-CA243-BZ243*(2*AD243/AM243-$H$27/AN243)</f>
        <v>0.198812070380318</v>
      </c>
      <c r="CF243" s="60" t="n">
        <f aca="false">$I$27/AN243*(BY243-1)-CA243-BZ243*(2*AE243/AM243-$I$27/AN243)</f>
        <v>0.198812070380318</v>
      </c>
      <c r="CG243" s="60" t="n">
        <f aca="false">$J$27/AN243*(BY243-1)-CA243-BZ243*(2*AF243/AM243-$J$27/AN243)</f>
        <v>0.198812070380318</v>
      </c>
      <c r="CH243" s="60" t="n">
        <f aca="false">$K$27/AN243*(BY243-1)-CA243-BZ243*(2*AG243/AM243-$K$27/AN243)</f>
        <v>0.198812070380318</v>
      </c>
      <c r="CI243" s="60" t="n">
        <f aca="false">$L$27/AN243*(BY243-1)-CA243-BZ243*(2*AH243/AM243-$L$27/AN243)</f>
        <v>0.198812070380318</v>
      </c>
      <c r="CJ243" s="60" t="n">
        <f aca="false">$M$27/AN243*(BY243-1)-CA243-BZ243*(2*AI243/AM243-$M$27/AN243)</f>
        <v>0.198812070380318</v>
      </c>
      <c r="CK243" s="60" t="n">
        <f aca="false">$N$27/AN243*(BY243-1)-CA243-BZ243*(2*AJ243/AM243-$N$27/AN243)</f>
        <v>0.198812070380318</v>
      </c>
      <c r="CL243" s="60" t="n">
        <f aca="false">$O$27/AN243*(BY243-1)-CA243-BZ243*(2*AK243/AM243-$O$27/AN243)</f>
        <v>0.198812070380318</v>
      </c>
      <c r="CM243" s="60" t="n">
        <f aca="false">$P$27/AN243*(BY243-1)-CA243-BZ243*(2*AL243/AM243-$P$27/AN243)</f>
        <v>0.198812070380318</v>
      </c>
      <c r="CN243" s="60" t="n">
        <f aca="false">AP243/BY243&gt;$C$22</f>
        <v>0</v>
      </c>
      <c r="CO243" s="60" t="n">
        <f aca="false">1-N243+SUMPRODUCT(B243:M243,CB243:CM243)-SUMPRODUCT(B243:M243,CB242:CM242)</f>
        <v>0</v>
      </c>
      <c r="CP243" s="60" t="n">
        <f aca="false">SUMXMY2(O243:Z243,$E$13:$P$13)</f>
        <v>0</v>
      </c>
    </row>
    <row r="244" customFormat="false" ht="15" hidden="false" customHeight="false" outlineLevel="0" collapsed="false">
      <c r="A244" s="59" t="n">
        <v>35</v>
      </c>
      <c r="B244" s="60" t="n">
        <f aca="false">$E$13*EXP(MAX(-700,MIN(700,$E$86-CB243)))</f>
        <v>1</v>
      </c>
      <c r="C244" s="60" t="n">
        <f aca="false">$F$13*EXP(MAX(-700,MIN(700,$F$86-CC243)))</f>
        <v>0</v>
      </c>
      <c r="D244" s="60" t="n">
        <f aca="false">$G$13*EXP(MAX(-700,MIN(700,$G$86-CD243)))</f>
        <v>0</v>
      </c>
      <c r="E244" s="60" t="n">
        <f aca="false">$H$13*EXP(MAX(-700,MIN(700,$H$86-CE243)))</f>
        <v>0</v>
      </c>
      <c r="F244" s="60" t="n">
        <f aca="false">$I$13*EXP(MAX(-700,MIN(700,$I$86-CF243)))</f>
        <v>0</v>
      </c>
      <c r="G244" s="60" t="n">
        <f aca="false">$J$13*EXP(MAX(-700,MIN(700,$J$86-CG243)))</f>
        <v>0</v>
      </c>
      <c r="H244" s="60" t="n">
        <f aca="false">$K$13*EXP(MAX(-700,MIN(700,$K$86-CH243)))</f>
        <v>0</v>
      </c>
      <c r="I244" s="60" t="n">
        <f aca="false">$L$13*EXP(MAX(-700,MIN(700,$L$86-CI243)))</f>
        <v>0</v>
      </c>
      <c r="J244" s="60" t="n">
        <f aca="false">$M$13*EXP(MAX(-700,MIN(700,$M$86-CJ243)))</f>
        <v>0</v>
      </c>
      <c r="K244" s="60" t="n">
        <f aca="false">$N$13*EXP(MAX(-700,MIN(700,$N$86-CK243)))</f>
        <v>0</v>
      </c>
      <c r="L244" s="60" t="n">
        <f aca="false">$O$13*EXP(MAX(-700,MIN(700,$O$86-CL243)))</f>
        <v>0</v>
      </c>
      <c r="M244" s="60" t="n">
        <f aca="false">$P$13*EXP(MAX(-700,MIN(700,$P$86-CM243)))</f>
        <v>0</v>
      </c>
      <c r="N244" s="60" t="n">
        <f aca="false">SUM(B244:M244)</f>
        <v>1</v>
      </c>
      <c r="O244" s="60" t="n">
        <f aca="false">B244/N244</f>
        <v>1</v>
      </c>
      <c r="P244" s="60" t="n">
        <f aca="false">C244/N244</f>
        <v>0</v>
      </c>
      <c r="Q244" s="60" t="n">
        <f aca="false">D244/N244</f>
        <v>0</v>
      </c>
      <c r="R244" s="60" t="n">
        <f aca="false">E244/N244</f>
        <v>0</v>
      </c>
      <c r="S244" s="60" t="n">
        <f aca="false">F244/N244</f>
        <v>0</v>
      </c>
      <c r="T244" s="60" t="n">
        <f aca="false">G244/N244</f>
        <v>0</v>
      </c>
      <c r="U244" s="60" t="n">
        <f aca="false">H244/N244</f>
        <v>0</v>
      </c>
      <c r="V244" s="60" t="n">
        <f aca="false">I244/N244</f>
        <v>0</v>
      </c>
      <c r="W244" s="60" t="n">
        <f aca="false">J244/N244</f>
        <v>0</v>
      </c>
      <c r="X244" s="60" t="n">
        <f aca="false">K244/N244</f>
        <v>0</v>
      </c>
      <c r="Y244" s="60" t="n">
        <f aca="false">L244/N244</f>
        <v>0</v>
      </c>
      <c r="Z244" s="60" t="n">
        <f aca="false">M244/N244</f>
        <v>0</v>
      </c>
      <c r="AA244" s="60" t="n">
        <f aca="false">$E$28*SUMPRODUCT($E$31:$P$31,O244:Z244,$E$28:$P$28)</f>
        <v>0.184416866619846</v>
      </c>
      <c r="AB244" s="60" t="n">
        <f aca="false">$F$28*SUMPRODUCT($E$32:$P$32,O244:Z244,$E$28:$P$28)</f>
        <v>0</v>
      </c>
      <c r="AC244" s="60" t="n">
        <f aca="false">$G$28*SUMPRODUCT($E$33:$P$33,O244:Z244,$E$28:$P$28)</f>
        <v>0</v>
      </c>
      <c r="AD244" s="60" t="n">
        <f aca="false">$H$28*SUMPRODUCT($E$34:$P$34,O244:Z244,$E$28:$P$28)</f>
        <v>0</v>
      </c>
      <c r="AE244" s="60" t="n">
        <f aca="false">$I$28*SUMPRODUCT($E$35:$P$35,O244:Z244,$E$28:$P$28)</f>
        <v>0</v>
      </c>
      <c r="AF244" s="60" t="n">
        <f aca="false">$J$28*SUMPRODUCT($E$36:$P$36,O244:Z244,$E$28:$P$28)</f>
        <v>0</v>
      </c>
      <c r="AG244" s="60" t="n">
        <f aca="false">$K$28*SUMPRODUCT($E$37:$P$37,O244:Z244,$E$28:$P$28)</f>
        <v>0</v>
      </c>
      <c r="AH244" s="60" t="n">
        <f aca="false">$L$28*SUMPRODUCT($E$38:$P$38,O244:Z244,$E$28:$P$28)</f>
        <v>0</v>
      </c>
      <c r="AI244" s="60" t="n">
        <f aca="false">$M$28*SUMPRODUCT($E$39:$P$39,O244:Z244,$E$28:$P$28)</f>
        <v>0</v>
      </c>
      <c r="AJ244" s="60" t="n">
        <f aca="false">$N$28*SUMPRODUCT($E$40:$P$40,O244:Z244,$E$28:$P$28)</f>
        <v>0</v>
      </c>
      <c r="AK244" s="60" t="n">
        <f aca="false">$O$28*SUMPRODUCT($E$41:$P$41,O244:Z244,$E$28:$P$28)</f>
        <v>0</v>
      </c>
      <c r="AL244" s="60" t="n">
        <f aca="false">$P$28*SUMPRODUCT($E$42:$P$42,O244:Z244,$E$28:$P$28)</f>
        <v>0</v>
      </c>
      <c r="AM244" s="60" t="n">
        <f aca="false">SUMPRODUCT(O244:Z244,AA244:AL244)</f>
        <v>0.184416866619846</v>
      </c>
      <c r="AN244" s="60" t="n">
        <f aca="false">SUMPRODUCT(O244:Z244,$E$27:$P$27)</f>
        <v>2.67389635063809E-005</v>
      </c>
      <c r="AO244" s="60" t="n">
        <f aca="false">AM244*$C$9/($C$10*$C$8)^2</f>
        <v>0.21776909410545</v>
      </c>
      <c r="AP244" s="60" t="n">
        <f aca="false">AN244*$C$9/($C$10*$C$8)</f>
        <v>0.0918845243259994</v>
      </c>
      <c r="AQ244" s="60" t="n">
        <f aca="false">CHOOSE($C$7,-(1+AP244),-1,-(1-AP244))</f>
        <v>-0.908115475674001</v>
      </c>
      <c r="AR244" s="60" t="n">
        <f aca="false">CHOOSE($C$7,AO244,AO244-AP244-AP244^2,AO244-3*AP244^2-2*AP244)</f>
        <v>0.00867174802160559</v>
      </c>
      <c r="AS244" s="60" t="n">
        <f aca="false">CHOOSE($C$7,-AO244*AP244,-AO244*AP244,-(AO244*AP244-AP244^2-AP244^3))</f>
        <v>-0.0107910842936637</v>
      </c>
      <c r="AT244" s="60" t="n">
        <f aca="false">AR244-AQ244^2/3</f>
        <v>-0.266219491031267</v>
      </c>
      <c r="AU244" s="60" t="n">
        <f aca="false">2*AQ244^3/27-AQ244*AR244/3+AS244</f>
        <v>-0.0636400988362784</v>
      </c>
      <c r="AV244" s="60" t="n">
        <f aca="false">AU244^2/4+AT244^3/27</f>
        <v>0.000313710901361829</v>
      </c>
      <c r="AW244" s="60" t="n">
        <f aca="false">-AU244/2-IF(AU244&gt;=0,1,-1)*SQRT(MAX(AV244,0))</f>
        <v>0.0495319352963236</v>
      </c>
      <c r="AX244" s="60" t="n">
        <f aca="false">SIGN(AW244)*ABS(AW244)^(1/3)</f>
        <v>0.367249967174439</v>
      </c>
      <c r="AY244" s="60" t="n">
        <f aca="false">IF(AX244=0,0,AX244-AT244/(3*AX244))</f>
        <v>0.60888329127384</v>
      </c>
      <c r="AZ244" s="60" t="n">
        <f aca="false">2*SQRT(MAX(-AT244,0)/3)</f>
        <v>0.595784626668918</v>
      </c>
      <c r="BA244" s="60" t="n">
        <f aca="false">ACOS(IF(AZ244=0,0,MAX(-1,MIN(1,3*AU244/(AT244*AZ244)))))</f>
        <v>0</v>
      </c>
      <c r="BB244" s="60" t="n">
        <f aca="false">AZ244*COS(BA244/3)</f>
        <v>0.595784626668918</v>
      </c>
      <c r="BC244" s="60" t="n">
        <f aca="false">IF(AV244&lt;0,BB244,AY244)-AQ244/3</f>
        <v>0.91158844983184</v>
      </c>
      <c r="BD244" s="60" t="n">
        <f aca="false">IFERROR((((BC244+AQ244)*BC244+AR244)*BC244+AS244)/((3*BC244+2*AQ244)*BC244+AR244),0)</f>
        <v>0</v>
      </c>
      <c r="BE244" s="60" t="n">
        <f aca="false">IF(ABS(BD244)&lt;0.1*ABS(BC244),BC244-BD244,BC244)</f>
        <v>0.91158844983184</v>
      </c>
      <c r="BF244" s="60" t="n">
        <f aca="false">IFERROR((((BE244+AQ244)*BE244+AR244)*BE244+AS244)/((3*BE244+2*AQ244)*BE244+AR244),0)</f>
        <v>0</v>
      </c>
      <c r="BG244" s="60" t="n">
        <f aca="false">IF(ABS(BF244)&lt;0.1*ABS(BE244),BE244-BF244,BE244)</f>
        <v>0.91158844983184</v>
      </c>
      <c r="BH244" s="60" t="n">
        <f aca="false">-AS244/BG244</f>
        <v>0.0118376711504565</v>
      </c>
      <c r="BI244" s="60" t="n">
        <f aca="false">(AR244-BH244)/BG244</f>
        <v>-0.00347297415783941</v>
      </c>
      <c r="BJ244" s="60" t="n">
        <f aca="false">BI244^2-4*BH244</f>
        <v>-0.0473386230523248</v>
      </c>
      <c r="BK244" s="60" t="n">
        <f aca="false">IF(BJ244&gt;=0,(BI244+IF(BI244&gt;=0,1,-1)*SQRT(BJ244))/2,0)</f>
        <v>0</v>
      </c>
      <c r="BL244" s="60" t="n">
        <f aca="false">IF(AND(BJ244&gt;=0,BK244&lt;&gt;0),MIN(BK244,BH244/BK244),-1)</f>
        <v>-1</v>
      </c>
      <c r="BM244" s="60" t="n">
        <f aca="false">AND(BJ244&gt;=0,BL244&gt;AP244,ABS(BG244-BL244)&gt;=0.00005*MAX(BG244,BL244))</f>
        <v>0</v>
      </c>
      <c r="BN244" s="60" t="n">
        <f aca="false">IF(BM244,IFERROR((((BL244+AQ244)*BL244+AR244)*BL244+AS244)/((3*BL244+2*AQ244)*BL244+AR244),0),0)</f>
        <v>0</v>
      </c>
      <c r="BO244" s="60" t="n">
        <f aca="false">IF(ABS(BN244)&lt;0.1*ABS(BL244),BL244-BN244,BL244)</f>
        <v>-1</v>
      </c>
      <c r="BP244" s="60" t="n">
        <f aca="false">IF(BM244,IFERROR((((BO244+AQ244)*BO244+AR244)*BO244+AS244)/((3*BO244+2*AQ244)*BO244+AR244),0),0)</f>
        <v>0</v>
      </c>
      <c r="BQ244" s="60" t="n">
        <f aca="false">IF(ABS(BP244)&lt;0.1*ABS(BO244),BO244-BP244,BO244)</f>
        <v>-1</v>
      </c>
      <c r="BR244" s="60" t="n">
        <f aca="false">IF(BM244,MAX(BG244,BQ244),BG244)</f>
        <v>0.91158844983184</v>
      </c>
      <c r="BS244" s="60" t="n">
        <f aca="false">IF(BM244,MIN(BG244,BQ244),-1)</f>
        <v>-1</v>
      </c>
      <c r="BT244" s="60" t="n">
        <f aca="false">CHOOSE($C$7,AO244/BR244,AO244/AP244*LN(1+AP244/BR244),AO244/(2*SQRT(2)*AP244)*LN((BR244+(1+SQRT(2))*AP244)/(BR244+(1-SQRT(2))*AP244)))</f>
        <v>0.218240791233887</v>
      </c>
      <c r="BU244" s="60" t="n">
        <f aca="false">BR244-1-LN(BR244-AP244)-BT244</f>
        <v>-0.107840271021729</v>
      </c>
      <c r="BV244" s="60" t="n">
        <f aca="false">IF(BM244,CHOOSE($C$7,AO244/BS244,AO244/AP244*LN(1+AP244/BS244),AO244/(2*SQRT(2)*AP244)*LN((BS244+(1+SQRT(2))*AP244)/(BS244+(1-SQRT(2))*AP244))),0)</f>
        <v>0</v>
      </c>
      <c r="BW244" s="60" t="n">
        <f aca="false">IF(BM244,BS244-1-LN(BS244-AP244)-BV244,0)</f>
        <v>0</v>
      </c>
      <c r="BX244" s="60" t="n">
        <f aca="false">AND(BM244,BW244&lt;BU244)</f>
        <v>0</v>
      </c>
      <c r="BY244" s="60" t="n">
        <f aca="false">IF(BX244,BS244,BR244)</f>
        <v>0.91158844983184</v>
      </c>
      <c r="BZ244" s="60" t="n">
        <f aca="false">IF(BX244,BV244,BT244)</f>
        <v>0.218240791233887</v>
      </c>
      <c r="CA244" s="60" t="n">
        <f aca="false">LN(BY244-AP244)</f>
        <v>-0.198812070380318</v>
      </c>
      <c r="CB244" s="60" t="n">
        <f aca="false">$E$27/AN244*(BY244-1)-CA244-BZ244*(2*AA244/AM244-$E$27/AN244)</f>
        <v>-0.107840271021729</v>
      </c>
      <c r="CC244" s="60" t="n">
        <f aca="false">$F$27/AN244*(BY244-1)-CA244-BZ244*(2*AB244/AM244-$F$27/AN244)</f>
        <v>0.198812070380318</v>
      </c>
      <c r="CD244" s="60" t="n">
        <f aca="false">$G$27/AN244*(BY244-1)-CA244-BZ244*(2*AC244/AM244-$G$27/AN244)</f>
        <v>0.198812070380318</v>
      </c>
      <c r="CE244" s="60" t="n">
        <f aca="false">$H$27/AN244*(BY244-1)-CA244-BZ244*(2*AD244/AM244-$H$27/AN244)</f>
        <v>0.198812070380318</v>
      </c>
      <c r="CF244" s="60" t="n">
        <f aca="false">$I$27/AN244*(BY244-1)-CA244-BZ244*(2*AE244/AM244-$I$27/AN244)</f>
        <v>0.198812070380318</v>
      </c>
      <c r="CG244" s="60" t="n">
        <f aca="false">$J$27/AN244*(BY244-1)-CA244-BZ244*(2*AF244/AM244-$J$27/AN244)</f>
        <v>0.198812070380318</v>
      </c>
      <c r="CH244" s="60" t="n">
        <f aca="false">$K$27/AN244*(BY244-1)-CA244-BZ244*(2*AG244/AM244-$K$27/AN244)</f>
        <v>0.198812070380318</v>
      </c>
      <c r="CI244" s="60" t="n">
        <f aca="false">$L$27/AN244*(BY244-1)-CA244-BZ244*(2*AH244/AM244-$L$27/AN244)</f>
        <v>0.198812070380318</v>
      </c>
      <c r="CJ244" s="60" t="n">
        <f aca="false">$M$27/AN244*(BY244-1)-CA244-BZ244*(2*AI244/AM244-$M$27/AN244)</f>
        <v>0.198812070380318</v>
      </c>
      <c r="CK244" s="60" t="n">
        <f aca="false">$N$27/AN244*(BY244-1)-CA244-BZ244*(2*AJ244/AM244-$N$27/AN244)</f>
        <v>0.198812070380318</v>
      </c>
      <c r="CL244" s="60" t="n">
        <f aca="false">$O$27/AN244*(BY244-1)-CA244-BZ244*(2*AK244/AM244-$O$27/AN244)</f>
        <v>0.198812070380318</v>
      </c>
      <c r="CM244" s="60" t="n">
        <f aca="false">$P$27/AN244*(BY244-1)-CA244-BZ244*(2*AL244/AM244-$P$27/AN244)</f>
        <v>0.198812070380318</v>
      </c>
      <c r="CN244" s="60" t="n">
        <f aca="false">AP244/BY244&gt;$C$22</f>
        <v>0</v>
      </c>
      <c r="CO244" s="60" t="n">
        <f aca="false">1-N244+SUMPRODUCT(B244:M244,CB244:CM244)-SUMPRODUCT(B244:M244,CB243:CM243)</f>
        <v>0</v>
      </c>
      <c r="CP244" s="60" t="n">
        <f aca="false">SUMXMY2(O244:Z244,$E$13:$P$13)</f>
        <v>0</v>
      </c>
    </row>
    <row r="245" customFormat="false" ht="15" hidden="false" customHeight="false" outlineLevel="0" collapsed="false">
      <c r="A245" s="59" t="n">
        <v>36</v>
      </c>
      <c r="B245" s="60" t="n">
        <f aca="false">$E$13*EXP(MAX(-700,MIN(700,$E$86-CB244)))</f>
        <v>1</v>
      </c>
      <c r="C245" s="60" t="n">
        <f aca="false">$F$13*EXP(MAX(-700,MIN(700,$F$86-CC244)))</f>
        <v>0</v>
      </c>
      <c r="D245" s="60" t="n">
        <f aca="false">$G$13*EXP(MAX(-700,MIN(700,$G$86-CD244)))</f>
        <v>0</v>
      </c>
      <c r="E245" s="60" t="n">
        <f aca="false">$H$13*EXP(MAX(-700,MIN(700,$H$86-CE244)))</f>
        <v>0</v>
      </c>
      <c r="F245" s="60" t="n">
        <f aca="false">$I$13*EXP(MAX(-700,MIN(700,$I$86-CF244)))</f>
        <v>0</v>
      </c>
      <c r="G245" s="60" t="n">
        <f aca="false">$J$13*EXP(MAX(-700,MIN(700,$J$86-CG244)))</f>
        <v>0</v>
      </c>
      <c r="H245" s="60" t="n">
        <f aca="false">$K$13*EXP(MAX(-700,MIN(700,$K$86-CH244)))</f>
        <v>0</v>
      </c>
      <c r="I245" s="60" t="n">
        <f aca="false">$L$13*EXP(MAX(-700,MIN(700,$L$86-CI244)))</f>
        <v>0</v>
      </c>
      <c r="J245" s="60" t="n">
        <f aca="false">$M$13*EXP(MAX(-700,MIN(700,$M$86-CJ244)))</f>
        <v>0</v>
      </c>
      <c r="K245" s="60" t="n">
        <f aca="false">$N$13*EXP(MAX(-700,MIN(700,$N$86-CK244)))</f>
        <v>0</v>
      </c>
      <c r="L245" s="60" t="n">
        <f aca="false">$O$13*EXP(MAX(-700,MIN(700,$O$86-CL244)))</f>
        <v>0</v>
      </c>
      <c r="M245" s="60" t="n">
        <f aca="false">$P$13*EXP(MAX(-700,MIN(700,$P$86-CM244)))</f>
        <v>0</v>
      </c>
      <c r="N245" s="60" t="n">
        <f aca="false">SUM(B245:M245)</f>
        <v>1</v>
      </c>
      <c r="O245" s="60" t="n">
        <f aca="false">B245/N245</f>
        <v>1</v>
      </c>
      <c r="P245" s="60" t="n">
        <f aca="false">C245/N245</f>
        <v>0</v>
      </c>
      <c r="Q245" s="60" t="n">
        <f aca="false">D245/N245</f>
        <v>0</v>
      </c>
      <c r="R245" s="60" t="n">
        <f aca="false">E245/N245</f>
        <v>0</v>
      </c>
      <c r="S245" s="60" t="n">
        <f aca="false">F245/N245</f>
        <v>0</v>
      </c>
      <c r="T245" s="60" t="n">
        <f aca="false">G245/N245</f>
        <v>0</v>
      </c>
      <c r="U245" s="60" t="n">
        <f aca="false">H245/N245</f>
        <v>0</v>
      </c>
      <c r="V245" s="60" t="n">
        <f aca="false">I245/N245</f>
        <v>0</v>
      </c>
      <c r="W245" s="60" t="n">
        <f aca="false">J245/N245</f>
        <v>0</v>
      </c>
      <c r="X245" s="60" t="n">
        <f aca="false">K245/N245</f>
        <v>0</v>
      </c>
      <c r="Y245" s="60" t="n">
        <f aca="false">L245/N245</f>
        <v>0</v>
      </c>
      <c r="Z245" s="60" t="n">
        <f aca="false">M245/N245</f>
        <v>0</v>
      </c>
      <c r="AA245" s="60" t="n">
        <f aca="false">$E$28*SUMPRODUCT($E$31:$P$31,O245:Z245,$E$28:$P$28)</f>
        <v>0.184416866619846</v>
      </c>
      <c r="AB245" s="60" t="n">
        <f aca="false">$F$28*SUMPRODUCT($E$32:$P$32,O245:Z245,$E$28:$P$28)</f>
        <v>0</v>
      </c>
      <c r="AC245" s="60" t="n">
        <f aca="false">$G$28*SUMPRODUCT($E$33:$P$33,O245:Z245,$E$28:$P$28)</f>
        <v>0</v>
      </c>
      <c r="AD245" s="60" t="n">
        <f aca="false">$H$28*SUMPRODUCT($E$34:$P$34,O245:Z245,$E$28:$P$28)</f>
        <v>0</v>
      </c>
      <c r="AE245" s="60" t="n">
        <f aca="false">$I$28*SUMPRODUCT($E$35:$P$35,O245:Z245,$E$28:$P$28)</f>
        <v>0</v>
      </c>
      <c r="AF245" s="60" t="n">
        <f aca="false">$J$28*SUMPRODUCT($E$36:$P$36,O245:Z245,$E$28:$P$28)</f>
        <v>0</v>
      </c>
      <c r="AG245" s="60" t="n">
        <f aca="false">$K$28*SUMPRODUCT($E$37:$P$37,O245:Z245,$E$28:$P$28)</f>
        <v>0</v>
      </c>
      <c r="AH245" s="60" t="n">
        <f aca="false">$L$28*SUMPRODUCT($E$38:$P$38,O245:Z245,$E$28:$P$28)</f>
        <v>0</v>
      </c>
      <c r="AI245" s="60" t="n">
        <f aca="false">$M$28*SUMPRODUCT($E$39:$P$39,O245:Z245,$E$28:$P$28)</f>
        <v>0</v>
      </c>
      <c r="AJ245" s="60" t="n">
        <f aca="false">$N$28*SUMPRODUCT($E$40:$P$40,O245:Z245,$E$28:$P$28)</f>
        <v>0</v>
      </c>
      <c r="AK245" s="60" t="n">
        <f aca="false">$O$28*SUMPRODUCT($E$41:$P$41,O245:Z245,$E$28:$P$28)</f>
        <v>0</v>
      </c>
      <c r="AL245" s="60" t="n">
        <f aca="false">$P$28*SUMPRODUCT($E$42:$P$42,O245:Z245,$E$28:$P$28)</f>
        <v>0</v>
      </c>
      <c r="AM245" s="60" t="n">
        <f aca="false">SUMPRODUCT(O245:Z245,AA245:AL245)</f>
        <v>0.184416866619846</v>
      </c>
      <c r="AN245" s="60" t="n">
        <f aca="false">SUMPRODUCT(O245:Z245,$E$27:$P$27)</f>
        <v>2.67389635063809E-005</v>
      </c>
      <c r="AO245" s="60" t="n">
        <f aca="false">AM245*$C$9/($C$10*$C$8)^2</f>
        <v>0.21776909410545</v>
      </c>
      <c r="AP245" s="60" t="n">
        <f aca="false">AN245*$C$9/($C$10*$C$8)</f>
        <v>0.0918845243259994</v>
      </c>
      <c r="AQ245" s="60" t="n">
        <f aca="false">CHOOSE($C$7,-(1+AP245),-1,-(1-AP245))</f>
        <v>-0.908115475674001</v>
      </c>
      <c r="AR245" s="60" t="n">
        <f aca="false">CHOOSE($C$7,AO245,AO245-AP245-AP245^2,AO245-3*AP245^2-2*AP245)</f>
        <v>0.00867174802160559</v>
      </c>
      <c r="AS245" s="60" t="n">
        <f aca="false">CHOOSE($C$7,-AO245*AP245,-AO245*AP245,-(AO245*AP245-AP245^2-AP245^3))</f>
        <v>-0.0107910842936637</v>
      </c>
      <c r="AT245" s="60" t="n">
        <f aca="false">AR245-AQ245^2/3</f>
        <v>-0.266219491031267</v>
      </c>
      <c r="AU245" s="60" t="n">
        <f aca="false">2*AQ245^3/27-AQ245*AR245/3+AS245</f>
        <v>-0.0636400988362784</v>
      </c>
      <c r="AV245" s="60" t="n">
        <f aca="false">AU245^2/4+AT245^3/27</f>
        <v>0.000313710901361829</v>
      </c>
      <c r="AW245" s="60" t="n">
        <f aca="false">-AU245/2-IF(AU245&gt;=0,1,-1)*SQRT(MAX(AV245,0))</f>
        <v>0.0495319352963236</v>
      </c>
      <c r="AX245" s="60" t="n">
        <f aca="false">SIGN(AW245)*ABS(AW245)^(1/3)</f>
        <v>0.367249967174439</v>
      </c>
      <c r="AY245" s="60" t="n">
        <f aca="false">IF(AX245=0,0,AX245-AT245/(3*AX245))</f>
        <v>0.60888329127384</v>
      </c>
      <c r="AZ245" s="60" t="n">
        <f aca="false">2*SQRT(MAX(-AT245,0)/3)</f>
        <v>0.595784626668918</v>
      </c>
      <c r="BA245" s="60" t="n">
        <f aca="false">ACOS(IF(AZ245=0,0,MAX(-1,MIN(1,3*AU245/(AT245*AZ245)))))</f>
        <v>0</v>
      </c>
      <c r="BB245" s="60" t="n">
        <f aca="false">AZ245*COS(BA245/3)</f>
        <v>0.595784626668918</v>
      </c>
      <c r="BC245" s="60" t="n">
        <f aca="false">IF(AV245&lt;0,BB245,AY245)-AQ245/3</f>
        <v>0.91158844983184</v>
      </c>
      <c r="BD245" s="60" t="n">
        <f aca="false">IFERROR((((BC245+AQ245)*BC245+AR245)*BC245+AS245)/((3*BC245+2*AQ245)*BC245+AR245),0)</f>
        <v>0</v>
      </c>
      <c r="BE245" s="60" t="n">
        <f aca="false">IF(ABS(BD245)&lt;0.1*ABS(BC245),BC245-BD245,BC245)</f>
        <v>0.91158844983184</v>
      </c>
      <c r="BF245" s="60" t="n">
        <f aca="false">IFERROR((((BE245+AQ245)*BE245+AR245)*BE245+AS245)/((3*BE245+2*AQ245)*BE245+AR245),0)</f>
        <v>0</v>
      </c>
      <c r="BG245" s="60" t="n">
        <f aca="false">IF(ABS(BF245)&lt;0.1*ABS(BE245),BE245-BF245,BE245)</f>
        <v>0.91158844983184</v>
      </c>
      <c r="BH245" s="60" t="n">
        <f aca="false">-AS245/BG245</f>
        <v>0.0118376711504565</v>
      </c>
      <c r="BI245" s="60" t="n">
        <f aca="false">(AR245-BH245)/BG245</f>
        <v>-0.00347297415783941</v>
      </c>
      <c r="BJ245" s="60" t="n">
        <f aca="false">BI245^2-4*BH245</f>
        <v>-0.0473386230523248</v>
      </c>
      <c r="BK245" s="60" t="n">
        <f aca="false">IF(BJ245&gt;=0,(BI245+IF(BI245&gt;=0,1,-1)*SQRT(BJ245))/2,0)</f>
        <v>0</v>
      </c>
      <c r="BL245" s="60" t="n">
        <f aca="false">IF(AND(BJ245&gt;=0,BK245&lt;&gt;0),MIN(BK245,BH245/BK245),-1)</f>
        <v>-1</v>
      </c>
      <c r="BM245" s="60" t="n">
        <f aca="false">AND(BJ245&gt;=0,BL245&gt;AP245,ABS(BG245-BL245)&gt;=0.00005*MAX(BG245,BL245))</f>
        <v>0</v>
      </c>
      <c r="BN245" s="60" t="n">
        <f aca="false">IF(BM245,IFERROR((((BL245+AQ245)*BL245+AR245)*BL245+AS245)/((3*BL245+2*AQ245)*BL245+AR245),0),0)</f>
        <v>0</v>
      </c>
      <c r="BO245" s="60" t="n">
        <f aca="false">IF(ABS(BN245)&lt;0.1*ABS(BL245),BL245-BN245,BL245)</f>
        <v>-1</v>
      </c>
      <c r="BP245" s="60" t="n">
        <f aca="false">IF(BM245,IFERROR((((BO245+AQ245)*BO245+AR245)*BO245+AS245)/((3*BO245+2*AQ245)*BO245+AR245),0),0)</f>
        <v>0</v>
      </c>
      <c r="BQ245" s="60" t="n">
        <f aca="false">IF(ABS(BP245)&lt;0.1*ABS(BO245),BO245-BP245,BO245)</f>
        <v>-1</v>
      </c>
      <c r="BR245" s="60" t="n">
        <f aca="false">IF(BM245,MAX(BG245,BQ245),BG245)</f>
        <v>0.91158844983184</v>
      </c>
      <c r="BS245" s="60" t="n">
        <f aca="false">IF(BM245,MIN(BG245,BQ245),-1)</f>
        <v>-1</v>
      </c>
      <c r="BT245" s="60" t="n">
        <f aca="false">CHOOSE($C$7,AO245/BR245,AO245/AP245*LN(1+AP245/BR245),AO245/(2*SQRT(2)*AP245)*LN((BR245+(1+SQRT(2))*AP245)/(BR245+(1-SQRT(2))*AP245)))</f>
        <v>0.218240791233887</v>
      </c>
      <c r="BU245" s="60" t="n">
        <f aca="false">BR245-1-LN(BR245-AP245)-BT245</f>
        <v>-0.107840271021729</v>
      </c>
      <c r="BV245" s="60" t="n">
        <f aca="false">IF(BM245,CHOOSE($C$7,AO245/BS245,AO245/AP245*LN(1+AP245/BS245),AO245/(2*SQRT(2)*AP245)*LN((BS245+(1+SQRT(2))*AP245)/(BS245+(1-SQRT(2))*AP245))),0)</f>
        <v>0</v>
      </c>
      <c r="BW245" s="60" t="n">
        <f aca="false">IF(BM245,BS245-1-LN(BS245-AP245)-BV245,0)</f>
        <v>0</v>
      </c>
      <c r="BX245" s="60" t="n">
        <f aca="false">AND(BM245,BW245&lt;BU245)</f>
        <v>0</v>
      </c>
      <c r="BY245" s="60" t="n">
        <f aca="false">IF(BX245,BS245,BR245)</f>
        <v>0.91158844983184</v>
      </c>
      <c r="BZ245" s="60" t="n">
        <f aca="false">IF(BX245,BV245,BT245)</f>
        <v>0.218240791233887</v>
      </c>
      <c r="CA245" s="60" t="n">
        <f aca="false">LN(BY245-AP245)</f>
        <v>-0.198812070380318</v>
      </c>
      <c r="CB245" s="60" t="n">
        <f aca="false">$E$27/AN245*(BY245-1)-CA245-BZ245*(2*AA245/AM245-$E$27/AN245)</f>
        <v>-0.107840271021729</v>
      </c>
      <c r="CC245" s="60" t="n">
        <f aca="false">$F$27/AN245*(BY245-1)-CA245-BZ245*(2*AB245/AM245-$F$27/AN245)</f>
        <v>0.198812070380318</v>
      </c>
      <c r="CD245" s="60" t="n">
        <f aca="false">$G$27/AN245*(BY245-1)-CA245-BZ245*(2*AC245/AM245-$G$27/AN245)</f>
        <v>0.198812070380318</v>
      </c>
      <c r="CE245" s="60" t="n">
        <f aca="false">$H$27/AN245*(BY245-1)-CA245-BZ245*(2*AD245/AM245-$H$27/AN245)</f>
        <v>0.198812070380318</v>
      </c>
      <c r="CF245" s="60" t="n">
        <f aca="false">$I$27/AN245*(BY245-1)-CA245-BZ245*(2*AE245/AM245-$I$27/AN245)</f>
        <v>0.198812070380318</v>
      </c>
      <c r="CG245" s="60" t="n">
        <f aca="false">$J$27/AN245*(BY245-1)-CA245-BZ245*(2*AF245/AM245-$J$27/AN245)</f>
        <v>0.198812070380318</v>
      </c>
      <c r="CH245" s="60" t="n">
        <f aca="false">$K$27/AN245*(BY245-1)-CA245-BZ245*(2*AG245/AM245-$K$27/AN245)</f>
        <v>0.198812070380318</v>
      </c>
      <c r="CI245" s="60" t="n">
        <f aca="false">$L$27/AN245*(BY245-1)-CA245-BZ245*(2*AH245/AM245-$L$27/AN245)</f>
        <v>0.198812070380318</v>
      </c>
      <c r="CJ245" s="60" t="n">
        <f aca="false">$M$27/AN245*(BY245-1)-CA245-BZ245*(2*AI245/AM245-$M$27/AN245)</f>
        <v>0.198812070380318</v>
      </c>
      <c r="CK245" s="60" t="n">
        <f aca="false">$N$27/AN245*(BY245-1)-CA245-BZ245*(2*AJ245/AM245-$N$27/AN245)</f>
        <v>0.198812070380318</v>
      </c>
      <c r="CL245" s="60" t="n">
        <f aca="false">$O$27/AN245*(BY245-1)-CA245-BZ245*(2*AK245/AM245-$O$27/AN245)</f>
        <v>0.198812070380318</v>
      </c>
      <c r="CM245" s="60" t="n">
        <f aca="false">$P$27/AN245*(BY245-1)-CA245-BZ245*(2*AL245/AM245-$P$27/AN245)</f>
        <v>0.198812070380318</v>
      </c>
      <c r="CN245" s="60" t="n">
        <f aca="false">AP245/BY245&gt;$C$22</f>
        <v>0</v>
      </c>
      <c r="CO245" s="60" t="n">
        <f aca="false">1-N245+SUMPRODUCT(B245:M245,CB245:CM245)-SUMPRODUCT(B245:M245,CB244:CM244)</f>
        <v>0</v>
      </c>
      <c r="CP245" s="60" t="n">
        <f aca="false">SUMXMY2(O245:Z245,$E$13:$P$13)</f>
        <v>0</v>
      </c>
    </row>
    <row r="246" customFormat="false" ht="15" hidden="false" customHeight="false" outlineLevel="0" collapsed="false">
      <c r="A246" s="59" t="n">
        <v>37</v>
      </c>
      <c r="B246" s="60" t="n">
        <f aca="false">$E$13*EXP(MAX(-700,MIN(700,$E$86-CB245)))</f>
        <v>1</v>
      </c>
      <c r="C246" s="60" t="n">
        <f aca="false">$F$13*EXP(MAX(-700,MIN(700,$F$86-CC245)))</f>
        <v>0</v>
      </c>
      <c r="D246" s="60" t="n">
        <f aca="false">$G$13*EXP(MAX(-700,MIN(700,$G$86-CD245)))</f>
        <v>0</v>
      </c>
      <c r="E246" s="60" t="n">
        <f aca="false">$H$13*EXP(MAX(-700,MIN(700,$H$86-CE245)))</f>
        <v>0</v>
      </c>
      <c r="F246" s="60" t="n">
        <f aca="false">$I$13*EXP(MAX(-700,MIN(700,$I$86-CF245)))</f>
        <v>0</v>
      </c>
      <c r="G246" s="60" t="n">
        <f aca="false">$J$13*EXP(MAX(-700,MIN(700,$J$86-CG245)))</f>
        <v>0</v>
      </c>
      <c r="H246" s="60" t="n">
        <f aca="false">$K$13*EXP(MAX(-700,MIN(700,$K$86-CH245)))</f>
        <v>0</v>
      </c>
      <c r="I246" s="60" t="n">
        <f aca="false">$L$13*EXP(MAX(-700,MIN(700,$L$86-CI245)))</f>
        <v>0</v>
      </c>
      <c r="J246" s="60" t="n">
        <f aca="false">$M$13*EXP(MAX(-700,MIN(700,$M$86-CJ245)))</f>
        <v>0</v>
      </c>
      <c r="K246" s="60" t="n">
        <f aca="false">$N$13*EXP(MAX(-700,MIN(700,$N$86-CK245)))</f>
        <v>0</v>
      </c>
      <c r="L246" s="60" t="n">
        <f aca="false">$O$13*EXP(MAX(-700,MIN(700,$O$86-CL245)))</f>
        <v>0</v>
      </c>
      <c r="M246" s="60" t="n">
        <f aca="false">$P$13*EXP(MAX(-700,MIN(700,$P$86-CM245)))</f>
        <v>0</v>
      </c>
      <c r="N246" s="60" t="n">
        <f aca="false">SUM(B246:M246)</f>
        <v>1</v>
      </c>
      <c r="O246" s="60" t="n">
        <f aca="false">B246/N246</f>
        <v>1</v>
      </c>
      <c r="P246" s="60" t="n">
        <f aca="false">C246/N246</f>
        <v>0</v>
      </c>
      <c r="Q246" s="60" t="n">
        <f aca="false">D246/N246</f>
        <v>0</v>
      </c>
      <c r="R246" s="60" t="n">
        <f aca="false">E246/N246</f>
        <v>0</v>
      </c>
      <c r="S246" s="60" t="n">
        <f aca="false">F246/N246</f>
        <v>0</v>
      </c>
      <c r="T246" s="60" t="n">
        <f aca="false">G246/N246</f>
        <v>0</v>
      </c>
      <c r="U246" s="60" t="n">
        <f aca="false">H246/N246</f>
        <v>0</v>
      </c>
      <c r="V246" s="60" t="n">
        <f aca="false">I246/N246</f>
        <v>0</v>
      </c>
      <c r="W246" s="60" t="n">
        <f aca="false">J246/N246</f>
        <v>0</v>
      </c>
      <c r="X246" s="60" t="n">
        <f aca="false">K246/N246</f>
        <v>0</v>
      </c>
      <c r="Y246" s="60" t="n">
        <f aca="false">L246/N246</f>
        <v>0</v>
      </c>
      <c r="Z246" s="60" t="n">
        <f aca="false">M246/N246</f>
        <v>0</v>
      </c>
      <c r="AA246" s="60" t="n">
        <f aca="false">$E$28*SUMPRODUCT($E$31:$P$31,O246:Z246,$E$28:$P$28)</f>
        <v>0.184416866619846</v>
      </c>
      <c r="AB246" s="60" t="n">
        <f aca="false">$F$28*SUMPRODUCT($E$32:$P$32,O246:Z246,$E$28:$P$28)</f>
        <v>0</v>
      </c>
      <c r="AC246" s="60" t="n">
        <f aca="false">$G$28*SUMPRODUCT($E$33:$P$33,O246:Z246,$E$28:$P$28)</f>
        <v>0</v>
      </c>
      <c r="AD246" s="60" t="n">
        <f aca="false">$H$28*SUMPRODUCT($E$34:$P$34,O246:Z246,$E$28:$P$28)</f>
        <v>0</v>
      </c>
      <c r="AE246" s="60" t="n">
        <f aca="false">$I$28*SUMPRODUCT($E$35:$P$35,O246:Z246,$E$28:$P$28)</f>
        <v>0</v>
      </c>
      <c r="AF246" s="60" t="n">
        <f aca="false">$J$28*SUMPRODUCT($E$36:$P$36,O246:Z246,$E$28:$P$28)</f>
        <v>0</v>
      </c>
      <c r="AG246" s="60" t="n">
        <f aca="false">$K$28*SUMPRODUCT($E$37:$P$37,O246:Z246,$E$28:$P$28)</f>
        <v>0</v>
      </c>
      <c r="AH246" s="60" t="n">
        <f aca="false">$L$28*SUMPRODUCT($E$38:$P$38,O246:Z246,$E$28:$P$28)</f>
        <v>0</v>
      </c>
      <c r="AI246" s="60" t="n">
        <f aca="false">$M$28*SUMPRODUCT($E$39:$P$39,O246:Z246,$E$28:$P$28)</f>
        <v>0</v>
      </c>
      <c r="AJ246" s="60" t="n">
        <f aca="false">$N$28*SUMPRODUCT($E$40:$P$40,O246:Z246,$E$28:$P$28)</f>
        <v>0</v>
      </c>
      <c r="AK246" s="60" t="n">
        <f aca="false">$O$28*SUMPRODUCT($E$41:$P$41,O246:Z246,$E$28:$P$28)</f>
        <v>0</v>
      </c>
      <c r="AL246" s="60" t="n">
        <f aca="false">$P$28*SUMPRODUCT($E$42:$P$42,O246:Z246,$E$28:$P$28)</f>
        <v>0</v>
      </c>
      <c r="AM246" s="60" t="n">
        <f aca="false">SUMPRODUCT(O246:Z246,AA246:AL246)</f>
        <v>0.184416866619846</v>
      </c>
      <c r="AN246" s="60" t="n">
        <f aca="false">SUMPRODUCT(O246:Z246,$E$27:$P$27)</f>
        <v>2.67389635063809E-005</v>
      </c>
      <c r="AO246" s="60" t="n">
        <f aca="false">AM246*$C$9/($C$10*$C$8)^2</f>
        <v>0.21776909410545</v>
      </c>
      <c r="AP246" s="60" t="n">
        <f aca="false">AN246*$C$9/($C$10*$C$8)</f>
        <v>0.0918845243259994</v>
      </c>
      <c r="AQ246" s="60" t="n">
        <f aca="false">CHOOSE($C$7,-(1+AP246),-1,-(1-AP246))</f>
        <v>-0.908115475674001</v>
      </c>
      <c r="AR246" s="60" t="n">
        <f aca="false">CHOOSE($C$7,AO246,AO246-AP246-AP246^2,AO246-3*AP246^2-2*AP246)</f>
        <v>0.00867174802160559</v>
      </c>
      <c r="AS246" s="60" t="n">
        <f aca="false">CHOOSE($C$7,-AO246*AP246,-AO246*AP246,-(AO246*AP246-AP246^2-AP246^3))</f>
        <v>-0.0107910842936637</v>
      </c>
      <c r="AT246" s="60" t="n">
        <f aca="false">AR246-AQ246^2/3</f>
        <v>-0.266219491031267</v>
      </c>
      <c r="AU246" s="60" t="n">
        <f aca="false">2*AQ246^3/27-AQ246*AR246/3+AS246</f>
        <v>-0.0636400988362784</v>
      </c>
      <c r="AV246" s="60" t="n">
        <f aca="false">AU246^2/4+AT246^3/27</f>
        <v>0.000313710901361829</v>
      </c>
      <c r="AW246" s="60" t="n">
        <f aca="false">-AU246/2-IF(AU246&gt;=0,1,-1)*SQRT(MAX(AV246,0))</f>
        <v>0.0495319352963236</v>
      </c>
      <c r="AX246" s="60" t="n">
        <f aca="false">SIGN(AW246)*ABS(AW246)^(1/3)</f>
        <v>0.367249967174439</v>
      </c>
      <c r="AY246" s="60" t="n">
        <f aca="false">IF(AX246=0,0,AX246-AT246/(3*AX246))</f>
        <v>0.60888329127384</v>
      </c>
      <c r="AZ246" s="60" t="n">
        <f aca="false">2*SQRT(MAX(-AT246,0)/3)</f>
        <v>0.595784626668918</v>
      </c>
      <c r="BA246" s="60" t="n">
        <f aca="false">ACOS(IF(AZ246=0,0,MAX(-1,MIN(1,3*AU246/(AT246*AZ246)))))</f>
        <v>0</v>
      </c>
      <c r="BB246" s="60" t="n">
        <f aca="false">AZ246*COS(BA246/3)</f>
        <v>0.595784626668918</v>
      </c>
      <c r="BC246" s="60" t="n">
        <f aca="false">IF(AV246&lt;0,BB246,AY246)-AQ246/3</f>
        <v>0.91158844983184</v>
      </c>
      <c r="BD246" s="60" t="n">
        <f aca="false">IFERROR((((BC246+AQ246)*BC246+AR246)*BC246+AS246)/((3*BC246+2*AQ246)*BC246+AR246),0)</f>
        <v>0</v>
      </c>
      <c r="BE246" s="60" t="n">
        <f aca="false">IF(ABS(BD246)&lt;0.1*ABS(BC246),BC246-BD246,BC246)</f>
        <v>0.91158844983184</v>
      </c>
      <c r="BF246" s="60" t="n">
        <f aca="false">IFERROR((((BE246+AQ246)*BE246+AR246)*BE246+AS246)/((3*BE246+2*AQ246)*BE246+AR246),0)</f>
        <v>0</v>
      </c>
      <c r="BG246" s="60" t="n">
        <f aca="false">IF(ABS(BF246)&lt;0.1*ABS(BE246),BE246-BF246,BE246)</f>
        <v>0.91158844983184</v>
      </c>
      <c r="BH246" s="60" t="n">
        <f aca="false">-AS246/BG246</f>
        <v>0.0118376711504565</v>
      </c>
      <c r="BI246" s="60" t="n">
        <f aca="false">(AR246-BH246)/BG246</f>
        <v>-0.00347297415783941</v>
      </c>
      <c r="BJ246" s="60" t="n">
        <f aca="false">BI246^2-4*BH246</f>
        <v>-0.0473386230523248</v>
      </c>
      <c r="BK246" s="60" t="n">
        <f aca="false">IF(BJ246&gt;=0,(BI246+IF(BI246&gt;=0,1,-1)*SQRT(BJ246))/2,0)</f>
        <v>0</v>
      </c>
      <c r="BL246" s="60" t="n">
        <f aca="false">IF(AND(BJ246&gt;=0,BK246&lt;&gt;0),MIN(BK246,BH246/BK246),-1)</f>
        <v>-1</v>
      </c>
      <c r="BM246" s="60" t="n">
        <f aca="false">AND(BJ246&gt;=0,BL246&gt;AP246,ABS(BG246-BL246)&gt;=0.00005*MAX(BG246,BL246))</f>
        <v>0</v>
      </c>
      <c r="BN246" s="60" t="n">
        <f aca="false">IF(BM246,IFERROR((((BL246+AQ246)*BL246+AR246)*BL246+AS246)/((3*BL246+2*AQ246)*BL246+AR246),0),0)</f>
        <v>0</v>
      </c>
      <c r="BO246" s="60" t="n">
        <f aca="false">IF(ABS(BN246)&lt;0.1*ABS(BL246),BL246-BN246,BL246)</f>
        <v>-1</v>
      </c>
      <c r="BP246" s="60" t="n">
        <f aca="false">IF(BM246,IFERROR((((BO246+AQ246)*BO246+AR246)*BO246+AS246)/((3*BO246+2*AQ246)*BO246+AR246),0),0)</f>
        <v>0</v>
      </c>
      <c r="BQ246" s="60" t="n">
        <f aca="false">IF(ABS(BP246)&lt;0.1*ABS(BO246),BO246-BP246,BO246)</f>
        <v>-1</v>
      </c>
      <c r="BR246" s="60" t="n">
        <f aca="false">IF(BM246,MAX(BG246,BQ246),BG246)</f>
        <v>0.91158844983184</v>
      </c>
      <c r="BS246" s="60" t="n">
        <f aca="false">IF(BM246,MIN(BG246,BQ246),-1)</f>
        <v>-1</v>
      </c>
      <c r="BT246" s="60" t="n">
        <f aca="false">CHOOSE($C$7,AO246/BR246,AO246/AP246*LN(1+AP246/BR246),AO246/(2*SQRT(2)*AP246)*LN((BR246+(1+SQRT(2))*AP246)/(BR246+(1-SQRT(2))*AP246)))</f>
        <v>0.218240791233887</v>
      </c>
      <c r="BU246" s="60" t="n">
        <f aca="false">BR246-1-LN(BR246-AP246)-BT246</f>
        <v>-0.107840271021729</v>
      </c>
      <c r="BV246" s="60" t="n">
        <f aca="false">IF(BM246,CHOOSE($C$7,AO246/BS246,AO246/AP246*LN(1+AP246/BS246),AO246/(2*SQRT(2)*AP246)*LN((BS246+(1+SQRT(2))*AP246)/(BS246+(1-SQRT(2))*AP246))),0)</f>
        <v>0</v>
      </c>
      <c r="BW246" s="60" t="n">
        <f aca="false">IF(BM246,BS246-1-LN(BS246-AP246)-BV246,0)</f>
        <v>0</v>
      </c>
      <c r="BX246" s="60" t="n">
        <f aca="false">AND(BM246,BW246&lt;BU246)</f>
        <v>0</v>
      </c>
      <c r="BY246" s="60" t="n">
        <f aca="false">IF(BX246,BS246,BR246)</f>
        <v>0.91158844983184</v>
      </c>
      <c r="BZ246" s="60" t="n">
        <f aca="false">IF(BX246,BV246,BT246)</f>
        <v>0.218240791233887</v>
      </c>
      <c r="CA246" s="60" t="n">
        <f aca="false">LN(BY246-AP246)</f>
        <v>-0.198812070380318</v>
      </c>
      <c r="CB246" s="60" t="n">
        <f aca="false">$E$27/AN246*(BY246-1)-CA246-BZ246*(2*AA246/AM246-$E$27/AN246)</f>
        <v>-0.107840271021729</v>
      </c>
      <c r="CC246" s="60" t="n">
        <f aca="false">$F$27/AN246*(BY246-1)-CA246-BZ246*(2*AB246/AM246-$F$27/AN246)</f>
        <v>0.198812070380318</v>
      </c>
      <c r="CD246" s="60" t="n">
        <f aca="false">$G$27/AN246*(BY246-1)-CA246-BZ246*(2*AC246/AM246-$G$27/AN246)</f>
        <v>0.198812070380318</v>
      </c>
      <c r="CE246" s="60" t="n">
        <f aca="false">$H$27/AN246*(BY246-1)-CA246-BZ246*(2*AD246/AM246-$H$27/AN246)</f>
        <v>0.198812070380318</v>
      </c>
      <c r="CF246" s="60" t="n">
        <f aca="false">$I$27/AN246*(BY246-1)-CA246-BZ246*(2*AE246/AM246-$I$27/AN246)</f>
        <v>0.198812070380318</v>
      </c>
      <c r="CG246" s="60" t="n">
        <f aca="false">$J$27/AN246*(BY246-1)-CA246-BZ246*(2*AF246/AM246-$J$27/AN246)</f>
        <v>0.198812070380318</v>
      </c>
      <c r="CH246" s="60" t="n">
        <f aca="false">$K$27/AN246*(BY246-1)-CA246-BZ246*(2*AG246/AM246-$K$27/AN246)</f>
        <v>0.198812070380318</v>
      </c>
      <c r="CI246" s="60" t="n">
        <f aca="false">$L$27/AN246*(BY246-1)-CA246-BZ246*(2*AH246/AM246-$L$27/AN246)</f>
        <v>0.198812070380318</v>
      </c>
      <c r="CJ246" s="60" t="n">
        <f aca="false">$M$27/AN246*(BY246-1)-CA246-BZ246*(2*AI246/AM246-$M$27/AN246)</f>
        <v>0.198812070380318</v>
      </c>
      <c r="CK246" s="60" t="n">
        <f aca="false">$N$27/AN246*(BY246-1)-CA246-BZ246*(2*AJ246/AM246-$N$27/AN246)</f>
        <v>0.198812070380318</v>
      </c>
      <c r="CL246" s="60" t="n">
        <f aca="false">$O$27/AN246*(BY246-1)-CA246-BZ246*(2*AK246/AM246-$O$27/AN246)</f>
        <v>0.198812070380318</v>
      </c>
      <c r="CM246" s="60" t="n">
        <f aca="false">$P$27/AN246*(BY246-1)-CA246-BZ246*(2*AL246/AM246-$P$27/AN246)</f>
        <v>0.198812070380318</v>
      </c>
      <c r="CN246" s="60" t="n">
        <f aca="false">AP246/BY246&gt;$C$22</f>
        <v>0</v>
      </c>
      <c r="CO246" s="60" t="n">
        <f aca="false">1-N246+SUMPRODUCT(B246:M246,CB246:CM246)-SUMPRODUCT(B246:M246,CB245:CM245)</f>
        <v>0</v>
      </c>
      <c r="CP246" s="60" t="n">
        <f aca="false">SUMXMY2(O246:Z246,$E$13:$P$13)</f>
        <v>0</v>
      </c>
    </row>
    <row r="247" customFormat="false" ht="15" hidden="false" customHeight="false" outlineLevel="0" collapsed="false">
      <c r="A247" s="59" t="n">
        <v>38</v>
      </c>
      <c r="B247" s="60" t="n">
        <f aca="false">$E$13*EXP(MAX(-700,MIN(700,$E$86-CB246)))</f>
        <v>1</v>
      </c>
      <c r="C247" s="60" t="n">
        <f aca="false">$F$13*EXP(MAX(-700,MIN(700,$F$86-CC246)))</f>
        <v>0</v>
      </c>
      <c r="D247" s="60" t="n">
        <f aca="false">$G$13*EXP(MAX(-700,MIN(700,$G$86-CD246)))</f>
        <v>0</v>
      </c>
      <c r="E247" s="60" t="n">
        <f aca="false">$H$13*EXP(MAX(-700,MIN(700,$H$86-CE246)))</f>
        <v>0</v>
      </c>
      <c r="F247" s="60" t="n">
        <f aca="false">$I$13*EXP(MAX(-700,MIN(700,$I$86-CF246)))</f>
        <v>0</v>
      </c>
      <c r="G247" s="60" t="n">
        <f aca="false">$J$13*EXP(MAX(-700,MIN(700,$J$86-CG246)))</f>
        <v>0</v>
      </c>
      <c r="H247" s="60" t="n">
        <f aca="false">$K$13*EXP(MAX(-700,MIN(700,$K$86-CH246)))</f>
        <v>0</v>
      </c>
      <c r="I247" s="60" t="n">
        <f aca="false">$L$13*EXP(MAX(-700,MIN(700,$L$86-CI246)))</f>
        <v>0</v>
      </c>
      <c r="J247" s="60" t="n">
        <f aca="false">$M$13*EXP(MAX(-700,MIN(700,$M$86-CJ246)))</f>
        <v>0</v>
      </c>
      <c r="K247" s="60" t="n">
        <f aca="false">$N$13*EXP(MAX(-700,MIN(700,$N$86-CK246)))</f>
        <v>0</v>
      </c>
      <c r="L247" s="60" t="n">
        <f aca="false">$O$13*EXP(MAX(-700,MIN(700,$O$86-CL246)))</f>
        <v>0</v>
      </c>
      <c r="M247" s="60" t="n">
        <f aca="false">$P$13*EXP(MAX(-700,MIN(700,$P$86-CM246)))</f>
        <v>0</v>
      </c>
      <c r="N247" s="60" t="n">
        <f aca="false">SUM(B247:M247)</f>
        <v>1</v>
      </c>
      <c r="O247" s="60" t="n">
        <f aca="false">B247/N247</f>
        <v>1</v>
      </c>
      <c r="P247" s="60" t="n">
        <f aca="false">C247/N247</f>
        <v>0</v>
      </c>
      <c r="Q247" s="60" t="n">
        <f aca="false">D247/N247</f>
        <v>0</v>
      </c>
      <c r="R247" s="60" t="n">
        <f aca="false">E247/N247</f>
        <v>0</v>
      </c>
      <c r="S247" s="60" t="n">
        <f aca="false">F247/N247</f>
        <v>0</v>
      </c>
      <c r="T247" s="60" t="n">
        <f aca="false">G247/N247</f>
        <v>0</v>
      </c>
      <c r="U247" s="60" t="n">
        <f aca="false">H247/N247</f>
        <v>0</v>
      </c>
      <c r="V247" s="60" t="n">
        <f aca="false">I247/N247</f>
        <v>0</v>
      </c>
      <c r="W247" s="60" t="n">
        <f aca="false">J247/N247</f>
        <v>0</v>
      </c>
      <c r="X247" s="60" t="n">
        <f aca="false">K247/N247</f>
        <v>0</v>
      </c>
      <c r="Y247" s="60" t="n">
        <f aca="false">L247/N247</f>
        <v>0</v>
      </c>
      <c r="Z247" s="60" t="n">
        <f aca="false">M247/N247</f>
        <v>0</v>
      </c>
      <c r="AA247" s="60" t="n">
        <f aca="false">$E$28*SUMPRODUCT($E$31:$P$31,O247:Z247,$E$28:$P$28)</f>
        <v>0.184416866619846</v>
      </c>
      <c r="AB247" s="60" t="n">
        <f aca="false">$F$28*SUMPRODUCT($E$32:$P$32,O247:Z247,$E$28:$P$28)</f>
        <v>0</v>
      </c>
      <c r="AC247" s="60" t="n">
        <f aca="false">$G$28*SUMPRODUCT($E$33:$P$33,O247:Z247,$E$28:$P$28)</f>
        <v>0</v>
      </c>
      <c r="AD247" s="60" t="n">
        <f aca="false">$H$28*SUMPRODUCT($E$34:$P$34,O247:Z247,$E$28:$P$28)</f>
        <v>0</v>
      </c>
      <c r="AE247" s="60" t="n">
        <f aca="false">$I$28*SUMPRODUCT($E$35:$P$35,O247:Z247,$E$28:$P$28)</f>
        <v>0</v>
      </c>
      <c r="AF247" s="60" t="n">
        <f aca="false">$J$28*SUMPRODUCT($E$36:$P$36,O247:Z247,$E$28:$P$28)</f>
        <v>0</v>
      </c>
      <c r="AG247" s="60" t="n">
        <f aca="false">$K$28*SUMPRODUCT($E$37:$P$37,O247:Z247,$E$28:$P$28)</f>
        <v>0</v>
      </c>
      <c r="AH247" s="60" t="n">
        <f aca="false">$L$28*SUMPRODUCT($E$38:$P$38,O247:Z247,$E$28:$P$28)</f>
        <v>0</v>
      </c>
      <c r="AI247" s="60" t="n">
        <f aca="false">$M$28*SUMPRODUCT($E$39:$P$39,O247:Z247,$E$28:$P$28)</f>
        <v>0</v>
      </c>
      <c r="AJ247" s="60" t="n">
        <f aca="false">$N$28*SUMPRODUCT($E$40:$P$40,O247:Z247,$E$28:$P$28)</f>
        <v>0</v>
      </c>
      <c r="AK247" s="60" t="n">
        <f aca="false">$O$28*SUMPRODUCT($E$41:$P$41,O247:Z247,$E$28:$P$28)</f>
        <v>0</v>
      </c>
      <c r="AL247" s="60" t="n">
        <f aca="false">$P$28*SUMPRODUCT($E$42:$P$42,O247:Z247,$E$28:$P$28)</f>
        <v>0</v>
      </c>
      <c r="AM247" s="60" t="n">
        <f aca="false">SUMPRODUCT(O247:Z247,AA247:AL247)</f>
        <v>0.184416866619846</v>
      </c>
      <c r="AN247" s="60" t="n">
        <f aca="false">SUMPRODUCT(O247:Z247,$E$27:$P$27)</f>
        <v>2.67389635063809E-005</v>
      </c>
      <c r="AO247" s="60" t="n">
        <f aca="false">AM247*$C$9/($C$10*$C$8)^2</f>
        <v>0.21776909410545</v>
      </c>
      <c r="AP247" s="60" t="n">
        <f aca="false">AN247*$C$9/($C$10*$C$8)</f>
        <v>0.0918845243259994</v>
      </c>
      <c r="AQ247" s="60" t="n">
        <f aca="false">CHOOSE($C$7,-(1+AP247),-1,-(1-AP247))</f>
        <v>-0.908115475674001</v>
      </c>
      <c r="AR247" s="60" t="n">
        <f aca="false">CHOOSE($C$7,AO247,AO247-AP247-AP247^2,AO247-3*AP247^2-2*AP247)</f>
        <v>0.00867174802160559</v>
      </c>
      <c r="AS247" s="60" t="n">
        <f aca="false">CHOOSE($C$7,-AO247*AP247,-AO247*AP247,-(AO247*AP247-AP247^2-AP247^3))</f>
        <v>-0.0107910842936637</v>
      </c>
      <c r="AT247" s="60" t="n">
        <f aca="false">AR247-AQ247^2/3</f>
        <v>-0.266219491031267</v>
      </c>
      <c r="AU247" s="60" t="n">
        <f aca="false">2*AQ247^3/27-AQ247*AR247/3+AS247</f>
        <v>-0.0636400988362784</v>
      </c>
      <c r="AV247" s="60" t="n">
        <f aca="false">AU247^2/4+AT247^3/27</f>
        <v>0.000313710901361829</v>
      </c>
      <c r="AW247" s="60" t="n">
        <f aca="false">-AU247/2-IF(AU247&gt;=0,1,-1)*SQRT(MAX(AV247,0))</f>
        <v>0.0495319352963236</v>
      </c>
      <c r="AX247" s="60" t="n">
        <f aca="false">SIGN(AW247)*ABS(AW247)^(1/3)</f>
        <v>0.367249967174439</v>
      </c>
      <c r="AY247" s="60" t="n">
        <f aca="false">IF(AX247=0,0,AX247-AT247/(3*AX247))</f>
        <v>0.60888329127384</v>
      </c>
      <c r="AZ247" s="60" t="n">
        <f aca="false">2*SQRT(MAX(-AT247,0)/3)</f>
        <v>0.595784626668918</v>
      </c>
      <c r="BA247" s="60" t="n">
        <f aca="false">ACOS(IF(AZ247=0,0,MAX(-1,MIN(1,3*AU247/(AT247*AZ247)))))</f>
        <v>0</v>
      </c>
      <c r="BB247" s="60" t="n">
        <f aca="false">AZ247*COS(BA247/3)</f>
        <v>0.595784626668918</v>
      </c>
      <c r="BC247" s="60" t="n">
        <f aca="false">IF(AV247&lt;0,BB247,AY247)-AQ247/3</f>
        <v>0.91158844983184</v>
      </c>
      <c r="BD247" s="60" t="n">
        <f aca="false">IFERROR((((BC247+AQ247)*BC247+AR247)*BC247+AS247)/((3*BC247+2*AQ247)*BC247+AR247),0)</f>
        <v>0</v>
      </c>
      <c r="BE247" s="60" t="n">
        <f aca="false">IF(ABS(BD247)&lt;0.1*ABS(BC247),BC247-BD247,BC247)</f>
        <v>0.91158844983184</v>
      </c>
      <c r="BF247" s="60" t="n">
        <f aca="false">IFERROR((((BE247+AQ247)*BE247+AR247)*BE247+AS247)/((3*BE247+2*AQ247)*BE247+AR247),0)</f>
        <v>0</v>
      </c>
      <c r="BG247" s="60" t="n">
        <f aca="false">IF(ABS(BF247)&lt;0.1*ABS(BE247),BE247-BF247,BE247)</f>
        <v>0.91158844983184</v>
      </c>
      <c r="BH247" s="60" t="n">
        <f aca="false">-AS247/BG247</f>
        <v>0.0118376711504565</v>
      </c>
      <c r="BI247" s="60" t="n">
        <f aca="false">(AR247-BH247)/BG247</f>
        <v>-0.00347297415783941</v>
      </c>
      <c r="BJ247" s="60" t="n">
        <f aca="false">BI247^2-4*BH247</f>
        <v>-0.0473386230523248</v>
      </c>
      <c r="BK247" s="60" t="n">
        <f aca="false">IF(BJ247&gt;=0,(BI247+IF(BI247&gt;=0,1,-1)*SQRT(BJ247))/2,0)</f>
        <v>0</v>
      </c>
      <c r="BL247" s="60" t="n">
        <f aca="false">IF(AND(BJ247&gt;=0,BK247&lt;&gt;0),MIN(BK247,BH247/BK247),-1)</f>
        <v>-1</v>
      </c>
      <c r="BM247" s="60" t="n">
        <f aca="false">AND(BJ247&gt;=0,BL247&gt;AP247,ABS(BG247-BL247)&gt;=0.00005*MAX(BG247,BL247))</f>
        <v>0</v>
      </c>
      <c r="BN247" s="60" t="n">
        <f aca="false">IF(BM247,IFERROR((((BL247+AQ247)*BL247+AR247)*BL247+AS247)/((3*BL247+2*AQ247)*BL247+AR247),0),0)</f>
        <v>0</v>
      </c>
      <c r="BO247" s="60" t="n">
        <f aca="false">IF(ABS(BN247)&lt;0.1*ABS(BL247),BL247-BN247,BL247)</f>
        <v>-1</v>
      </c>
      <c r="BP247" s="60" t="n">
        <f aca="false">IF(BM247,IFERROR((((BO247+AQ247)*BO247+AR247)*BO247+AS247)/((3*BO247+2*AQ247)*BO247+AR247),0),0)</f>
        <v>0</v>
      </c>
      <c r="BQ247" s="60" t="n">
        <f aca="false">IF(ABS(BP247)&lt;0.1*ABS(BO247),BO247-BP247,BO247)</f>
        <v>-1</v>
      </c>
      <c r="BR247" s="60" t="n">
        <f aca="false">IF(BM247,MAX(BG247,BQ247),BG247)</f>
        <v>0.91158844983184</v>
      </c>
      <c r="BS247" s="60" t="n">
        <f aca="false">IF(BM247,MIN(BG247,BQ247),-1)</f>
        <v>-1</v>
      </c>
      <c r="BT247" s="60" t="n">
        <f aca="false">CHOOSE($C$7,AO247/BR247,AO247/AP247*LN(1+AP247/BR247),AO247/(2*SQRT(2)*AP247)*LN((BR247+(1+SQRT(2))*AP247)/(BR247+(1-SQRT(2))*AP247)))</f>
        <v>0.218240791233887</v>
      </c>
      <c r="BU247" s="60" t="n">
        <f aca="false">BR247-1-LN(BR247-AP247)-BT247</f>
        <v>-0.107840271021729</v>
      </c>
      <c r="BV247" s="60" t="n">
        <f aca="false">IF(BM247,CHOOSE($C$7,AO247/BS247,AO247/AP247*LN(1+AP247/BS247),AO247/(2*SQRT(2)*AP247)*LN((BS247+(1+SQRT(2))*AP247)/(BS247+(1-SQRT(2))*AP247))),0)</f>
        <v>0</v>
      </c>
      <c r="BW247" s="60" t="n">
        <f aca="false">IF(BM247,BS247-1-LN(BS247-AP247)-BV247,0)</f>
        <v>0</v>
      </c>
      <c r="BX247" s="60" t="n">
        <f aca="false">AND(BM247,BW247&lt;BU247)</f>
        <v>0</v>
      </c>
      <c r="BY247" s="60" t="n">
        <f aca="false">IF(BX247,BS247,BR247)</f>
        <v>0.91158844983184</v>
      </c>
      <c r="BZ247" s="60" t="n">
        <f aca="false">IF(BX247,BV247,BT247)</f>
        <v>0.218240791233887</v>
      </c>
      <c r="CA247" s="60" t="n">
        <f aca="false">LN(BY247-AP247)</f>
        <v>-0.198812070380318</v>
      </c>
      <c r="CB247" s="60" t="n">
        <f aca="false">$E$27/AN247*(BY247-1)-CA247-BZ247*(2*AA247/AM247-$E$27/AN247)</f>
        <v>-0.107840271021729</v>
      </c>
      <c r="CC247" s="60" t="n">
        <f aca="false">$F$27/AN247*(BY247-1)-CA247-BZ247*(2*AB247/AM247-$F$27/AN247)</f>
        <v>0.198812070380318</v>
      </c>
      <c r="CD247" s="60" t="n">
        <f aca="false">$G$27/AN247*(BY247-1)-CA247-BZ247*(2*AC247/AM247-$G$27/AN247)</f>
        <v>0.198812070380318</v>
      </c>
      <c r="CE247" s="60" t="n">
        <f aca="false">$H$27/AN247*(BY247-1)-CA247-BZ247*(2*AD247/AM247-$H$27/AN247)</f>
        <v>0.198812070380318</v>
      </c>
      <c r="CF247" s="60" t="n">
        <f aca="false">$I$27/AN247*(BY247-1)-CA247-BZ247*(2*AE247/AM247-$I$27/AN247)</f>
        <v>0.198812070380318</v>
      </c>
      <c r="CG247" s="60" t="n">
        <f aca="false">$J$27/AN247*(BY247-1)-CA247-BZ247*(2*AF247/AM247-$J$27/AN247)</f>
        <v>0.198812070380318</v>
      </c>
      <c r="CH247" s="60" t="n">
        <f aca="false">$K$27/AN247*(BY247-1)-CA247-BZ247*(2*AG247/AM247-$K$27/AN247)</f>
        <v>0.198812070380318</v>
      </c>
      <c r="CI247" s="60" t="n">
        <f aca="false">$L$27/AN247*(BY247-1)-CA247-BZ247*(2*AH247/AM247-$L$27/AN247)</f>
        <v>0.198812070380318</v>
      </c>
      <c r="CJ247" s="60" t="n">
        <f aca="false">$M$27/AN247*(BY247-1)-CA247-BZ247*(2*AI247/AM247-$M$27/AN247)</f>
        <v>0.198812070380318</v>
      </c>
      <c r="CK247" s="60" t="n">
        <f aca="false">$N$27/AN247*(BY247-1)-CA247-BZ247*(2*AJ247/AM247-$N$27/AN247)</f>
        <v>0.198812070380318</v>
      </c>
      <c r="CL247" s="60" t="n">
        <f aca="false">$O$27/AN247*(BY247-1)-CA247-BZ247*(2*AK247/AM247-$O$27/AN247)</f>
        <v>0.198812070380318</v>
      </c>
      <c r="CM247" s="60" t="n">
        <f aca="false">$P$27/AN247*(BY247-1)-CA247-BZ247*(2*AL247/AM247-$P$27/AN247)</f>
        <v>0.198812070380318</v>
      </c>
      <c r="CN247" s="60" t="n">
        <f aca="false">AP247/BY247&gt;$C$22</f>
        <v>0</v>
      </c>
      <c r="CO247" s="60" t="n">
        <f aca="false">1-N247+SUMPRODUCT(B247:M247,CB247:CM247)-SUMPRODUCT(B247:M247,CB246:CM246)</f>
        <v>0</v>
      </c>
      <c r="CP247" s="60" t="n">
        <f aca="false">SUMXMY2(O247:Z247,$E$13:$P$13)</f>
        <v>0</v>
      </c>
    </row>
    <row r="248" customFormat="false" ht="15" hidden="false" customHeight="false" outlineLevel="0" collapsed="false">
      <c r="A248" s="59" t="n">
        <v>39</v>
      </c>
      <c r="B248" s="60" t="n">
        <f aca="false">$E$13*EXP(MAX(-700,MIN(700,$E$86-CB247)))</f>
        <v>1</v>
      </c>
      <c r="C248" s="60" t="n">
        <f aca="false">$F$13*EXP(MAX(-700,MIN(700,$F$86-CC247)))</f>
        <v>0</v>
      </c>
      <c r="D248" s="60" t="n">
        <f aca="false">$G$13*EXP(MAX(-700,MIN(700,$G$86-CD247)))</f>
        <v>0</v>
      </c>
      <c r="E248" s="60" t="n">
        <f aca="false">$H$13*EXP(MAX(-700,MIN(700,$H$86-CE247)))</f>
        <v>0</v>
      </c>
      <c r="F248" s="60" t="n">
        <f aca="false">$I$13*EXP(MAX(-700,MIN(700,$I$86-CF247)))</f>
        <v>0</v>
      </c>
      <c r="G248" s="60" t="n">
        <f aca="false">$J$13*EXP(MAX(-700,MIN(700,$J$86-CG247)))</f>
        <v>0</v>
      </c>
      <c r="H248" s="60" t="n">
        <f aca="false">$K$13*EXP(MAX(-700,MIN(700,$K$86-CH247)))</f>
        <v>0</v>
      </c>
      <c r="I248" s="60" t="n">
        <f aca="false">$L$13*EXP(MAX(-700,MIN(700,$L$86-CI247)))</f>
        <v>0</v>
      </c>
      <c r="J248" s="60" t="n">
        <f aca="false">$M$13*EXP(MAX(-700,MIN(700,$M$86-CJ247)))</f>
        <v>0</v>
      </c>
      <c r="K248" s="60" t="n">
        <f aca="false">$N$13*EXP(MAX(-700,MIN(700,$N$86-CK247)))</f>
        <v>0</v>
      </c>
      <c r="L248" s="60" t="n">
        <f aca="false">$O$13*EXP(MAX(-700,MIN(700,$O$86-CL247)))</f>
        <v>0</v>
      </c>
      <c r="M248" s="60" t="n">
        <f aca="false">$P$13*EXP(MAX(-700,MIN(700,$P$86-CM247)))</f>
        <v>0</v>
      </c>
      <c r="N248" s="60" t="n">
        <f aca="false">SUM(B248:M248)</f>
        <v>1</v>
      </c>
      <c r="O248" s="60" t="n">
        <f aca="false">B248/N248</f>
        <v>1</v>
      </c>
      <c r="P248" s="60" t="n">
        <f aca="false">C248/N248</f>
        <v>0</v>
      </c>
      <c r="Q248" s="60" t="n">
        <f aca="false">D248/N248</f>
        <v>0</v>
      </c>
      <c r="R248" s="60" t="n">
        <f aca="false">E248/N248</f>
        <v>0</v>
      </c>
      <c r="S248" s="60" t="n">
        <f aca="false">F248/N248</f>
        <v>0</v>
      </c>
      <c r="T248" s="60" t="n">
        <f aca="false">G248/N248</f>
        <v>0</v>
      </c>
      <c r="U248" s="60" t="n">
        <f aca="false">H248/N248</f>
        <v>0</v>
      </c>
      <c r="V248" s="60" t="n">
        <f aca="false">I248/N248</f>
        <v>0</v>
      </c>
      <c r="W248" s="60" t="n">
        <f aca="false">J248/N248</f>
        <v>0</v>
      </c>
      <c r="X248" s="60" t="n">
        <f aca="false">K248/N248</f>
        <v>0</v>
      </c>
      <c r="Y248" s="60" t="n">
        <f aca="false">L248/N248</f>
        <v>0</v>
      </c>
      <c r="Z248" s="60" t="n">
        <f aca="false">M248/N248</f>
        <v>0</v>
      </c>
      <c r="AA248" s="60" t="n">
        <f aca="false">$E$28*SUMPRODUCT($E$31:$P$31,O248:Z248,$E$28:$P$28)</f>
        <v>0.184416866619846</v>
      </c>
      <c r="AB248" s="60" t="n">
        <f aca="false">$F$28*SUMPRODUCT($E$32:$P$32,O248:Z248,$E$28:$P$28)</f>
        <v>0</v>
      </c>
      <c r="AC248" s="60" t="n">
        <f aca="false">$G$28*SUMPRODUCT($E$33:$P$33,O248:Z248,$E$28:$P$28)</f>
        <v>0</v>
      </c>
      <c r="AD248" s="60" t="n">
        <f aca="false">$H$28*SUMPRODUCT($E$34:$P$34,O248:Z248,$E$28:$P$28)</f>
        <v>0</v>
      </c>
      <c r="AE248" s="60" t="n">
        <f aca="false">$I$28*SUMPRODUCT($E$35:$P$35,O248:Z248,$E$28:$P$28)</f>
        <v>0</v>
      </c>
      <c r="AF248" s="60" t="n">
        <f aca="false">$J$28*SUMPRODUCT($E$36:$P$36,O248:Z248,$E$28:$P$28)</f>
        <v>0</v>
      </c>
      <c r="AG248" s="60" t="n">
        <f aca="false">$K$28*SUMPRODUCT($E$37:$P$37,O248:Z248,$E$28:$P$28)</f>
        <v>0</v>
      </c>
      <c r="AH248" s="60" t="n">
        <f aca="false">$L$28*SUMPRODUCT($E$38:$P$38,O248:Z248,$E$28:$P$28)</f>
        <v>0</v>
      </c>
      <c r="AI248" s="60" t="n">
        <f aca="false">$M$28*SUMPRODUCT($E$39:$P$39,O248:Z248,$E$28:$P$28)</f>
        <v>0</v>
      </c>
      <c r="AJ248" s="60" t="n">
        <f aca="false">$N$28*SUMPRODUCT($E$40:$P$40,O248:Z248,$E$28:$P$28)</f>
        <v>0</v>
      </c>
      <c r="AK248" s="60" t="n">
        <f aca="false">$O$28*SUMPRODUCT($E$41:$P$41,O248:Z248,$E$28:$P$28)</f>
        <v>0</v>
      </c>
      <c r="AL248" s="60" t="n">
        <f aca="false">$P$28*SUMPRODUCT($E$42:$P$42,O248:Z248,$E$28:$P$28)</f>
        <v>0</v>
      </c>
      <c r="AM248" s="60" t="n">
        <f aca="false">SUMPRODUCT(O248:Z248,AA248:AL248)</f>
        <v>0.184416866619846</v>
      </c>
      <c r="AN248" s="60" t="n">
        <f aca="false">SUMPRODUCT(O248:Z248,$E$27:$P$27)</f>
        <v>2.67389635063809E-005</v>
      </c>
      <c r="AO248" s="60" t="n">
        <f aca="false">AM248*$C$9/($C$10*$C$8)^2</f>
        <v>0.21776909410545</v>
      </c>
      <c r="AP248" s="60" t="n">
        <f aca="false">AN248*$C$9/($C$10*$C$8)</f>
        <v>0.0918845243259994</v>
      </c>
      <c r="AQ248" s="60" t="n">
        <f aca="false">CHOOSE($C$7,-(1+AP248),-1,-(1-AP248))</f>
        <v>-0.908115475674001</v>
      </c>
      <c r="AR248" s="60" t="n">
        <f aca="false">CHOOSE($C$7,AO248,AO248-AP248-AP248^2,AO248-3*AP248^2-2*AP248)</f>
        <v>0.00867174802160559</v>
      </c>
      <c r="AS248" s="60" t="n">
        <f aca="false">CHOOSE($C$7,-AO248*AP248,-AO248*AP248,-(AO248*AP248-AP248^2-AP248^3))</f>
        <v>-0.0107910842936637</v>
      </c>
      <c r="AT248" s="60" t="n">
        <f aca="false">AR248-AQ248^2/3</f>
        <v>-0.266219491031267</v>
      </c>
      <c r="AU248" s="60" t="n">
        <f aca="false">2*AQ248^3/27-AQ248*AR248/3+AS248</f>
        <v>-0.0636400988362784</v>
      </c>
      <c r="AV248" s="60" t="n">
        <f aca="false">AU248^2/4+AT248^3/27</f>
        <v>0.000313710901361829</v>
      </c>
      <c r="AW248" s="60" t="n">
        <f aca="false">-AU248/2-IF(AU248&gt;=0,1,-1)*SQRT(MAX(AV248,0))</f>
        <v>0.0495319352963236</v>
      </c>
      <c r="AX248" s="60" t="n">
        <f aca="false">SIGN(AW248)*ABS(AW248)^(1/3)</f>
        <v>0.367249967174439</v>
      </c>
      <c r="AY248" s="60" t="n">
        <f aca="false">IF(AX248=0,0,AX248-AT248/(3*AX248))</f>
        <v>0.60888329127384</v>
      </c>
      <c r="AZ248" s="60" t="n">
        <f aca="false">2*SQRT(MAX(-AT248,0)/3)</f>
        <v>0.595784626668918</v>
      </c>
      <c r="BA248" s="60" t="n">
        <f aca="false">ACOS(IF(AZ248=0,0,MAX(-1,MIN(1,3*AU248/(AT248*AZ248)))))</f>
        <v>0</v>
      </c>
      <c r="BB248" s="60" t="n">
        <f aca="false">AZ248*COS(BA248/3)</f>
        <v>0.595784626668918</v>
      </c>
      <c r="BC248" s="60" t="n">
        <f aca="false">IF(AV248&lt;0,BB248,AY248)-AQ248/3</f>
        <v>0.91158844983184</v>
      </c>
      <c r="BD248" s="60" t="n">
        <f aca="false">IFERROR((((BC248+AQ248)*BC248+AR248)*BC248+AS248)/((3*BC248+2*AQ248)*BC248+AR248),0)</f>
        <v>0</v>
      </c>
      <c r="BE248" s="60" t="n">
        <f aca="false">IF(ABS(BD248)&lt;0.1*ABS(BC248),BC248-BD248,BC248)</f>
        <v>0.91158844983184</v>
      </c>
      <c r="BF248" s="60" t="n">
        <f aca="false">IFERROR((((BE248+AQ248)*BE248+AR248)*BE248+AS248)/((3*BE248+2*AQ248)*BE248+AR248),0)</f>
        <v>0</v>
      </c>
      <c r="BG248" s="60" t="n">
        <f aca="false">IF(ABS(BF248)&lt;0.1*ABS(BE248),BE248-BF248,BE248)</f>
        <v>0.91158844983184</v>
      </c>
      <c r="BH248" s="60" t="n">
        <f aca="false">-AS248/BG248</f>
        <v>0.0118376711504565</v>
      </c>
      <c r="BI248" s="60" t="n">
        <f aca="false">(AR248-BH248)/BG248</f>
        <v>-0.00347297415783941</v>
      </c>
      <c r="BJ248" s="60" t="n">
        <f aca="false">BI248^2-4*BH248</f>
        <v>-0.0473386230523248</v>
      </c>
      <c r="BK248" s="60" t="n">
        <f aca="false">IF(BJ248&gt;=0,(BI248+IF(BI248&gt;=0,1,-1)*SQRT(BJ248))/2,0)</f>
        <v>0</v>
      </c>
      <c r="BL248" s="60" t="n">
        <f aca="false">IF(AND(BJ248&gt;=0,BK248&lt;&gt;0),MIN(BK248,BH248/BK248),-1)</f>
        <v>-1</v>
      </c>
      <c r="BM248" s="60" t="n">
        <f aca="false">AND(BJ248&gt;=0,BL248&gt;AP248,ABS(BG248-BL248)&gt;=0.00005*MAX(BG248,BL248))</f>
        <v>0</v>
      </c>
      <c r="BN248" s="60" t="n">
        <f aca="false">IF(BM248,IFERROR((((BL248+AQ248)*BL248+AR248)*BL248+AS248)/((3*BL248+2*AQ248)*BL248+AR248),0),0)</f>
        <v>0</v>
      </c>
      <c r="BO248" s="60" t="n">
        <f aca="false">IF(ABS(BN248)&lt;0.1*ABS(BL248),BL248-BN248,BL248)</f>
        <v>-1</v>
      </c>
      <c r="BP248" s="60" t="n">
        <f aca="false">IF(BM248,IFERROR((((BO248+AQ248)*BO248+AR248)*BO248+AS248)/((3*BO248+2*AQ248)*BO248+AR248),0),0)</f>
        <v>0</v>
      </c>
      <c r="BQ248" s="60" t="n">
        <f aca="false">IF(ABS(BP248)&lt;0.1*ABS(BO248),BO248-BP248,BO248)</f>
        <v>-1</v>
      </c>
      <c r="BR248" s="60" t="n">
        <f aca="false">IF(BM248,MAX(BG248,BQ248),BG248)</f>
        <v>0.91158844983184</v>
      </c>
      <c r="BS248" s="60" t="n">
        <f aca="false">IF(BM248,MIN(BG248,BQ248),-1)</f>
        <v>-1</v>
      </c>
      <c r="BT248" s="60" t="n">
        <f aca="false">CHOOSE($C$7,AO248/BR248,AO248/AP248*LN(1+AP248/BR248),AO248/(2*SQRT(2)*AP248)*LN((BR248+(1+SQRT(2))*AP248)/(BR248+(1-SQRT(2))*AP248)))</f>
        <v>0.218240791233887</v>
      </c>
      <c r="BU248" s="60" t="n">
        <f aca="false">BR248-1-LN(BR248-AP248)-BT248</f>
        <v>-0.107840271021729</v>
      </c>
      <c r="BV248" s="60" t="n">
        <f aca="false">IF(BM248,CHOOSE($C$7,AO248/BS248,AO248/AP248*LN(1+AP248/BS248),AO248/(2*SQRT(2)*AP248)*LN((BS248+(1+SQRT(2))*AP248)/(BS248+(1-SQRT(2))*AP248))),0)</f>
        <v>0</v>
      </c>
      <c r="BW248" s="60" t="n">
        <f aca="false">IF(BM248,BS248-1-LN(BS248-AP248)-BV248,0)</f>
        <v>0</v>
      </c>
      <c r="BX248" s="60" t="n">
        <f aca="false">AND(BM248,BW248&lt;BU248)</f>
        <v>0</v>
      </c>
      <c r="BY248" s="60" t="n">
        <f aca="false">IF(BX248,BS248,BR248)</f>
        <v>0.91158844983184</v>
      </c>
      <c r="BZ248" s="60" t="n">
        <f aca="false">IF(BX248,BV248,BT248)</f>
        <v>0.218240791233887</v>
      </c>
      <c r="CA248" s="60" t="n">
        <f aca="false">LN(BY248-AP248)</f>
        <v>-0.198812070380318</v>
      </c>
      <c r="CB248" s="60" t="n">
        <f aca="false">$E$27/AN248*(BY248-1)-CA248-BZ248*(2*AA248/AM248-$E$27/AN248)</f>
        <v>-0.107840271021729</v>
      </c>
      <c r="CC248" s="60" t="n">
        <f aca="false">$F$27/AN248*(BY248-1)-CA248-BZ248*(2*AB248/AM248-$F$27/AN248)</f>
        <v>0.198812070380318</v>
      </c>
      <c r="CD248" s="60" t="n">
        <f aca="false">$G$27/AN248*(BY248-1)-CA248-BZ248*(2*AC248/AM248-$G$27/AN248)</f>
        <v>0.198812070380318</v>
      </c>
      <c r="CE248" s="60" t="n">
        <f aca="false">$H$27/AN248*(BY248-1)-CA248-BZ248*(2*AD248/AM248-$H$27/AN248)</f>
        <v>0.198812070380318</v>
      </c>
      <c r="CF248" s="60" t="n">
        <f aca="false">$I$27/AN248*(BY248-1)-CA248-BZ248*(2*AE248/AM248-$I$27/AN248)</f>
        <v>0.198812070380318</v>
      </c>
      <c r="CG248" s="60" t="n">
        <f aca="false">$J$27/AN248*(BY248-1)-CA248-BZ248*(2*AF248/AM248-$J$27/AN248)</f>
        <v>0.198812070380318</v>
      </c>
      <c r="CH248" s="60" t="n">
        <f aca="false">$K$27/AN248*(BY248-1)-CA248-BZ248*(2*AG248/AM248-$K$27/AN248)</f>
        <v>0.198812070380318</v>
      </c>
      <c r="CI248" s="60" t="n">
        <f aca="false">$L$27/AN248*(BY248-1)-CA248-BZ248*(2*AH248/AM248-$L$27/AN248)</f>
        <v>0.198812070380318</v>
      </c>
      <c r="CJ248" s="60" t="n">
        <f aca="false">$M$27/AN248*(BY248-1)-CA248-BZ248*(2*AI248/AM248-$M$27/AN248)</f>
        <v>0.198812070380318</v>
      </c>
      <c r="CK248" s="60" t="n">
        <f aca="false">$N$27/AN248*(BY248-1)-CA248-BZ248*(2*AJ248/AM248-$N$27/AN248)</f>
        <v>0.198812070380318</v>
      </c>
      <c r="CL248" s="60" t="n">
        <f aca="false">$O$27/AN248*(BY248-1)-CA248-BZ248*(2*AK248/AM248-$O$27/AN248)</f>
        <v>0.198812070380318</v>
      </c>
      <c r="CM248" s="60" t="n">
        <f aca="false">$P$27/AN248*(BY248-1)-CA248-BZ248*(2*AL248/AM248-$P$27/AN248)</f>
        <v>0.198812070380318</v>
      </c>
      <c r="CN248" s="60" t="n">
        <f aca="false">AP248/BY248&gt;$C$22</f>
        <v>0</v>
      </c>
      <c r="CO248" s="60" t="n">
        <f aca="false">1-N248+SUMPRODUCT(B248:M248,CB248:CM248)-SUMPRODUCT(B248:M248,CB247:CM247)</f>
        <v>0</v>
      </c>
      <c r="CP248" s="60" t="n">
        <f aca="false">SUMXMY2(O248:Z248,$E$13:$P$13)</f>
        <v>0</v>
      </c>
    </row>
    <row r="249" customFormat="false" ht="15" hidden="false" customHeight="false" outlineLevel="0" collapsed="false">
      <c r="A249" s="59" t="n">
        <v>40</v>
      </c>
      <c r="B249" s="60" t="n">
        <f aca="false">$E$13*EXP(MAX(-700,MIN(700,$E$86-CB248)))</f>
        <v>1</v>
      </c>
      <c r="C249" s="60" t="n">
        <f aca="false">$F$13*EXP(MAX(-700,MIN(700,$F$86-CC248)))</f>
        <v>0</v>
      </c>
      <c r="D249" s="60" t="n">
        <f aca="false">$G$13*EXP(MAX(-700,MIN(700,$G$86-CD248)))</f>
        <v>0</v>
      </c>
      <c r="E249" s="60" t="n">
        <f aca="false">$H$13*EXP(MAX(-700,MIN(700,$H$86-CE248)))</f>
        <v>0</v>
      </c>
      <c r="F249" s="60" t="n">
        <f aca="false">$I$13*EXP(MAX(-700,MIN(700,$I$86-CF248)))</f>
        <v>0</v>
      </c>
      <c r="G249" s="60" t="n">
        <f aca="false">$J$13*EXP(MAX(-700,MIN(700,$J$86-CG248)))</f>
        <v>0</v>
      </c>
      <c r="H249" s="60" t="n">
        <f aca="false">$K$13*EXP(MAX(-700,MIN(700,$K$86-CH248)))</f>
        <v>0</v>
      </c>
      <c r="I249" s="60" t="n">
        <f aca="false">$L$13*EXP(MAX(-700,MIN(700,$L$86-CI248)))</f>
        <v>0</v>
      </c>
      <c r="J249" s="60" t="n">
        <f aca="false">$M$13*EXP(MAX(-700,MIN(700,$M$86-CJ248)))</f>
        <v>0</v>
      </c>
      <c r="K249" s="60" t="n">
        <f aca="false">$N$13*EXP(MAX(-700,MIN(700,$N$86-CK248)))</f>
        <v>0</v>
      </c>
      <c r="L249" s="60" t="n">
        <f aca="false">$O$13*EXP(MAX(-700,MIN(700,$O$86-CL248)))</f>
        <v>0</v>
      </c>
      <c r="M249" s="60" t="n">
        <f aca="false">$P$13*EXP(MAX(-700,MIN(700,$P$86-CM248)))</f>
        <v>0</v>
      </c>
      <c r="N249" s="60" t="n">
        <f aca="false">SUM(B249:M249)</f>
        <v>1</v>
      </c>
      <c r="O249" s="60" t="n">
        <f aca="false">B249/N249</f>
        <v>1</v>
      </c>
      <c r="P249" s="60" t="n">
        <f aca="false">C249/N249</f>
        <v>0</v>
      </c>
      <c r="Q249" s="60" t="n">
        <f aca="false">D249/N249</f>
        <v>0</v>
      </c>
      <c r="R249" s="60" t="n">
        <f aca="false">E249/N249</f>
        <v>0</v>
      </c>
      <c r="S249" s="60" t="n">
        <f aca="false">F249/N249</f>
        <v>0</v>
      </c>
      <c r="T249" s="60" t="n">
        <f aca="false">G249/N249</f>
        <v>0</v>
      </c>
      <c r="U249" s="60" t="n">
        <f aca="false">H249/N249</f>
        <v>0</v>
      </c>
      <c r="V249" s="60" t="n">
        <f aca="false">I249/N249</f>
        <v>0</v>
      </c>
      <c r="W249" s="60" t="n">
        <f aca="false">J249/N249</f>
        <v>0</v>
      </c>
      <c r="X249" s="60" t="n">
        <f aca="false">K249/N249</f>
        <v>0</v>
      </c>
      <c r="Y249" s="60" t="n">
        <f aca="false">L249/N249</f>
        <v>0</v>
      </c>
      <c r="Z249" s="60" t="n">
        <f aca="false">M249/N249</f>
        <v>0</v>
      </c>
      <c r="AA249" s="60" t="n">
        <f aca="false">$E$28*SUMPRODUCT($E$31:$P$31,O249:Z249,$E$28:$P$28)</f>
        <v>0.184416866619846</v>
      </c>
      <c r="AB249" s="60" t="n">
        <f aca="false">$F$28*SUMPRODUCT($E$32:$P$32,O249:Z249,$E$28:$P$28)</f>
        <v>0</v>
      </c>
      <c r="AC249" s="60" t="n">
        <f aca="false">$G$28*SUMPRODUCT($E$33:$P$33,O249:Z249,$E$28:$P$28)</f>
        <v>0</v>
      </c>
      <c r="AD249" s="60" t="n">
        <f aca="false">$H$28*SUMPRODUCT($E$34:$P$34,O249:Z249,$E$28:$P$28)</f>
        <v>0</v>
      </c>
      <c r="AE249" s="60" t="n">
        <f aca="false">$I$28*SUMPRODUCT($E$35:$P$35,O249:Z249,$E$28:$P$28)</f>
        <v>0</v>
      </c>
      <c r="AF249" s="60" t="n">
        <f aca="false">$J$28*SUMPRODUCT($E$36:$P$36,O249:Z249,$E$28:$P$28)</f>
        <v>0</v>
      </c>
      <c r="AG249" s="60" t="n">
        <f aca="false">$K$28*SUMPRODUCT($E$37:$P$37,O249:Z249,$E$28:$P$28)</f>
        <v>0</v>
      </c>
      <c r="AH249" s="60" t="n">
        <f aca="false">$L$28*SUMPRODUCT($E$38:$P$38,O249:Z249,$E$28:$P$28)</f>
        <v>0</v>
      </c>
      <c r="AI249" s="60" t="n">
        <f aca="false">$M$28*SUMPRODUCT($E$39:$P$39,O249:Z249,$E$28:$P$28)</f>
        <v>0</v>
      </c>
      <c r="AJ249" s="60" t="n">
        <f aca="false">$N$28*SUMPRODUCT($E$40:$P$40,O249:Z249,$E$28:$P$28)</f>
        <v>0</v>
      </c>
      <c r="AK249" s="60" t="n">
        <f aca="false">$O$28*SUMPRODUCT($E$41:$P$41,O249:Z249,$E$28:$P$28)</f>
        <v>0</v>
      </c>
      <c r="AL249" s="60" t="n">
        <f aca="false">$P$28*SUMPRODUCT($E$42:$P$42,O249:Z249,$E$28:$P$28)</f>
        <v>0</v>
      </c>
      <c r="AM249" s="60" t="n">
        <f aca="false">SUMPRODUCT(O249:Z249,AA249:AL249)</f>
        <v>0.184416866619846</v>
      </c>
      <c r="AN249" s="60" t="n">
        <f aca="false">SUMPRODUCT(O249:Z249,$E$27:$P$27)</f>
        <v>2.67389635063809E-005</v>
      </c>
      <c r="AO249" s="60" t="n">
        <f aca="false">AM249*$C$9/($C$10*$C$8)^2</f>
        <v>0.21776909410545</v>
      </c>
      <c r="AP249" s="60" t="n">
        <f aca="false">AN249*$C$9/($C$10*$C$8)</f>
        <v>0.0918845243259994</v>
      </c>
      <c r="AQ249" s="60" t="n">
        <f aca="false">CHOOSE($C$7,-(1+AP249),-1,-(1-AP249))</f>
        <v>-0.908115475674001</v>
      </c>
      <c r="AR249" s="60" t="n">
        <f aca="false">CHOOSE($C$7,AO249,AO249-AP249-AP249^2,AO249-3*AP249^2-2*AP249)</f>
        <v>0.00867174802160559</v>
      </c>
      <c r="AS249" s="60" t="n">
        <f aca="false">CHOOSE($C$7,-AO249*AP249,-AO249*AP249,-(AO249*AP249-AP249^2-AP249^3))</f>
        <v>-0.0107910842936637</v>
      </c>
      <c r="AT249" s="60" t="n">
        <f aca="false">AR249-AQ249^2/3</f>
        <v>-0.266219491031267</v>
      </c>
      <c r="AU249" s="60" t="n">
        <f aca="false">2*AQ249^3/27-AQ249*AR249/3+AS249</f>
        <v>-0.0636400988362784</v>
      </c>
      <c r="AV249" s="60" t="n">
        <f aca="false">AU249^2/4+AT249^3/27</f>
        <v>0.000313710901361829</v>
      </c>
      <c r="AW249" s="60" t="n">
        <f aca="false">-AU249/2-IF(AU249&gt;=0,1,-1)*SQRT(MAX(AV249,0))</f>
        <v>0.0495319352963236</v>
      </c>
      <c r="AX249" s="60" t="n">
        <f aca="false">SIGN(AW249)*ABS(AW249)^(1/3)</f>
        <v>0.367249967174439</v>
      </c>
      <c r="AY249" s="60" t="n">
        <f aca="false">IF(AX249=0,0,AX249-AT249/(3*AX249))</f>
        <v>0.60888329127384</v>
      </c>
      <c r="AZ249" s="60" t="n">
        <f aca="false">2*SQRT(MAX(-AT249,0)/3)</f>
        <v>0.595784626668918</v>
      </c>
      <c r="BA249" s="60" t="n">
        <f aca="false">ACOS(IF(AZ249=0,0,MAX(-1,MIN(1,3*AU249/(AT249*AZ249)))))</f>
        <v>0</v>
      </c>
      <c r="BB249" s="60" t="n">
        <f aca="false">AZ249*COS(BA249/3)</f>
        <v>0.595784626668918</v>
      </c>
      <c r="BC249" s="60" t="n">
        <f aca="false">IF(AV249&lt;0,BB249,AY249)-AQ249/3</f>
        <v>0.91158844983184</v>
      </c>
      <c r="BD249" s="60" t="n">
        <f aca="false">IFERROR((((BC249+AQ249)*BC249+AR249)*BC249+AS249)/((3*BC249+2*AQ249)*BC249+AR249),0)</f>
        <v>0</v>
      </c>
      <c r="BE249" s="60" t="n">
        <f aca="false">IF(ABS(BD249)&lt;0.1*ABS(BC249),BC249-BD249,BC249)</f>
        <v>0.91158844983184</v>
      </c>
      <c r="BF249" s="60" t="n">
        <f aca="false">IFERROR((((BE249+AQ249)*BE249+AR249)*BE249+AS249)/((3*BE249+2*AQ249)*BE249+AR249),0)</f>
        <v>0</v>
      </c>
      <c r="BG249" s="60" t="n">
        <f aca="false">IF(ABS(BF249)&lt;0.1*ABS(BE249),BE249-BF249,BE249)</f>
        <v>0.91158844983184</v>
      </c>
      <c r="BH249" s="60" t="n">
        <f aca="false">-AS249/BG249</f>
        <v>0.0118376711504565</v>
      </c>
      <c r="BI249" s="60" t="n">
        <f aca="false">(AR249-BH249)/BG249</f>
        <v>-0.00347297415783941</v>
      </c>
      <c r="BJ249" s="60" t="n">
        <f aca="false">BI249^2-4*BH249</f>
        <v>-0.0473386230523248</v>
      </c>
      <c r="BK249" s="60" t="n">
        <f aca="false">IF(BJ249&gt;=0,(BI249+IF(BI249&gt;=0,1,-1)*SQRT(BJ249))/2,0)</f>
        <v>0</v>
      </c>
      <c r="BL249" s="60" t="n">
        <f aca="false">IF(AND(BJ249&gt;=0,BK249&lt;&gt;0),MIN(BK249,BH249/BK249),-1)</f>
        <v>-1</v>
      </c>
      <c r="BM249" s="60" t="n">
        <f aca="false">AND(BJ249&gt;=0,BL249&gt;AP249,ABS(BG249-BL249)&gt;=0.00005*MAX(BG249,BL249))</f>
        <v>0</v>
      </c>
      <c r="BN249" s="60" t="n">
        <f aca="false">IF(BM249,IFERROR((((BL249+AQ249)*BL249+AR249)*BL249+AS249)/((3*BL249+2*AQ249)*BL249+AR249),0),0)</f>
        <v>0</v>
      </c>
      <c r="BO249" s="60" t="n">
        <f aca="false">IF(ABS(BN249)&lt;0.1*ABS(BL249),BL249-BN249,BL249)</f>
        <v>-1</v>
      </c>
      <c r="BP249" s="60" t="n">
        <f aca="false">IF(BM249,IFERROR((((BO249+AQ249)*BO249+AR249)*BO249+AS249)/((3*BO249+2*AQ249)*BO249+AR249),0),0)</f>
        <v>0</v>
      </c>
      <c r="BQ249" s="60" t="n">
        <f aca="false">IF(ABS(BP249)&lt;0.1*ABS(BO249),BO249-BP249,BO249)</f>
        <v>-1</v>
      </c>
      <c r="BR249" s="60" t="n">
        <f aca="false">IF(BM249,MAX(BG249,BQ249),BG249)</f>
        <v>0.91158844983184</v>
      </c>
      <c r="BS249" s="60" t="n">
        <f aca="false">IF(BM249,MIN(BG249,BQ249),-1)</f>
        <v>-1</v>
      </c>
      <c r="BT249" s="60" t="n">
        <f aca="false">CHOOSE($C$7,AO249/BR249,AO249/AP249*LN(1+AP249/BR249),AO249/(2*SQRT(2)*AP249)*LN((BR249+(1+SQRT(2))*AP249)/(BR249+(1-SQRT(2))*AP249)))</f>
        <v>0.218240791233887</v>
      </c>
      <c r="BU249" s="60" t="n">
        <f aca="false">BR249-1-LN(BR249-AP249)-BT249</f>
        <v>-0.107840271021729</v>
      </c>
      <c r="BV249" s="60" t="n">
        <f aca="false">IF(BM249,CHOOSE($C$7,AO249/BS249,AO249/AP249*LN(1+AP249/BS249),AO249/(2*SQRT(2)*AP249)*LN((BS249+(1+SQRT(2))*AP249)/(BS249+(1-SQRT(2))*AP249))),0)</f>
        <v>0</v>
      </c>
      <c r="BW249" s="60" t="n">
        <f aca="false">IF(BM249,BS249-1-LN(BS249-AP249)-BV249,0)</f>
        <v>0</v>
      </c>
      <c r="BX249" s="60" t="n">
        <f aca="false">AND(BM249,BW249&lt;BU249)</f>
        <v>0</v>
      </c>
      <c r="BY249" s="61" t="n">
        <f aca="false">IF(BX249,BS249,BR249)</f>
        <v>0.91158844983184</v>
      </c>
      <c r="BZ249" s="60" t="n">
        <f aca="false">IF(BX249,BV249,BT249)</f>
        <v>0.218240791233887</v>
      </c>
      <c r="CA249" s="60" t="n">
        <f aca="false">LN(BY249-AP249)</f>
        <v>-0.198812070380318</v>
      </c>
      <c r="CB249" s="60" t="n">
        <f aca="false">$E$27/AN249*(BY249-1)-CA249-BZ249*(2*AA249/AM249-$E$27/AN249)</f>
        <v>-0.107840271021729</v>
      </c>
      <c r="CC249" s="60" t="n">
        <f aca="false">$F$27/AN249*(BY249-1)-CA249-BZ249*(2*AB249/AM249-$F$27/AN249)</f>
        <v>0.198812070380318</v>
      </c>
      <c r="CD249" s="60" t="n">
        <f aca="false">$G$27/AN249*(BY249-1)-CA249-BZ249*(2*AC249/AM249-$G$27/AN249)</f>
        <v>0.198812070380318</v>
      </c>
      <c r="CE249" s="60" t="n">
        <f aca="false">$H$27/AN249*(BY249-1)-CA249-BZ249*(2*AD249/AM249-$H$27/AN249)</f>
        <v>0.198812070380318</v>
      </c>
      <c r="CF249" s="60" t="n">
        <f aca="false">$I$27/AN249*(BY249-1)-CA249-BZ249*(2*AE249/AM249-$I$27/AN249)</f>
        <v>0.198812070380318</v>
      </c>
      <c r="CG249" s="60" t="n">
        <f aca="false">$J$27/AN249*(BY249-1)-CA249-BZ249*(2*AF249/AM249-$J$27/AN249)</f>
        <v>0.198812070380318</v>
      </c>
      <c r="CH249" s="60" t="n">
        <f aca="false">$K$27/AN249*(BY249-1)-CA249-BZ249*(2*AG249/AM249-$K$27/AN249)</f>
        <v>0.198812070380318</v>
      </c>
      <c r="CI249" s="60" t="n">
        <f aca="false">$L$27/AN249*(BY249-1)-CA249-BZ249*(2*AH249/AM249-$L$27/AN249)</f>
        <v>0.198812070380318</v>
      </c>
      <c r="CJ249" s="60" t="n">
        <f aca="false">$M$27/AN249*(BY249-1)-CA249-BZ249*(2*AI249/AM249-$M$27/AN249)</f>
        <v>0.198812070380318</v>
      </c>
      <c r="CK249" s="60" t="n">
        <f aca="false">$N$27/AN249*(BY249-1)-CA249-BZ249*(2*AJ249/AM249-$N$27/AN249)</f>
        <v>0.198812070380318</v>
      </c>
      <c r="CL249" s="60" t="n">
        <f aca="false">$O$27/AN249*(BY249-1)-CA249-BZ249*(2*AK249/AM249-$O$27/AN249)</f>
        <v>0.198812070380318</v>
      </c>
      <c r="CM249" s="60" t="n">
        <f aca="false">$P$27/AN249*(BY249-1)-CA249-BZ249*(2*AL249/AM249-$P$27/AN249)</f>
        <v>0.198812070380318</v>
      </c>
      <c r="CN249" s="60" t="n">
        <f aca="false">AP249/BY249&gt;$C$22</f>
        <v>0</v>
      </c>
      <c r="CO249" s="61" t="n">
        <f aca="false">1-N249+SUMPRODUCT(B249:M249,CB249:CM249)-SUMPRODUCT(B249:M249,CB248:CM248)</f>
        <v>0</v>
      </c>
      <c r="CP249" s="60" t="n">
        <f aca="false">SUMXMY2(O249:Z249,$E$13:$P$13)</f>
        <v>0</v>
      </c>
    </row>
    <row r="252" customFormat="false" ht="15" hidden="false" customHeight="false" outlineLevel="0" collapsed="false">
      <c r="A252" s="4" t="s">
        <v>595</v>
      </c>
    </row>
    <row r="253" customFormat="false" ht="15" hidden="false" customHeight="false" outlineLevel="0" collapsed="false">
      <c r="A253" s="8" t="s">
        <v>300</v>
      </c>
      <c r="B253" s="8" t="s">
        <v>535</v>
      </c>
      <c r="C253" s="8" t="s">
        <v>536</v>
      </c>
      <c r="D253" s="8" t="s">
        <v>537</v>
      </c>
      <c r="E253" s="8" t="s">
        <v>538</v>
      </c>
      <c r="F253" s="8" t="s">
        <v>539</v>
      </c>
      <c r="G253" s="8" t="s">
        <v>540</v>
      </c>
      <c r="H253" s="8" t="s">
        <v>541</v>
      </c>
      <c r="I253" s="8" t="s">
        <v>542</v>
      </c>
      <c r="J253" s="8" t="s">
        <v>543</v>
      </c>
      <c r="K253" s="8" t="s">
        <v>544</v>
      </c>
      <c r="L253" s="8" t="s">
        <v>545</v>
      </c>
      <c r="M253" s="8" t="s">
        <v>546</v>
      </c>
      <c r="N253" s="8" t="s">
        <v>547</v>
      </c>
      <c r="O253" s="8" t="s">
        <v>548</v>
      </c>
      <c r="P253" s="8" t="s">
        <v>549</v>
      </c>
      <c r="Q253" s="8" t="s">
        <v>550</v>
      </c>
      <c r="R253" s="8" t="s">
        <v>551</v>
      </c>
      <c r="S253" s="8" t="s">
        <v>552</v>
      </c>
      <c r="T253" s="8" t="s">
        <v>553</v>
      </c>
      <c r="U253" s="8" t="s">
        <v>554</v>
      </c>
      <c r="V253" s="8" t="s">
        <v>555</v>
      </c>
      <c r="W253" s="8" t="s">
        <v>556</v>
      </c>
      <c r="X253" s="8" t="s">
        <v>557</v>
      </c>
      <c r="Y253" s="8" t="s">
        <v>558</v>
      </c>
      <c r="Z253" s="8" t="s">
        <v>559</v>
      </c>
      <c r="AA253" s="8" t="s">
        <v>560</v>
      </c>
      <c r="AB253" s="8" t="s">
        <v>561</v>
      </c>
      <c r="AC253" s="8" t="s">
        <v>562</v>
      </c>
      <c r="AD253" s="8" t="s">
        <v>563</v>
      </c>
      <c r="AE253" s="8" t="s">
        <v>564</v>
      </c>
      <c r="AF253" s="8" t="s">
        <v>565</v>
      </c>
      <c r="AG253" s="8" t="s">
        <v>566</v>
      </c>
      <c r="AH253" s="8" t="s">
        <v>567</v>
      </c>
      <c r="AI253" s="8" t="s">
        <v>568</v>
      </c>
      <c r="AJ253" s="8" t="s">
        <v>569</v>
      </c>
      <c r="AK253" s="8" t="s">
        <v>570</v>
      </c>
      <c r="AL253" s="8" t="s">
        <v>571</v>
      </c>
      <c r="AM253" s="8" t="s">
        <v>572</v>
      </c>
      <c r="AN253" s="8" t="s">
        <v>573</v>
      </c>
      <c r="AO253" s="8" t="s">
        <v>158</v>
      </c>
      <c r="AP253" s="8" t="s">
        <v>161</v>
      </c>
      <c r="AQ253" s="8" t="s">
        <v>165</v>
      </c>
      <c r="AR253" s="8" t="s">
        <v>168</v>
      </c>
      <c r="AS253" s="8" t="s">
        <v>171</v>
      </c>
      <c r="AT253" s="8" t="s">
        <v>175</v>
      </c>
      <c r="AU253" s="8" t="s">
        <v>177</v>
      </c>
      <c r="AV253" s="8" t="s">
        <v>180</v>
      </c>
      <c r="AW253" s="8" t="s">
        <v>183</v>
      </c>
      <c r="AX253" s="8" t="s">
        <v>185</v>
      </c>
      <c r="AY253" s="8" t="s">
        <v>304</v>
      </c>
      <c r="AZ253" s="8" t="s">
        <v>190</v>
      </c>
      <c r="BA253" s="8" t="s">
        <v>192</v>
      </c>
      <c r="BB253" s="8" t="s">
        <v>305</v>
      </c>
      <c r="BC253" s="8" t="s">
        <v>197</v>
      </c>
      <c r="BD253" s="8" t="s">
        <v>200</v>
      </c>
      <c r="BE253" s="8" t="s">
        <v>197</v>
      </c>
      <c r="BF253" s="8" t="s">
        <v>200</v>
      </c>
      <c r="BG253" s="8" t="s">
        <v>306</v>
      </c>
      <c r="BH253" s="8" t="s">
        <v>209</v>
      </c>
      <c r="BI253" s="8" t="s">
        <v>212</v>
      </c>
      <c r="BJ253" s="8" t="s">
        <v>215</v>
      </c>
      <c r="BK253" s="8" t="s">
        <v>218</v>
      </c>
      <c r="BL253" s="8" t="s">
        <v>221</v>
      </c>
      <c r="BM253" s="8" t="s">
        <v>307</v>
      </c>
      <c r="BN253" s="8" t="s">
        <v>200</v>
      </c>
      <c r="BO253" s="8" t="s">
        <v>221</v>
      </c>
      <c r="BP253" s="8" t="s">
        <v>200</v>
      </c>
      <c r="BQ253" s="8" t="s">
        <v>308</v>
      </c>
      <c r="BR253" s="8" t="s">
        <v>232</v>
      </c>
      <c r="BS253" s="8" t="s">
        <v>238</v>
      </c>
      <c r="BT253" s="8" t="s">
        <v>574</v>
      </c>
      <c r="BU253" s="8" t="s">
        <v>575</v>
      </c>
      <c r="BV253" s="8" t="s">
        <v>576</v>
      </c>
      <c r="BW253" s="8" t="s">
        <v>577</v>
      </c>
      <c r="BX253" s="8" t="s">
        <v>578</v>
      </c>
      <c r="BY253" s="8" t="s">
        <v>250</v>
      </c>
      <c r="BZ253" s="8" t="s">
        <v>579</v>
      </c>
      <c r="CA253" s="8" t="s">
        <v>420</v>
      </c>
      <c r="CB253" s="8" t="s">
        <v>580</v>
      </c>
      <c r="CC253" s="8" t="s">
        <v>581</v>
      </c>
      <c r="CD253" s="8" t="s">
        <v>582</v>
      </c>
      <c r="CE253" s="8" t="s">
        <v>583</v>
      </c>
      <c r="CF253" s="8" t="s">
        <v>584</v>
      </c>
      <c r="CG253" s="8" t="s">
        <v>585</v>
      </c>
      <c r="CH253" s="8" t="s">
        <v>586</v>
      </c>
      <c r="CI253" s="8" t="s">
        <v>587</v>
      </c>
      <c r="CJ253" s="8" t="s">
        <v>588</v>
      </c>
      <c r="CK253" s="8" t="s">
        <v>589</v>
      </c>
      <c r="CL253" s="8" t="s">
        <v>590</v>
      </c>
      <c r="CM253" s="8" t="s">
        <v>591</v>
      </c>
      <c r="CN253" s="8" t="s">
        <v>592</v>
      </c>
      <c r="CO253" s="8" t="s">
        <v>439</v>
      </c>
      <c r="CP253" s="8" t="s">
        <v>593</v>
      </c>
    </row>
    <row r="254" customFormat="false" ht="15" hidden="false" customHeight="false" outlineLevel="0" collapsed="false">
      <c r="A254" s="59" t="n">
        <v>1</v>
      </c>
      <c r="B254" s="60" t="n">
        <f aca="false">$E$93</f>
        <v>0.9</v>
      </c>
      <c r="C254" s="60" t="n">
        <f aca="false">$F$93</f>
        <v>0</v>
      </c>
      <c r="D254" s="60" t="n">
        <f aca="false">$G$93</f>
        <v>0</v>
      </c>
      <c r="E254" s="60" t="n">
        <f aca="false">$H$93</f>
        <v>0</v>
      </c>
      <c r="F254" s="60" t="n">
        <f aca="false">$I$93</f>
        <v>0</v>
      </c>
      <c r="G254" s="60" t="n">
        <f aca="false">$J$93</f>
        <v>0</v>
      </c>
      <c r="H254" s="60" t="n">
        <f aca="false">$K$93</f>
        <v>0</v>
      </c>
      <c r="I254" s="60" t="n">
        <f aca="false">$L$93</f>
        <v>0</v>
      </c>
      <c r="J254" s="60" t="n">
        <f aca="false">$M$93</f>
        <v>0</v>
      </c>
      <c r="K254" s="60" t="n">
        <f aca="false">$N$93</f>
        <v>0</v>
      </c>
      <c r="L254" s="60" t="n">
        <f aca="false">$O$93</f>
        <v>0</v>
      </c>
      <c r="M254" s="60" t="n">
        <f aca="false">$P$93</f>
        <v>0</v>
      </c>
      <c r="N254" s="60" t="n">
        <f aca="false">SUM(B254:M254)</f>
        <v>0.9</v>
      </c>
      <c r="O254" s="60" t="n">
        <f aca="false">B254/N254</f>
        <v>1</v>
      </c>
      <c r="P254" s="60" t="n">
        <f aca="false">C254/N254</f>
        <v>0</v>
      </c>
      <c r="Q254" s="60" t="n">
        <f aca="false">D254/N254</f>
        <v>0</v>
      </c>
      <c r="R254" s="60" t="n">
        <f aca="false">E254/N254</f>
        <v>0</v>
      </c>
      <c r="S254" s="60" t="n">
        <f aca="false">F254/N254</f>
        <v>0</v>
      </c>
      <c r="T254" s="60" t="n">
        <f aca="false">G254/N254</f>
        <v>0</v>
      </c>
      <c r="U254" s="60" t="n">
        <f aca="false">H254/N254</f>
        <v>0</v>
      </c>
      <c r="V254" s="60" t="n">
        <f aca="false">I254/N254</f>
        <v>0</v>
      </c>
      <c r="W254" s="60" t="n">
        <f aca="false">J254/N254</f>
        <v>0</v>
      </c>
      <c r="X254" s="60" t="n">
        <f aca="false">K254/N254</f>
        <v>0</v>
      </c>
      <c r="Y254" s="60" t="n">
        <f aca="false">L254/N254</f>
        <v>0</v>
      </c>
      <c r="Z254" s="60" t="n">
        <f aca="false">M254/N254</f>
        <v>0</v>
      </c>
      <c r="AA254" s="60" t="n">
        <f aca="false">$E$28*SUMPRODUCT($E$31:$P$31,O254:Z254,$E$28:$P$28)</f>
        <v>0.184416866619846</v>
      </c>
      <c r="AB254" s="60" t="n">
        <f aca="false">$F$28*SUMPRODUCT($E$32:$P$32,O254:Z254,$E$28:$P$28)</f>
        <v>0</v>
      </c>
      <c r="AC254" s="60" t="n">
        <f aca="false">$G$28*SUMPRODUCT($E$33:$P$33,O254:Z254,$E$28:$P$28)</f>
        <v>0</v>
      </c>
      <c r="AD254" s="60" t="n">
        <f aca="false">$H$28*SUMPRODUCT($E$34:$P$34,O254:Z254,$E$28:$P$28)</f>
        <v>0</v>
      </c>
      <c r="AE254" s="60" t="n">
        <f aca="false">$I$28*SUMPRODUCT($E$35:$P$35,O254:Z254,$E$28:$P$28)</f>
        <v>0</v>
      </c>
      <c r="AF254" s="60" t="n">
        <f aca="false">$J$28*SUMPRODUCT($E$36:$P$36,O254:Z254,$E$28:$P$28)</f>
        <v>0</v>
      </c>
      <c r="AG254" s="60" t="n">
        <f aca="false">$K$28*SUMPRODUCT($E$37:$P$37,O254:Z254,$E$28:$P$28)</f>
        <v>0</v>
      </c>
      <c r="AH254" s="60" t="n">
        <f aca="false">$L$28*SUMPRODUCT($E$38:$P$38,O254:Z254,$E$28:$P$28)</f>
        <v>0</v>
      </c>
      <c r="AI254" s="60" t="n">
        <f aca="false">$M$28*SUMPRODUCT($E$39:$P$39,O254:Z254,$E$28:$P$28)</f>
        <v>0</v>
      </c>
      <c r="AJ254" s="60" t="n">
        <f aca="false">$N$28*SUMPRODUCT($E$40:$P$40,O254:Z254,$E$28:$P$28)</f>
        <v>0</v>
      </c>
      <c r="AK254" s="60" t="n">
        <f aca="false">$O$28*SUMPRODUCT($E$41:$P$41,O254:Z254,$E$28:$P$28)</f>
        <v>0</v>
      </c>
      <c r="AL254" s="60" t="n">
        <f aca="false">$P$28*SUMPRODUCT($E$42:$P$42,O254:Z254,$E$28:$P$28)</f>
        <v>0</v>
      </c>
      <c r="AM254" s="60" t="n">
        <f aca="false">SUMPRODUCT(O254:Z254,AA254:AL254)</f>
        <v>0.184416866619846</v>
      </c>
      <c r="AN254" s="60" t="n">
        <f aca="false">SUMPRODUCT(O254:Z254,$E$27:$P$27)</f>
        <v>2.67389635063809E-005</v>
      </c>
      <c r="AO254" s="60" t="n">
        <f aca="false">AM254*$C$9/($C$10*$C$8)^2</f>
        <v>0.21776909410545</v>
      </c>
      <c r="AP254" s="60" t="n">
        <f aca="false">AN254*$C$9/($C$10*$C$8)</f>
        <v>0.0918845243259994</v>
      </c>
      <c r="AQ254" s="60" t="n">
        <f aca="false">CHOOSE($C$7,-(1+AP254),-1,-(1-AP254))</f>
        <v>-0.908115475674001</v>
      </c>
      <c r="AR254" s="60" t="n">
        <f aca="false">CHOOSE($C$7,AO254,AO254-AP254-AP254^2,AO254-3*AP254^2-2*AP254)</f>
        <v>0.00867174802160559</v>
      </c>
      <c r="AS254" s="60" t="n">
        <f aca="false">CHOOSE($C$7,-AO254*AP254,-AO254*AP254,-(AO254*AP254-AP254^2-AP254^3))</f>
        <v>-0.0107910842936637</v>
      </c>
      <c r="AT254" s="60" t="n">
        <f aca="false">AR254-AQ254^2/3</f>
        <v>-0.266219491031267</v>
      </c>
      <c r="AU254" s="60" t="n">
        <f aca="false">2*AQ254^3/27-AQ254*AR254/3+AS254</f>
        <v>-0.0636400988362784</v>
      </c>
      <c r="AV254" s="60" t="n">
        <f aca="false">AU254^2/4+AT254^3/27</f>
        <v>0.000313710901361829</v>
      </c>
      <c r="AW254" s="60" t="n">
        <f aca="false">-AU254/2-IF(AU254&gt;=0,1,-1)*SQRT(MAX(AV254,0))</f>
        <v>0.0495319352963236</v>
      </c>
      <c r="AX254" s="60" t="n">
        <f aca="false">SIGN(AW254)*ABS(AW254)^(1/3)</f>
        <v>0.367249967174439</v>
      </c>
      <c r="AY254" s="60" t="n">
        <f aca="false">IF(AX254=0,0,AX254-AT254/(3*AX254))</f>
        <v>0.60888329127384</v>
      </c>
      <c r="AZ254" s="60" t="n">
        <f aca="false">2*SQRT(MAX(-AT254,0)/3)</f>
        <v>0.595784626668918</v>
      </c>
      <c r="BA254" s="60" t="n">
        <f aca="false">ACOS(IF(AZ254=0,0,MAX(-1,MIN(1,3*AU254/(AT254*AZ254)))))</f>
        <v>0</v>
      </c>
      <c r="BB254" s="60" t="n">
        <f aca="false">AZ254*COS(BA254/3)</f>
        <v>0.595784626668918</v>
      </c>
      <c r="BC254" s="60" t="n">
        <f aca="false">IF(AV254&lt;0,BB254,AY254)-AQ254/3</f>
        <v>0.91158844983184</v>
      </c>
      <c r="BD254" s="60" t="n">
        <f aca="false">IFERROR((((BC254+AQ254)*BC254+AR254)*BC254+AS254)/((3*BC254+2*AQ254)*BC254+AR254),0)</f>
        <v>0</v>
      </c>
      <c r="BE254" s="60" t="n">
        <f aca="false">IF(ABS(BD254)&lt;0.1*ABS(BC254),BC254-BD254,BC254)</f>
        <v>0.91158844983184</v>
      </c>
      <c r="BF254" s="60" t="n">
        <f aca="false">IFERROR((((BE254+AQ254)*BE254+AR254)*BE254+AS254)/((3*BE254+2*AQ254)*BE254+AR254),0)</f>
        <v>0</v>
      </c>
      <c r="BG254" s="60" t="n">
        <f aca="false">IF(ABS(BF254)&lt;0.1*ABS(BE254),BE254-BF254,BE254)</f>
        <v>0.91158844983184</v>
      </c>
      <c r="BH254" s="60" t="n">
        <f aca="false">-AS254/BG254</f>
        <v>0.0118376711504565</v>
      </c>
      <c r="BI254" s="60" t="n">
        <f aca="false">(AR254-BH254)/BG254</f>
        <v>-0.00347297415783941</v>
      </c>
      <c r="BJ254" s="60" t="n">
        <f aca="false">BI254^2-4*BH254</f>
        <v>-0.0473386230523248</v>
      </c>
      <c r="BK254" s="60" t="n">
        <f aca="false">IF(BJ254&gt;=0,(BI254+IF(BI254&gt;=0,1,-1)*SQRT(BJ254))/2,0)</f>
        <v>0</v>
      </c>
      <c r="BL254" s="60" t="n">
        <f aca="false">IF(AND(BJ254&gt;=0,BK254&lt;&gt;0),MIN(BK254,BH254/BK254),-1)</f>
        <v>-1</v>
      </c>
      <c r="BM254" s="60" t="n">
        <f aca="false">AND(BJ254&gt;=0,BL254&gt;AP254,ABS(BG254-BL254)&gt;=0.00005*MAX(BG254,BL254))</f>
        <v>0</v>
      </c>
      <c r="BN254" s="60" t="n">
        <f aca="false">IF(BM254,IFERROR((((BL254+AQ254)*BL254+AR254)*BL254+AS254)/((3*BL254+2*AQ254)*BL254+AR254),0),0)</f>
        <v>0</v>
      </c>
      <c r="BO254" s="60" t="n">
        <f aca="false">IF(ABS(BN254)&lt;0.1*ABS(BL254),BL254-BN254,BL254)</f>
        <v>-1</v>
      </c>
      <c r="BP254" s="60" t="n">
        <f aca="false">IF(BM254,IFERROR((((BO254+AQ254)*BO254+AR254)*BO254+AS254)/((3*BO254+2*AQ254)*BO254+AR254),0),0)</f>
        <v>0</v>
      </c>
      <c r="BQ254" s="60" t="n">
        <f aca="false">IF(ABS(BP254)&lt;0.1*ABS(BO254),BO254-BP254,BO254)</f>
        <v>-1</v>
      </c>
      <c r="BR254" s="60" t="n">
        <f aca="false">IF(BM254,MAX(BG254,BQ254),BG254)</f>
        <v>0.91158844983184</v>
      </c>
      <c r="BS254" s="60" t="n">
        <f aca="false">IF(BM254,MIN(BG254,BQ254),-1)</f>
        <v>-1</v>
      </c>
      <c r="BT254" s="60" t="n">
        <f aca="false">CHOOSE($C$7,AO254/BR254,AO254/AP254*LN(1+AP254/BR254),AO254/(2*SQRT(2)*AP254)*LN((BR254+(1+SQRT(2))*AP254)/(BR254+(1-SQRT(2))*AP254)))</f>
        <v>0.218240791233887</v>
      </c>
      <c r="BU254" s="60" t="n">
        <f aca="false">BR254-1-LN(BR254-AP254)-BT254</f>
        <v>-0.107840271021729</v>
      </c>
      <c r="BV254" s="60" t="n">
        <f aca="false">IF(BM254,CHOOSE($C$7,AO254/BS254,AO254/AP254*LN(1+AP254/BS254),AO254/(2*SQRT(2)*AP254)*LN((BS254+(1+SQRT(2))*AP254)/(BS254+(1-SQRT(2))*AP254))),0)</f>
        <v>0</v>
      </c>
      <c r="BW254" s="60" t="n">
        <f aca="false">IF(BM254,BS254-1-LN(BS254-AP254)-BV254,0)</f>
        <v>0</v>
      </c>
      <c r="BX254" s="60" t="n">
        <f aca="false">AND(BM254,BW254&lt;BU254)</f>
        <v>0</v>
      </c>
      <c r="BY254" s="60" t="n">
        <f aca="false">IF(BX254,BS254,BR254)</f>
        <v>0.91158844983184</v>
      </c>
      <c r="BZ254" s="60" t="n">
        <f aca="false">IF(BX254,BV254,BT254)</f>
        <v>0.218240791233887</v>
      </c>
      <c r="CA254" s="60" t="n">
        <f aca="false">LN(BY254-AP254)</f>
        <v>-0.198812070380318</v>
      </c>
      <c r="CB254" s="60" t="n">
        <f aca="false">$E$27/AN254*(BY254-1)-CA254-BZ254*(2*AA254/AM254-$E$27/AN254)</f>
        <v>-0.107840271021729</v>
      </c>
      <c r="CC254" s="60" t="n">
        <f aca="false">$F$27/AN254*(BY254-1)-CA254-BZ254*(2*AB254/AM254-$F$27/AN254)</f>
        <v>0.198812070380318</v>
      </c>
      <c r="CD254" s="60" t="n">
        <f aca="false">$G$27/AN254*(BY254-1)-CA254-BZ254*(2*AC254/AM254-$G$27/AN254)</f>
        <v>0.198812070380318</v>
      </c>
      <c r="CE254" s="60" t="n">
        <f aca="false">$H$27/AN254*(BY254-1)-CA254-BZ254*(2*AD254/AM254-$H$27/AN254)</f>
        <v>0.198812070380318</v>
      </c>
      <c r="CF254" s="60" t="n">
        <f aca="false">$I$27/AN254*(BY254-1)-CA254-BZ254*(2*AE254/AM254-$I$27/AN254)</f>
        <v>0.198812070380318</v>
      </c>
      <c r="CG254" s="60" t="n">
        <f aca="false">$J$27/AN254*(BY254-1)-CA254-BZ254*(2*AF254/AM254-$J$27/AN254)</f>
        <v>0.198812070380318</v>
      </c>
      <c r="CH254" s="60" t="n">
        <f aca="false">$K$27/AN254*(BY254-1)-CA254-BZ254*(2*AG254/AM254-$K$27/AN254)</f>
        <v>0.198812070380318</v>
      </c>
      <c r="CI254" s="60" t="n">
        <f aca="false">$L$27/AN254*(BY254-1)-CA254-BZ254*(2*AH254/AM254-$L$27/AN254)</f>
        <v>0.198812070380318</v>
      </c>
      <c r="CJ254" s="60" t="n">
        <f aca="false">$M$27/AN254*(BY254-1)-CA254-BZ254*(2*AI254/AM254-$M$27/AN254)</f>
        <v>0.198812070380318</v>
      </c>
      <c r="CK254" s="60" t="n">
        <f aca="false">$N$27/AN254*(BY254-1)-CA254-BZ254*(2*AJ254/AM254-$N$27/AN254)</f>
        <v>0.198812070380318</v>
      </c>
      <c r="CL254" s="60" t="n">
        <f aca="false">$O$27/AN254*(BY254-1)-CA254-BZ254*(2*AK254/AM254-$O$27/AN254)</f>
        <v>0.198812070380318</v>
      </c>
      <c r="CM254" s="60" t="n">
        <f aca="false">$P$27/AN254*(BY254-1)-CA254-BZ254*(2*AL254/AM254-$P$27/AN254)</f>
        <v>0.198812070380318</v>
      </c>
      <c r="CN254" s="60" t="n">
        <f aca="false">AP254/BY254&gt;$C$22</f>
        <v>0</v>
      </c>
      <c r="CO254" s="60"/>
      <c r="CP254" s="60" t="n">
        <f aca="false">SUMXMY2(O254:Z254,$E$13:$P$13)</f>
        <v>0</v>
      </c>
    </row>
    <row r="255" customFormat="false" ht="15" hidden="false" customHeight="false" outlineLevel="0" collapsed="false">
      <c r="A255" s="59" t="n">
        <v>2</v>
      </c>
      <c r="B255" s="60" t="n">
        <f aca="false">$E$13*EXP(MAX(-700,MIN(700,$E$86-CB254)))</f>
        <v>1</v>
      </c>
      <c r="C255" s="60" t="n">
        <f aca="false">$F$13*EXP(MAX(-700,MIN(700,$F$86-CC254)))</f>
        <v>0</v>
      </c>
      <c r="D255" s="60" t="n">
        <f aca="false">$G$13*EXP(MAX(-700,MIN(700,$G$86-CD254)))</f>
        <v>0</v>
      </c>
      <c r="E255" s="60" t="n">
        <f aca="false">$H$13*EXP(MAX(-700,MIN(700,$H$86-CE254)))</f>
        <v>0</v>
      </c>
      <c r="F255" s="60" t="n">
        <f aca="false">$I$13*EXP(MAX(-700,MIN(700,$I$86-CF254)))</f>
        <v>0</v>
      </c>
      <c r="G255" s="60" t="n">
        <f aca="false">$J$13*EXP(MAX(-700,MIN(700,$J$86-CG254)))</f>
        <v>0</v>
      </c>
      <c r="H255" s="60" t="n">
        <f aca="false">$K$13*EXP(MAX(-700,MIN(700,$K$86-CH254)))</f>
        <v>0</v>
      </c>
      <c r="I255" s="60" t="n">
        <f aca="false">$L$13*EXP(MAX(-700,MIN(700,$L$86-CI254)))</f>
        <v>0</v>
      </c>
      <c r="J255" s="60" t="n">
        <f aca="false">$M$13*EXP(MAX(-700,MIN(700,$M$86-CJ254)))</f>
        <v>0</v>
      </c>
      <c r="K255" s="60" t="n">
        <f aca="false">$N$13*EXP(MAX(-700,MIN(700,$N$86-CK254)))</f>
        <v>0</v>
      </c>
      <c r="L255" s="60" t="n">
        <f aca="false">$O$13*EXP(MAX(-700,MIN(700,$O$86-CL254)))</f>
        <v>0</v>
      </c>
      <c r="M255" s="60" t="n">
        <f aca="false">$P$13*EXP(MAX(-700,MIN(700,$P$86-CM254)))</f>
        <v>0</v>
      </c>
      <c r="N255" s="60" t="n">
        <f aca="false">SUM(B255:M255)</f>
        <v>1</v>
      </c>
      <c r="O255" s="60" t="n">
        <f aca="false">B255/N255</f>
        <v>1</v>
      </c>
      <c r="P255" s="60" t="n">
        <f aca="false">C255/N255</f>
        <v>0</v>
      </c>
      <c r="Q255" s="60" t="n">
        <f aca="false">D255/N255</f>
        <v>0</v>
      </c>
      <c r="R255" s="60" t="n">
        <f aca="false">E255/N255</f>
        <v>0</v>
      </c>
      <c r="S255" s="60" t="n">
        <f aca="false">F255/N255</f>
        <v>0</v>
      </c>
      <c r="T255" s="60" t="n">
        <f aca="false">G255/N255</f>
        <v>0</v>
      </c>
      <c r="U255" s="60" t="n">
        <f aca="false">H255/N255</f>
        <v>0</v>
      </c>
      <c r="V255" s="60" t="n">
        <f aca="false">I255/N255</f>
        <v>0</v>
      </c>
      <c r="W255" s="60" t="n">
        <f aca="false">J255/N255</f>
        <v>0</v>
      </c>
      <c r="X255" s="60" t="n">
        <f aca="false">K255/N255</f>
        <v>0</v>
      </c>
      <c r="Y255" s="60" t="n">
        <f aca="false">L255/N255</f>
        <v>0</v>
      </c>
      <c r="Z255" s="60" t="n">
        <f aca="false">M255/N255</f>
        <v>0</v>
      </c>
      <c r="AA255" s="60" t="n">
        <f aca="false">$E$28*SUMPRODUCT($E$31:$P$31,O255:Z255,$E$28:$P$28)</f>
        <v>0.184416866619846</v>
      </c>
      <c r="AB255" s="60" t="n">
        <f aca="false">$F$28*SUMPRODUCT($E$32:$P$32,O255:Z255,$E$28:$P$28)</f>
        <v>0</v>
      </c>
      <c r="AC255" s="60" t="n">
        <f aca="false">$G$28*SUMPRODUCT($E$33:$P$33,O255:Z255,$E$28:$P$28)</f>
        <v>0</v>
      </c>
      <c r="AD255" s="60" t="n">
        <f aca="false">$H$28*SUMPRODUCT($E$34:$P$34,O255:Z255,$E$28:$P$28)</f>
        <v>0</v>
      </c>
      <c r="AE255" s="60" t="n">
        <f aca="false">$I$28*SUMPRODUCT($E$35:$P$35,O255:Z255,$E$28:$P$28)</f>
        <v>0</v>
      </c>
      <c r="AF255" s="60" t="n">
        <f aca="false">$J$28*SUMPRODUCT($E$36:$P$36,O255:Z255,$E$28:$P$28)</f>
        <v>0</v>
      </c>
      <c r="AG255" s="60" t="n">
        <f aca="false">$K$28*SUMPRODUCT($E$37:$P$37,O255:Z255,$E$28:$P$28)</f>
        <v>0</v>
      </c>
      <c r="AH255" s="60" t="n">
        <f aca="false">$L$28*SUMPRODUCT($E$38:$P$38,O255:Z255,$E$28:$P$28)</f>
        <v>0</v>
      </c>
      <c r="AI255" s="60" t="n">
        <f aca="false">$M$28*SUMPRODUCT($E$39:$P$39,O255:Z255,$E$28:$P$28)</f>
        <v>0</v>
      </c>
      <c r="AJ255" s="60" t="n">
        <f aca="false">$N$28*SUMPRODUCT($E$40:$P$40,O255:Z255,$E$28:$P$28)</f>
        <v>0</v>
      </c>
      <c r="AK255" s="60" t="n">
        <f aca="false">$O$28*SUMPRODUCT($E$41:$P$41,O255:Z255,$E$28:$P$28)</f>
        <v>0</v>
      </c>
      <c r="AL255" s="60" t="n">
        <f aca="false">$P$28*SUMPRODUCT($E$42:$P$42,O255:Z255,$E$28:$P$28)</f>
        <v>0</v>
      </c>
      <c r="AM255" s="60" t="n">
        <f aca="false">SUMPRODUCT(O255:Z255,AA255:AL255)</f>
        <v>0.184416866619846</v>
      </c>
      <c r="AN255" s="60" t="n">
        <f aca="false">SUMPRODUCT(O255:Z255,$E$27:$P$27)</f>
        <v>2.67389635063809E-005</v>
      </c>
      <c r="AO255" s="60" t="n">
        <f aca="false">AM255*$C$9/($C$10*$C$8)^2</f>
        <v>0.21776909410545</v>
      </c>
      <c r="AP255" s="60" t="n">
        <f aca="false">AN255*$C$9/($C$10*$C$8)</f>
        <v>0.0918845243259994</v>
      </c>
      <c r="AQ255" s="60" t="n">
        <f aca="false">CHOOSE($C$7,-(1+AP255),-1,-(1-AP255))</f>
        <v>-0.908115475674001</v>
      </c>
      <c r="AR255" s="60" t="n">
        <f aca="false">CHOOSE($C$7,AO255,AO255-AP255-AP255^2,AO255-3*AP255^2-2*AP255)</f>
        <v>0.00867174802160559</v>
      </c>
      <c r="AS255" s="60" t="n">
        <f aca="false">CHOOSE($C$7,-AO255*AP255,-AO255*AP255,-(AO255*AP255-AP255^2-AP255^3))</f>
        <v>-0.0107910842936637</v>
      </c>
      <c r="AT255" s="60" t="n">
        <f aca="false">AR255-AQ255^2/3</f>
        <v>-0.266219491031267</v>
      </c>
      <c r="AU255" s="60" t="n">
        <f aca="false">2*AQ255^3/27-AQ255*AR255/3+AS255</f>
        <v>-0.0636400988362784</v>
      </c>
      <c r="AV255" s="60" t="n">
        <f aca="false">AU255^2/4+AT255^3/27</f>
        <v>0.000313710901361829</v>
      </c>
      <c r="AW255" s="60" t="n">
        <f aca="false">-AU255/2-IF(AU255&gt;=0,1,-1)*SQRT(MAX(AV255,0))</f>
        <v>0.0495319352963236</v>
      </c>
      <c r="AX255" s="60" t="n">
        <f aca="false">SIGN(AW255)*ABS(AW255)^(1/3)</f>
        <v>0.367249967174439</v>
      </c>
      <c r="AY255" s="60" t="n">
        <f aca="false">IF(AX255=0,0,AX255-AT255/(3*AX255))</f>
        <v>0.60888329127384</v>
      </c>
      <c r="AZ255" s="60" t="n">
        <f aca="false">2*SQRT(MAX(-AT255,0)/3)</f>
        <v>0.595784626668918</v>
      </c>
      <c r="BA255" s="60" t="n">
        <f aca="false">ACOS(IF(AZ255=0,0,MAX(-1,MIN(1,3*AU255/(AT255*AZ255)))))</f>
        <v>0</v>
      </c>
      <c r="BB255" s="60" t="n">
        <f aca="false">AZ255*COS(BA255/3)</f>
        <v>0.595784626668918</v>
      </c>
      <c r="BC255" s="60" t="n">
        <f aca="false">IF(AV255&lt;0,BB255,AY255)-AQ255/3</f>
        <v>0.91158844983184</v>
      </c>
      <c r="BD255" s="60" t="n">
        <f aca="false">IFERROR((((BC255+AQ255)*BC255+AR255)*BC255+AS255)/((3*BC255+2*AQ255)*BC255+AR255),0)</f>
        <v>0</v>
      </c>
      <c r="BE255" s="60" t="n">
        <f aca="false">IF(ABS(BD255)&lt;0.1*ABS(BC255),BC255-BD255,BC255)</f>
        <v>0.91158844983184</v>
      </c>
      <c r="BF255" s="60" t="n">
        <f aca="false">IFERROR((((BE255+AQ255)*BE255+AR255)*BE255+AS255)/((3*BE255+2*AQ255)*BE255+AR255),0)</f>
        <v>0</v>
      </c>
      <c r="BG255" s="60" t="n">
        <f aca="false">IF(ABS(BF255)&lt;0.1*ABS(BE255),BE255-BF255,BE255)</f>
        <v>0.91158844983184</v>
      </c>
      <c r="BH255" s="60" t="n">
        <f aca="false">-AS255/BG255</f>
        <v>0.0118376711504565</v>
      </c>
      <c r="BI255" s="60" t="n">
        <f aca="false">(AR255-BH255)/BG255</f>
        <v>-0.00347297415783941</v>
      </c>
      <c r="BJ255" s="60" t="n">
        <f aca="false">BI255^2-4*BH255</f>
        <v>-0.0473386230523248</v>
      </c>
      <c r="BK255" s="60" t="n">
        <f aca="false">IF(BJ255&gt;=0,(BI255+IF(BI255&gt;=0,1,-1)*SQRT(BJ255))/2,0)</f>
        <v>0</v>
      </c>
      <c r="BL255" s="60" t="n">
        <f aca="false">IF(AND(BJ255&gt;=0,BK255&lt;&gt;0),MIN(BK255,BH255/BK255),-1)</f>
        <v>-1</v>
      </c>
      <c r="BM255" s="60" t="n">
        <f aca="false">AND(BJ255&gt;=0,BL255&gt;AP255,ABS(BG255-BL255)&gt;=0.00005*MAX(BG255,BL255))</f>
        <v>0</v>
      </c>
      <c r="BN255" s="60" t="n">
        <f aca="false">IF(BM255,IFERROR((((BL255+AQ255)*BL255+AR255)*BL255+AS255)/((3*BL255+2*AQ255)*BL255+AR255),0),0)</f>
        <v>0</v>
      </c>
      <c r="BO255" s="60" t="n">
        <f aca="false">IF(ABS(BN255)&lt;0.1*ABS(BL255),BL255-BN255,BL255)</f>
        <v>-1</v>
      </c>
      <c r="BP255" s="60" t="n">
        <f aca="false">IF(BM255,IFERROR((((BO255+AQ255)*BO255+AR255)*BO255+AS255)/((3*BO255+2*AQ255)*BO255+AR255),0),0)</f>
        <v>0</v>
      </c>
      <c r="BQ255" s="60" t="n">
        <f aca="false">IF(ABS(BP255)&lt;0.1*ABS(BO255),BO255-BP255,BO255)</f>
        <v>-1</v>
      </c>
      <c r="BR255" s="60" t="n">
        <f aca="false">IF(BM255,MAX(BG255,BQ255),BG255)</f>
        <v>0.91158844983184</v>
      </c>
      <c r="BS255" s="60" t="n">
        <f aca="false">IF(BM255,MIN(BG255,BQ255),-1)</f>
        <v>-1</v>
      </c>
      <c r="BT255" s="60" t="n">
        <f aca="false">CHOOSE($C$7,AO255/BR255,AO255/AP255*LN(1+AP255/BR255),AO255/(2*SQRT(2)*AP255)*LN((BR255+(1+SQRT(2))*AP255)/(BR255+(1-SQRT(2))*AP255)))</f>
        <v>0.218240791233887</v>
      </c>
      <c r="BU255" s="60" t="n">
        <f aca="false">BR255-1-LN(BR255-AP255)-BT255</f>
        <v>-0.107840271021729</v>
      </c>
      <c r="BV255" s="60" t="n">
        <f aca="false">IF(BM255,CHOOSE($C$7,AO255/BS255,AO255/AP255*LN(1+AP255/BS255),AO255/(2*SQRT(2)*AP255)*LN((BS255+(1+SQRT(2))*AP255)/(BS255+(1-SQRT(2))*AP255))),0)</f>
        <v>0</v>
      </c>
      <c r="BW255" s="60" t="n">
        <f aca="false">IF(BM255,BS255-1-LN(BS255-AP255)-BV255,0)</f>
        <v>0</v>
      </c>
      <c r="BX255" s="60" t="n">
        <f aca="false">AND(BM255,BW255&lt;BU255)</f>
        <v>0</v>
      </c>
      <c r="BY255" s="60" t="n">
        <f aca="false">IF(BX255,BS255,BR255)</f>
        <v>0.91158844983184</v>
      </c>
      <c r="BZ255" s="60" t="n">
        <f aca="false">IF(BX255,BV255,BT255)</f>
        <v>0.218240791233887</v>
      </c>
      <c r="CA255" s="60" t="n">
        <f aca="false">LN(BY255-AP255)</f>
        <v>-0.198812070380318</v>
      </c>
      <c r="CB255" s="60" t="n">
        <f aca="false">$E$27/AN255*(BY255-1)-CA255-BZ255*(2*AA255/AM255-$E$27/AN255)</f>
        <v>-0.107840271021729</v>
      </c>
      <c r="CC255" s="60" t="n">
        <f aca="false">$F$27/AN255*(BY255-1)-CA255-BZ255*(2*AB255/AM255-$F$27/AN255)</f>
        <v>0.198812070380318</v>
      </c>
      <c r="CD255" s="60" t="n">
        <f aca="false">$G$27/AN255*(BY255-1)-CA255-BZ255*(2*AC255/AM255-$G$27/AN255)</f>
        <v>0.198812070380318</v>
      </c>
      <c r="CE255" s="60" t="n">
        <f aca="false">$H$27/AN255*(BY255-1)-CA255-BZ255*(2*AD255/AM255-$H$27/AN255)</f>
        <v>0.198812070380318</v>
      </c>
      <c r="CF255" s="60" t="n">
        <f aca="false">$I$27/AN255*(BY255-1)-CA255-BZ255*(2*AE255/AM255-$I$27/AN255)</f>
        <v>0.198812070380318</v>
      </c>
      <c r="CG255" s="60" t="n">
        <f aca="false">$J$27/AN255*(BY255-1)-CA255-BZ255*(2*AF255/AM255-$J$27/AN255)</f>
        <v>0.198812070380318</v>
      </c>
      <c r="CH255" s="60" t="n">
        <f aca="false">$K$27/AN255*(BY255-1)-CA255-BZ255*(2*AG255/AM255-$K$27/AN255)</f>
        <v>0.198812070380318</v>
      </c>
      <c r="CI255" s="60" t="n">
        <f aca="false">$L$27/AN255*(BY255-1)-CA255-BZ255*(2*AH255/AM255-$L$27/AN255)</f>
        <v>0.198812070380318</v>
      </c>
      <c r="CJ255" s="60" t="n">
        <f aca="false">$M$27/AN255*(BY255-1)-CA255-BZ255*(2*AI255/AM255-$M$27/AN255)</f>
        <v>0.198812070380318</v>
      </c>
      <c r="CK255" s="60" t="n">
        <f aca="false">$N$27/AN255*(BY255-1)-CA255-BZ255*(2*AJ255/AM255-$N$27/AN255)</f>
        <v>0.198812070380318</v>
      </c>
      <c r="CL255" s="60" t="n">
        <f aca="false">$O$27/AN255*(BY255-1)-CA255-BZ255*(2*AK255/AM255-$O$27/AN255)</f>
        <v>0.198812070380318</v>
      </c>
      <c r="CM255" s="60" t="n">
        <f aca="false">$P$27/AN255*(BY255-1)-CA255-BZ255*(2*AL255/AM255-$P$27/AN255)</f>
        <v>0.198812070380318</v>
      </c>
      <c r="CN255" s="60" t="n">
        <f aca="false">AP255/BY255&gt;$C$22</f>
        <v>0</v>
      </c>
      <c r="CO255" s="60" t="n">
        <f aca="false">1-N255+SUMPRODUCT(B255:M255,CB255:CM255)-SUMPRODUCT(B255:M255,CB254:CM254)</f>
        <v>0</v>
      </c>
      <c r="CP255" s="60" t="n">
        <f aca="false">SUMXMY2(O255:Z255,$E$13:$P$13)</f>
        <v>0</v>
      </c>
    </row>
    <row r="256" customFormat="false" ht="15" hidden="false" customHeight="false" outlineLevel="0" collapsed="false">
      <c r="A256" s="59" t="n">
        <v>3</v>
      </c>
      <c r="B256" s="60" t="n">
        <f aca="false">$E$13*EXP(MAX(-700,MIN(700,$E$86-CB255)))</f>
        <v>1</v>
      </c>
      <c r="C256" s="60" t="n">
        <f aca="false">$F$13*EXP(MAX(-700,MIN(700,$F$86-CC255)))</f>
        <v>0</v>
      </c>
      <c r="D256" s="60" t="n">
        <f aca="false">$G$13*EXP(MAX(-700,MIN(700,$G$86-CD255)))</f>
        <v>0</v>
      </c>
      <c r="E256" s="60" t="n">
        <f aca="false">$H$13*EXP(MAX(-700,MIN(700,$H$86-CE255)))</f>
        <v>0</v>
      </c>
      <c r="F256" s="60" t="n">
        <f aca="false">$I$13*EXP(MAX(-700,MIN(700,$I$86-CF255)))</f>
        <v>0</v>
      </c>
      <c r="G256" s="60" t="n">
        <f aca="false">$J$13*EXP(MAX(-700,MIN(700,$J$86-CG255)))</f>
        <v>0</v>
      </c>
      <c r="H256" s="60" t="n">
        <f aca="false">$K$13*EXP(MAX(-700,MIN(700,$K$86-CH255)))</f>
        <v>0</v>
      </c>
      <c r="I256" s="60" t="n">
        <f aca="false">$L$13*EXP(MAX(-700,MIN(700,$L$86-CI255)))</f>
        <v>0</v>
      </c>
      <c r="J256" s="60" t="n">
        <f aca="false">$M$13*EXP(MAX(-700,MIN(700,$M$86-CJ255)))</f>
        <v>0</v>
      </c>
      <c r="K256" s="60" t="n">
        <f aca="false">$N$13*EXP(MAX(-700,MIN(700,$N$86-CK255)))</f>
        <v>0</v>
      </c>
      <c r="L256" s="60" t="n">
        <f aca="false">$O$13*EXP(MAX(-700,MIN(700,$O$86-CL255)))</f>
        <v>0</v>
      </c>
      <c r="M256" s="60" t="n">
        <f aca="false">$P$13*EXP(MAX(-700,MIN(700,$P$86-CM255)))</f>
        <v>0</v>
      </c>
      <c r="N256" s="60" t="n">
        <f aca="false">SUM(B256:M256)</f>
        <v>1</v>
      </c>
      <c r="O256" s="60" t="n">
        <f aca="false">B256/N256</f>
        <v>1</v>
      </c>
      <c r="P256" s="60" t="n">
        <f aca="false">C256/N256</f>
        <v>0</v>
      </c>
      <c r="Q256" s="60" t="n">
        <f aca="false">D256/N256</f>
        <v>0</v>
      </c>
      <c r="R256" s="60" t="n">
        <f aca="false">E256/N256</f>
        <v>0</v>
      </c>
      <c r="S256" s="60" t="n">
        <f aca="false">F256/N256</f>
        <v>0</v>
      </c>
      <c r="T256" s="60" t="n">
        <f aca="false">G256/N256</f>
        <v>0</v>
      </c>
      <c r="U256" s="60" t="n">
        <f aca="false">H256/N256</f>
        <v>0</v>
      </c>
      <c r="V256" s="60" t="n">
        <f aca="false">I256/N256</f>
        <v>0</v>
      </c>
      <c r="W256" s="60" t="n">
        <f aca="false">J256/N256</f>
        <v>0</v>
      </c>
      <c r="X256" s="60" t="n">
        <f aca="false">K256/N256</f>
        <v>0</v>
      </c>
      <c r="Y256" s="60" t="n">
        <f aca="false">L256/N256</f>
        <v>0</v>
      </c>
      <c r="Z256" s="60" t="n">
        <f aca="false">M256/N256</f>
        <v>0</v>
      </c>
      <c r="AA256" s="60" t="n">
        <f aca="false">$E$28*SUMPRODUCT($E$31:$P$31,O256:Z256,$E$28:$P$28)</f>
        <v>0.184416866619846</v>
      </c>
      <c r="AB256" s="60" t="n">
        <f aca="false">$F$28*SUMPRODUCT($E$32:$P$32,O256:Z256,$E$28:$P$28)</f>
        <v>0</v>
      </c>
      <c r="AC256" s="60" t="n">
        <f aca="false">$G$28*SUMPRODUCT($E$33:$P$33,O256:Z256,$E$28:$P$28)</f>
        <v>0</v>
      </c>
      <c r="AD256" s="60" t="n">
        <f aca="false">$H$28*SUMPRODUCT($E$34:$P$34,O256:Z256,$E$28:$P$28)</f>
        <v>0</v>
      </c>
      <c r="AE256" s="60" t="n">
        <f aca="false">$I$28*SUMPRODUCT($E$35:$P$35,O256:Z256,$E$28:$P$28)</f>
        <v>0</v>
      </c>
      <c r="AF256" s="60" t="n">
        <f aca="false">$J$28*SUMPRODUCT($E$36:$P$36,O256:Z256,$E$28:$P$28)</f>
        <v>0</v>
      </c>
      <c r="AG256" s="60" t="n">
        <f aca="false">$K$28*SUMPRODUCT($E$37:$P$37,O256:Z256,$E$28:$P$28)</f>
        <v>0</v>
      </c>
      <c r="AH256" s="60" t="n">
        <f aca="false">$L$28*SUMPRODUCT($E$38:$P$38,O256:Z256,$E$28:$P$28)</f>
        <v>0</v>
      </c>
      <c r="AI256" s="60" t="n">
        <f aca="false">$M$28*SUMPRODUCT($E$39:$P$39,O256:Z256,$E$28:$P$28)</f>
        <v>0</v>
      </c>
      <c r="AJ256" s="60" t="n">
        <f aca="false">$N$28*SUMPRODUCT($E$40:$P$40,O256:Z256,$E$28:$P$28)</f>
        <v>0</v>
      </c>
      <c r="AK256" s="60" t="n">
        <f aca="false">$O$28*SUMPRODUCT($E$41:$P$41,O256:Z256,$E$28:$P$28)</f>
        <v>0</v>
      </c>
      <c r="AL256" s="60" t="n">
        <f aca="false">$P$28*SUMPRODUCT($E$42:$P$42,O256:Z256,$E$28:$P$28)</f>
        <v>0</v>
      </c>
      <c r="AM256" s="60" t="n">
        <f aca="false">SUMPRODUCT(O256:Z256,AA256:AL256)</f>
        <v>0.184416866619846</v>
      </c>
      <c r="AN256" s="60" t="n">
        <f aca="false">SUMPRODUCT(O256:Z256,$E$27:$P$27)</f>
        <v>2.67389635063809E-005</v>
      </c>
      <c r="AO256" s="60" t="n">
        <f aca="false">AM256*$C$9/($C$10*$C$8)^2</f>
        <v>0.21776909410545</v>
      </c>
      <c r="AP256" s="60" t="n">
        <f aca="false">AN256*$C$9/($C$10*$C$8)</f>
        <v>0.0918845243259994</v>
      </c>
      <c r="AQ256" s="60" t="n">
        <f aca="false">CHOOSE($C$7,-(1+AP256),-1,-(1-AP256))</f>
        <v>-0.908115475674001</v>
      </c>
      <c r="AR256" s="60" t="n">
        <f aca="false">CHOOSE($C$7,AO256,AO256-AP256-AP256^2,AO256-3*AP256^2-2*AP256)</f>
        <v>0.00867174802160559</v>
      </c>
      <c r="AS256" s="60" t="n">
        <f aca="false">CHOOSE($C$7,-AO256*AP256,-AO256*AP256,-(AO256*AP256-AP256^2-AP256^3))</f>
        <v>-0.0107910842936637</v>
      </c>
      <c r="AT256" s="60" t="n">
        <f aca="false">AR256-AQ256^2/3</f>
        <v>-0.266219491031267</v>
      </c>
      <c r="AU256" s="60" t="n">
        <f aca="false">2*AQ256^3/27-AQ256*AR256/3+AS256</f>
        <v>-0.0636400988362784</v>
      </c>
      <c r="AV256" s="60" t="n">
        <f aca="false">AU256^2/4+AT256^3/27</f>
        <v>0.000313710901361829</v>
      </c>
      <c r="AW256" s="60" t="n">
        <f aca="false">-AU256/2-IF(AU256&gt;=0,1,-1)*SQRT(MAX(AV256,0))</f>
        <v>0.0495319352963236</v>
      </c>
      <c r="AX256" s="60" t="n">
        <f aca="false">SIGN(AW256)*ABS(AW256)^(1/3)</f>
        <v>0.367249967174439</v>
      </c>
      <c r="AY256" s="60" t="n">
        <f aca="false">IF(AX256=0,0,AX256-AT256/(3*AX256))</f>
        <v>0.60888329127384</v>
      </c>
      <c r="AZ256" s="60" t="n">
        <f aca="false">2*SQRT(MAX(-AT256,0)/3)</f>
        <v>0.595784626668918</v>
      </c>
      <c r="BA256" s="60" t="n">
        <f aca="false">ACOS(IF(AZ256=0,0,MAX(-1,MIN(1,3*AU256/(AT256*AZ256)))))</f>
        <v>0</v>
      </c>
      <c r="BB256" s="60" t="n">
        <f aca="false">AZ256*COS(BA256/3)</f>
        <v>0.595784626668918</v>
      </c>
      <c r="BC256" s="60" t="n">
        <f aca="false">IF(AV256&lt;0,BB256,AY256)-AQ256/3</f>
        <v>0.91158844983184</v>
      </c>
      <c r="BD256" s="60" t="n">
        <f aca="false">IFERROR((((BC256+AQ256)*BC256+AR256)*BC256+AS256)/((3*BC256+2*AQ256)*BC256+AR256),0)</f>
        <v>0</v>
      </c>
      <c r="BE256" s="60" t="n">
        <f aca="false">IF(ABS(BD256)&lt;0.1*ABS(BC256),BC256-BD256,BC256)</f>
        <v>0.91158844983184</v>
      </c>
      <c r="BF256" s="60" t="n">
        <f aca="false">IFERROR((((BE256+AQ256)*BE256+AR256)*BE256+AS256)/((3*BE256+2*AQ256)*BE256+AR256),0)</f>
        <v>0</v>
      </c>
      <c r="BG256" s="60" t="n">
        <f aca="false">IF(ABS(BF256)&lt;0.1*ABS(BE256),BE256-BF256,BE256)</f>
        <v>0.91158844983184</v>
      </c>
      <c r="BH256" s="60" t="n">
        <f aca="false">-AS256/BG256</f>
        <v>0.0118376711504565</v>
      </c>
      <c r="BI256" s="60" t="n">
        <f aca="false">(AR256-BH256)/BG256</f>
        <v>-0.00347297415783941</v>
      </c>
      <c r="BJ256" s="60" t="n">
        <f aca="false">BI256^2-4*BH256</f>
        <v>-0.0473386230523248</v>
      </c>
      <c r="BK256" s="60" t="n">
        <f aca="false">IF(BJ256&gt;=0,(BI256+IF(BI256&gt;=0,1,-1)*SQRT(BJ256))/2,0)</f>
        <v>0</v>
      </c>
      <c r="BL256" s="60" t="n">
        <f aca="false">IF(AND(BJ256&gt;=0,BK256&lt;&gt;0),MIN(BK256,BH256/BK256),-1)</f>
        <v>-1</v>
      </c>
      <c r="BM256" s="60" t="n">
        <f aca="false">AND(BJ256&gt;=0,BL256&gt;AP256,ABS(BG256-BL256)&gt;=0.00005*MAX(BG256,BL256))</f>
        <v>0</v>
      </c>
      <c r="BN256" s="60" t="n">
        <f aca="false">IF(BM256,IFERROR((((BL256+AQ256)*BL256+AR256)*BL256+AS256)/((3*BL256+2*AQ256)*BL256+AR256),0),0)</f>
        <v>0</v>
      </c>
      <c r="BO256" s="60" t="n">
        <f aca="false">IF(ABS(BN256)&lt;0.1*ABS(BL256),BL256-BN256,BL256)</f>
        <v>-1</v>
      </c>
      <c r="BP256" s="60" t="n">
        <f aca="false">IF(BM256,IFERROR((((BO256+AQ256)*BO256+AR256)*BO256+AS256)/((3*BO256+2*AQ256)*BO256+AR256),0),0)</f>
        <v>0</v>
      </c>
      <c r="BQ256" s="60" t="n">
        <f aca="false">IF(ABS(BP256)&lt;0.1*ABS(BO256),BO256-BP256,BO256)</f>
        <v>-1</v>
      </c>
      <c r="BR256" s="60" t="n">
        <f aca="false">IF(BM256,MAX(BG256,BQ256),BG256)</f>
        <v>0.91158844983184</v>
      </c>
      <c r="BS256" s="60" t="n">
        <f aca="false">IF(BM256,MIN(BG256,BQ256),-1)</f>
        <v>-1</v>
      </c>
      <c r="BT256" s="60" t="n">
        <f aca="false">CHOOSE($C$7,AO256/BR256,AO256/AP256*LN(1+AP256/BR256),AO256/(2*SQRT(2)*AP256)*LN((BR256+(1+SQRT(2))*AP256)/(BR256+(1-SQRT(2))*AP256)))</f>
        <v>0.218240791233887</v>
      </c>
      <c r="BU256" s="60" t="n">
        <f aca="false">BR256-1-LN(BR256-AP256)-BT256</f>
        <v>-0.107840271021729</v>
      </c>
      <c r="BV256" s="60" t="n">
        <f aca="false">IF(BM256,CHOOSE($C$7,AO256/BS256,AO256/AP256*LN(1+AP256/BS256),AO256/(2*SQRT(2)*AP256)*LN((BS256+(1+SQRT(2))*AP256)/(BS256+(1-SQRT(2))*AP256))),0)</f>
        <v>0</v>
      </c>
      <c r="BW256" s="60" t="n">
        <f aca="false">IF(BM256,BS256-1-LN(BS256-AP256)-BV256,0)</f>
        <v>0</v>
      </c>
      <c r="BX256" s="60" t="n">
        <f aca="false">AND(BM256,BW256&lt;BU256)</f>
        <v>0</v>
      </c>
      <c r="BY256" s="60" t="n">
        <f aca="false">IF(BX256,BS256,BR256)</f>
        <v>0.91158844983184</v>
      </c>
      <c r="BZ256" s="60" t="n">
        <f aca="false">IF(BX256,BV256,BT256)</f>
        <v>0.218240791233887</v>
      </c>
      <c r="CA256" s="60" t="n">
        <f aca="false">LN(BY256-AP256)</f>
        <v>-0.198812070380318</v>
      </c>
      <c r="CB256" s="60" t="n">
        <f aca="false">$E$27/AN256*(BY256-1)-CA256-BZ256*(2*AA256/AM256-$E$27/AN256)</f>
        <v>-0.107840271021729</v>
      </c>
      <c r="CC256" s="60" t="n">
        <f aca="false">$F$27/AN256*(BY256-1)-CA256-BZ256*(2*AB256/AM256-$F$27/AN256)</f>
        <v>0.198812070380318</v>
      </c>
      <c r="CD256" s="60" t="n">
        <f aca="false">$G$27/AN256*(BY256-1)-CA256-BZ256*(2*AC256/AM256-$G$27/AN256)</f>
        <v>0.198812070380318</v>
      </c>
      <c r="CE256" s="60" t="n">
        <f aca="false">$H$27/AN256*(BY256-1)-CA256-BZ256*(2*AD256/AM256-$H$27/AN256)</f>
        <v>0.198812070380318</v>
      </c>
      <c r="CF256" s="60" t="n">
        <f aca="false">$I$27/AN256*(BY256-1)-CA256-BZ256*(2*AE256/AM256-$I$27/AN256)</f>
        <v>0.198812070380318</v>
      </c>
      <c r="CG256" s="60" t="n">
        <f aca="false">$J$27/AN256*(BY256-1)-CA256-BZ256*(2*AF256/AM256-$J$27/AN256)</f>
        <v>0.198812070380318</v>
      </c>
      <c r="CH256" s="60" t="n">
        <f aca="false">$K$27/AN256*(BY256-1)-CA256-BZ256*(2*AG256/AM256-$K$27/AN256)</f>
        <v>0.198812070380318</v>
      </c>
      <c r="CI256" s="60" t="n">
        <f aca="false">$L$27/AN256*(BY256-1)-CA256-BZ256*(2*AH256/AM256-$L$27/AN256)</f>
        <v>0.198812070380318</v>
      </c>
      <c r="CJ256" s="60" t="n">
        <f aca="false">$M$27/AN256*(BY256-1)-CA256-BZ256*(2*AI256/AM256-$M$27/AN256)</f>
        <v>0.198812070380318</v>
      </c>
      <c r="CK256" s="60" t="n">
        <f aca="false">$N$27/AN256*(BY256-1)-CA256-BZ256*(2*AJ256/AM256-$N$27/AN256)</f>
        <v>0.198812070380318</v>
      </c>
      <c r="CL256" s="60" t="n">
        <f aca="false">$O$27/AN256*(BY256-1)-CA256-BZ256*(2*AK256/AM256-$O$27/AN256)</f>
        <v>0.198812070380318</v>
      </c>
      <c r="CM256" s="60" t="n">
        <f aca="false">$P$27/AN256*(BY256-1)-CA256-BZ256*(2*AL256/AM256-$P$27/AN256)</f>
        <v>0.198812070380318</v>
      </c>
      <c r="CN256" s="60" t="n">
        <f aca="false">AP256/BY256&gt;$C$22</f>
        <v>0</v>
      </c>
      <c r="CO256" s="60" t="n">
        <f aca="false">1-N256+SUMPRODUCT(B256:M256,CB256:CM256)-SUMPRODUCT(B256:M256,CB255:CM255)</f>
        <v>0</v>
      </c>
      <c r="CP256" s="60" t="n">
        <f aca="false">SUMXMY2(O256:Z256,$E$13:$P$13)</f>
        <v>0</v>
      </c>
    </row>
    <row r="257" customFormat="false" ht="15" hidden="false" customHeight="false" outlineLevel="0" collapsed="false">
      <c r="A257" s="59" t="n">
        <v>4</v>
      </c>
      <c r="B257" s="60" t="n">
        <f aca="false">$E$13*EXP(MAX(-700,MIN(700,$E$86-CB256)))</f>
        <v>1</v>
      </c>
      <c r="C257" s="60" t="n">
        <f aca="false">$F$13*EXP(MAX(-700,MIN(700,$F$86-CC256)))</f>
        <v>0</v>
      </c>
      <c r="D257" s="60" t="n">
        <f aca="false">$G$13*EXP(MAX(-700,MIN(700,$G$86-CD256)))</f>
        <v>0</v>
      </c>
      <c r="E257" s="60" t="n">
        <f aca="false">$H$13*EXP(MAX(-700,MIN(700,$H$86-CE256)))</f>
        <v>0</v>
      </c>
      <c r="F257" s="60" t="n">
        <f aca="false">$I$13*EXP(MAX(-700,MIN(700,$I$86-CF256)))</f>
        <v>0</v>
      </c>
      <c r="G257" s="60" t="n">
        <f aca="false">$J$13*EXP(MAX(-700,MIN(700,$J$86-CG256)))</f>
        <v>0</v>
      </c>
      <c r="H257" s="60" t="n">
        <f aca="false">$K$13*EXP(MAX(-700,MIN(700,$K$86-CH256)))</f>
        <v>0</v>
      </c>
      <c r="I257" s="60" t="n">
        <f aca="false">$L$13*EXP(MAX(-700,MIN(700,$L$86-CI256)))</f>
        <v>0</v>
      </c>
      <c r="J257" s="60" t="n">
        <f aca="false">$M$13*EXP(MAX(-700,MIN(700,$M$86-CJ256)))</f>
        <v>0</v>
      </c>
      <c r="K257" s="60" t="n">
        <f aca="false">$N$13*EXP(MAX(-700,MIN(700,$N$86-CK256)))</f>
        <v>0</v>
      </c>
      <c r="L257" s="60" t="n">
        <f aca="false">$O$13*EXP(MAX(-700,MIN(700,$O$86-CL256)))</f>
        <v>0</v>
      </c>
      <c r="M257" s="60" t="n">
        <f aca="false">$P$13*EXP(MAX(-700,MIN(700,$P$86-CM256)))</f>
        <v>0</v>
      </c>
      <c r="N257" s="60" t="n">
        <f aca="false">SUM(B257:M257)</f>
        <v>1</v>
      </c>
      <c r="O257" s="60" t="n">
        <f aca="false">B257/N257</f>
        <v>1</v>
      </c>
      <c r="P257" s="60" t="n">
        <f aca="false">C257/N257</f>
        <v>0</v>
      </c>
      <c r="Q257" s="60" t="n">
        <f aca="false">D257/N257</f>
        <v>0</v>
      </c>
      <c r="R257" s="60" t="n">
        <f aca="false">E257/N257</f>
        <v>0</v>
      </c>
      <c r="S257" s="60" t="n">
        <f aca="false">F257/N257</f>
        <v>0</v>
      </c>
      <c r="T257" s="60" t="n">
        <f aca="false">G257/N257</f>
        <v>0</v>
      </c>
      <c r="U257" s="60" t="n">
        <f aca="false">H257/N257</f>
        <v>0</v>
      </c>
      <c r="V257" s="60" t="n">
        <f aca="false">I257/N257</f>
        <v>0</v>
      </c>
      <c r="W257" s="60" t="n">
        <f aca="false">J257/N257</f>
        <v>0</v>
      </c>
      <c r="X257" s="60" t="n">
        <f aca="false">K257/N257</f>
        <v>0</v>
      </c>
      <c r="Y257" s="60" t="n">
        <f aca="false">L257/N257</f>
        <v>0</v>
      </c>
      <c r="Z257" s="60" t="n">
        <f aca="false">M257/N257</f>
        <v>0</v>
      </c>
      <c r="AA257" s="60" t="n">
        <f aca="false">$E$28*SUMPRODUCT($E$31:$P$31,O257:Z257,$E$28:$P$28)</f>
        <v>0.184416866619846</v>
      </c>
      <c r="AB257" s="60" t="n">
        <f aca="false">$F$28*SUMPRODUCT($E$32:$P$32,O257:Z257,$E$28:$P$28)</f>
        <v>0</v>
      </c>
      <c r="AC257" s="60" t="n">
        <f aca="false">$G$28*SUMPRODUCT($E$33:$P$33,O257:Z257,$E$28:$P$28)</f>
        <v>0</v>
      </c>
      <c r="AD257" s="60" t="n">
        <f aca="false">$H$28*SUMPRODUCT($E$34:$P$34,O257:Z257,$E$28:$P$28)</f>
        <v>0</v>
      </c>
      <c r="AE257" s="60" t="n">
        <f aca="false">$I$28*SUMPRODUCT($E$35:$P$35,O257:Z257,$E$28:$P$28)</f>
        <v>0</v>
      </c>
      <c r="AF257" s="60" t="n">
        <f aca="false">$J$28*SUMPRODUCT($E$36:$P$36,O257:Z257,$E$28:$P$28)</f>
        <v>0</v>
      </c>
      <c r="AG257" s="60" t="n">
        <f aca="false">$K$28*SUMPRODUCT($E$37:$P$37,O257:Z257,$E$28:$P$28)</f>
        <v>0</v>
      </c>
      <c r="AH257" s="60" t="n">
        <f aca="false">$L$28*SUMPRODUCT($E$38:$P$38,O257:Z257,$E$28:$P$28)</f>
        <v>0</v>
      </c>
      <c r="AI257" s="60" t="n">
        <f aca="false">$M$28*SUMPRODUCT($E$39:$P$39,O257:Z257,$E$28:$P$28)</f>
        <v>0</v>
      </c>
      <c r="AJ257" s="60" t="n">
        <f aca="false">$N$28*SUMPRODUCT($E$40:$P$40,O257:Z257,$E$28:$P$28)</f>
        <v>0</v>
      </c>
      <c r="AK257" s="60" t="n">
        <f aca="false">$O$28*SUMPRODUCT($E$41:$P$41,O257:Z257,$E$28:$P$28)</f>
        <v>0</v>
      </c>
      <c r="AL257" s="60" t="n">
        <f aca="false">$P$28*SUMPRODUCT($E$42:$P$42,O257:Z257,$E$28:$P$28)</f>
        <v>0</v>
      </c>
      <c r="AM257" s="60" t="n">
        <f aca="false">SUMPRODUCT(O257:Z257,AA257:AL257)</f>
        <v>0.184416866619846</v>
      </c>
      <c r="AN257" s="60" t="n">
        <f aca="false">SUMPRODUCT(O257:Z257,$E$27:$P$27)</f>
        <v>2.67389635063809E-005</v>
      </c>
      <c r="AO257" s="60" t="n">
        <f aca="false">AM257*$C$9/($C$10*$C$8)^2</f>
        <v>0.21776909410545</v>
      </c>
      <c r="AP257" s="60" t="n">
        <f aca="false">AN257*$C$9/($C$10*$C$8)</f>
        <v>0.0918845243259994</v>
      </c>
      <c r="AQ257" s="60" t="n">
        <f aca="false">CHOOSE($C$7,-(1+AP257),-1,-(1-AP257))</f>
        <v>-0.908115475674001</v>
      </c>
      <c r="AR257" s="60" t="n">
        <f aca="false">CHOOSE($C$7,AO257,AO257-AP257-AP257^2,AO257-3*AP257^2-2*AP257)</f>
        <v>0.00867174802160559</v>
      </c>
      <c r="AS257" s="60" t="n">
        <f aca="false">CHOOSE($C$7,-AO257*AP257,-AO257*AP257,-(AO257*AP257-AP257^2-AP257^3))</f>
        <v>-0.0107910842936637</v>
      </c>
      <c r="AT257" s="60" t="n">
        <f aca="false">AR257-AQ257^2/3</f>
        <v>-0.266219491031267</v>
      </c>
      <c r="AU257" s="60" t="n">
        <f aca="false">2*AQ257^3/27-AQ257*AR257/3+AS257</f>
        <v>-0.0636400988362784</v>
      </c>
      <c r="AV257" s="60" t="n">
        <f aca="false">AU257^2/4+AT257^3/27</f>
        <v>0.000313710901361829</v>
      </c>
      <c r="AW257" s="60" t="n">
        <f aca="false">-AU257/2-IF(AU257&gt;=0,1,-1)*SQRT(MAX(AV257,0))</f>
        <v>0.0495319352963236</v>
      </c>
      <c r="AX257" s="60" t="n">
        <f aca="false">SIGN(AW257)*ABS(AW257)^(1/3)</f>
        <v>0.367249967174439</v>
      </c>
      <c r="AY257" s="60" t="n">
        <f aca="false">IF(AX257=0,0,AX257-AT257/(3*AX257))</f>
        <v>0.60888329127384</v>
      </c>
      <c r="AZ257" s="60" t="n">
        <f aca="false">2*SQRT(MAX(-AT257,0)/3)</f>
        <v>0.595784626668918</v>
      </c>
      <c r="BA257" s="60" t="n">
        <f aca="false">ACOS(IF(AZ257=0,0,MAX(-1,MIN(1,3*AU257/(AT257*AZ257)))))</f>
        <v>0</v>
      </c>
      <c r="BB257" s="60" t="n">
        <f aca="false">AZ257*COS(BA257/3)</f>
        <v>0.595784626668918</v>
      </c>
      <c r="BC257" s="60" t="n">
        <f aca="false">IF(AV257&lt;0,BB257,AY257)-AQ257/3</f>
        <v>0.91158844983184</v>
      </c>
      <c r="BD257" s="60" t="n">
        <f aca="false">IFERROR((((BC257+AQ257)*BC257+AR257)*BC257+AS257)/((3*BC257+2*AQ257)*BC257+AR257),0)</f>
        <v>0</v>
      </c>
      <c r="BE257" s="60" t="n">
        <f aca="false">IF(ABS(BD257)&lt;0.1*ABS(BC257),BC257-BD257,BC257)</f>
        <v>0.91158844983184</v>
      </c>
      <c r="BF257" s="60" t="n">
        <f aca="false">IFERROR((((BE257+AQ257)*BE257+AR257)*BE257+AS257)/((3*BE257+2*AQ257)*BE257+AR257),0)</f>
        <v>0</v>
      </c>
      <c r="BG257" s="60" t="n">
        <f aca="false">IF(ABS(BF257)&lt;0.1*ABS(BE257),BE257-BF257,BE257)</f>
        <v>0.91158844983184</v>
      </c>
      <c r="BH257" s="60" t="n">
        <f aca="false">-AS257/BG257</f>
        <v>0.0118376711504565</v>
      </c>
      <c r="BI257" s="60" t="n">
        <f aca="false">(AR257-BH257)/BG257</f>
        <v>-0.00347297415783941</v>
      </c>
      <c r="BJ257" s="60" t="n">
        <f aca="false">BI257^2-4*BH257</f>
        <v>-0.0473386230523248</v>
      </c>
      <c r="BK257" s="60" t="n">
        <f aca="false">IF(BJ257&gt;=0,(BI257+IF(BI257&gt;=0,1,-1)*SQRT(BJ257))/2,0)</f>
        <v>0</v>
      </c>
      <c r="BL257" s="60" t="n">
        <f aca="false">IF(AND(BJ257&gt;=0,BK257&lt;&gt;0),MIN(BK257,BH257/BK257),-1)</f>
        <v>-1</v>
      </c>
      <c r="BM257" s="60" t="n">
        <f aca="false">AND(BJ257&gt;=0,BL257&gt;AP257,ABS(BG257-BL257)&gt;=0.00005*MAX(BG257,BL257))</f>
        <v>0</v>
      </c>
      <c r="BN257" s="60" t="n">
        <f aca="false">IF(BM257,IFERROR((((BL257+AQ257)*BL257+AR257)*BL257+AS257)/((3*BL257+2*AQ257)*BL257+AR257),0),0)</f>
        <v>0</v>
      </c>
      <c r="BO257" s="60" t="n">
        <f aca="false">IF(ABS(BN257)&lt;0.1*ABS(BL257),BL257-BN257,BL257)</f>
        <v>-1</v>
      </c>
      <c r="BP257" s="60" t="n">
        <f aca="false">IF(BM257,IFERROR((((BO257+AQ257)*BO257+AR257)*BO257+AS257)/((3*BO257+2*AQ257)*BO257+AR257),0),0)</f>
        <v>0</v>
      </c>
      <c r="BQ257" s="60" t="n">
        <f aca="false">IF(ABS(BP257)&lt;0.1*ABS(BO257),BO257-BP257,BO257)</f>
        <v>-1</v>
      </c>
      <c r="BR257" s="60" t="n">
        <f aca="false">IF(BM257,MAX(BG257,BQ257),BG257)</f>
        <v>0.91158844983184</v>
      </c>
      <c r="BS257" s="60" t="n">
        <f aca="false">IF(BM257,MIN(BG257,BQ257),-1)</f>
        <v>-1</v>
      </c>
      <c r="BT257" s="60" t="n">
        <f aca="false">CHOOSE($C$7,AO257/BR257,AO257/AP257*LN(1+AP257/BR257),AO257/(2*SQRT(2)*AP257)*LN((BR257+(1+SQRT(2))*AP257)/(BR257+(1-SQRT(2))*AP257)))</f>
        <v>0.218240791233887</v>
      </c>
      <c r="BU257" s="60" t="n">
        <f aca="false">BR257-1-LN(BR257-AP257)-BT257</f>
        <v>-0.107840271021729</v>
      </c>
      <c r="BV257" s="60" t="n">
        <f aca="false">IF(BM257,CHOOSE($C$7,AO257/BS257,AO257/AP257*LN(1+AP257/BS257),AO257/(2*SQRT(2)*AP257)*LN((BS257+(1+SQRT(2))*AP257)/(BS257+(1-SQRT(2))*AP257))),0)</f>
        <v>0</v>
      </c>
      <c r="BW257" s="60" t="n">
        <f aca="false">IF(BM257,BS257-1-LN(BS257-AP257)-BV257,0)</f>
        <v>0</v>
      </c>
      <c r="BX257" s="60" t="n">
        <f aca="false">AND(BM257,BW257&lt;BU257)</f>
        <v>0</v>
      </c>
      <c r="BY257" s="60" t="n">
        <f aca="false">IF(BX257,BS257,BR257)</f>
        <v>0.91158844983184</v>
      </c>
      <c r="BZ257" s="60" t="n">
        <f aca="false">IF(BX257,BV257,BT257)</f>
        <v>0.218240791233887</v>
      </c>
      <c r="CA257" s="60" t="n">
        <f aca="false">LN(BY257-AP257)</f>
        <v>-0.198812070380318</v>
      </c>
      <c r="CB257" s="60" t="n">
        <f aca="false">$E$27/AN257*(BY257-1)-CA257-BZ257*(2*AA257/AM257-$E$27/AN257)</f>
        <v>-0.107840271021729</v>
      </c>
      <c r="CC257" s="60" t="n">
        <f aca="false">$F$27/AN257*(BY257-1)-CA257-BZ257*(2*AB257/AM257-$F$27/AN257)</f>
        <v>0.198812070380318</v>
      </c>
      <c r="CD257" s="60" t="n">
        <f aca="false">$G$27/AN257*(BY257-1)-CA257-BZ257*(2*AC257/AM257-$G$27/AN257)</f>
        <v>0.198812070380318</v>
      </c>
      <c r="CE257" s="60" t="n">
        <f aca="false">$H$27/AN257*(BY257-1)-CA257-BZ257*(2*AD257/AM257-$H$27/AN257)</f>
        <v>0.198812070380318</v>
      </c>
      <c r="CF257" s="60" t="n">
        <f aca="false">$I$27/AN257*(BY257-1)-CA257-BZ257*(2*AE257/AM257-$I$27/AN257)</f>
        <v>0.198812070380318</v>
      </c>
      <c r="CG257" s="60" t="n">
        <f aca="false">$J$27/AN257*(BY257-1)-CA257-BZ257*(2*AF257/AM257-$J$27/AN257)</f>
        <v>0.198812070380318</v>
      </c>
      <c r="CH257" s="60" t="n">
        <f aca="false">$K$27/AN257*(BY257-1)-CA257-BZ257*(2*AG257/AM257-$K$27/AN257)</f>
        <v>0.198812070380318</v>
      </c>
      <c r="CI257" s="60" t="n">
        <f aca="false">$L$27/AN257*(BY257-1)-CA257-BZ257*(2*AH257/AM257-$L$27/AN257)</f>
        <v>0.198812070380318</v>
      </c>
      <c r="CJ257" s="60" t="n">
        <f aca="false">$M$27/AN257*(BY257-1)-CA257-BZ257*(2*AI257/AM257-$M$27/AN257)</f>
        <v>0.198812070380318</v>
      </c>
      <c r="CK257" s="60" t="n">
        <f aca="false">$N$27/AN257*(BY257-1)-CA257-BZ257*(2*AJ257/AM257-$N$27/AN257)</f>
        <v>0.198812070380318</v>
      </c>
      <c r="CL257" s="60" t="n">
        <f aca="false">$O$27/AN257*(BY257-1)-CA257-BZ257*(2*AK257/AM257-$O$27/AN257)</f>
        <v>0.198812070380318</v>
      </c>
      <c r="CM257" s="60" t="n">
        <f aca="false">$P$27/AN257*(BY257-1)-CA257-BZ257*(2*AL257/AM257-$P$27/AN257)</f>
        <v>0.198812070380318</v>
      </c>
      <c r="CN257" s="60" t="n">
        <f aca="false">AP257/BY257&gt;$C$22</f>
        <v>0</v>
      </c>
      <c r="CO257" s="60" t="n">
        <f aca="false">1-N257+SUMPRODUCT(B257:M257,CB257:CM257)-SUMPRODUCT(B257:M257,CB256:CM256)</f>
        <v>0</v>
      </c>
      <c r="CP257" s="60" t="n">
        <f aca="false">SUMXMY2(O257:Z257,$E$13:$P$13)</f>
        <v>0</v>
      </c>
    </row>
    <row r="258" customFormat="false" ht="15" hidden="false" customHeight="false" outlineLevel="0" collapsed="false">
      <c r="A258" s="59" t="n">
        <v>5</v>
      </c>
      <c r="B258" s="60" t="n">
        <f aca="false">$E$13*EXP(MAX(-700,MIN(700,$E$86-CB257)))</f>
        <v>1</v>
      </c>
      <c r="C258" s="60" t="n">
        <f aca="false">$F$13*EXP(MAX(-700,MIN(700,$F$86-CC257)))</f>
        <v>0</v>
      </c>
      <c r="D258" s="60" t="n">
        <f aca="false">$G$13*EXP(MAX(-700,MIN(700,$G$86-CD257)))</f>
        <v>0</v>
      </c>
      <c r="E258" s="60" t="n">
        <f aca="false">$H$13*EXP(MAX(-700,MIN(700,$H$86-CE257)))</f>
        <v>0</v>
      </c>
      <c r="F258" s="60" t="n">
        <f aca="false">$I$13*EXP(MAX(-700,MIN(700,$I$86-CF257)))</f>
        <v>0</v>
      </c>
      <c r="G258" s="60" t="n">
        <f aca="false">$J$13*EXP(MAX(-700,MIN(700,$J$86-CG257)))</f>
        <v>0</v>
      </c>
      <c r="H258" s="60" t="n">
        <f aca="false">$K$13*EXP(MAX(-700,MIN(700,$K$86-CH257)))</f>
        <v>0</v>
      </c>
      <c r="I258" s="60" t="n">
        <f aca="false">$L$13*EXP(MAX(-700,MIN(700,$L$86-CI257)))</f>
        <v>0</v>
      </c>
      <c r="J258" s="60" t="n">
        <f aca="false">$M$13*EXP(MAX(-700,MIN(700,$M$86-CJ257)))</f>
        <v>0</v>
      </c>
      <c r="K258" s="60" t="n">
        <f aca="false">$N$13*EXP(MAX(-700,MIN(700,$N$86-CK257)))</f>
        <v>0</v>
      </c>
      <c r="L258" s="60" t="n">
        <f aca="false">$O$13*EXP(MAX(-700,MIN(700,$O$86-CL257)))</f>
        <v>0</v>
      </c>
      <c r="M258" s="60" t="n">
        <f aca="false">$P$13*EXP(MAX(-700,MIN(700,$P$86-CM257)))</f>
        <v>0</v>
      </c>
      <c r="N258" s="60" t="n">
        <f aca="false">SUM(B258:M258)</f>
        <v>1</v>
      </c>
      <c r="O258" s="60" t="n">
        <f aca="false">B258/N258</f>
        <v>1</v>
      </c>
      <c r="P258" s="60" t="n">
        <f aca="false">C258/N258</f>
        <v>0</v>
      </c>
      <c r="Q258" s="60" t="n">
        <f aca="false">D258/N258</f>
        <v>0</v>
      </c>
      <c r="R258" s="60" t="n">
        <f aca="false">E258/N258</f>
        <v>0</v>
      </c>
      <c r="S258" s="60" t="n">
        <f aca="false">F258/N258</f>
        <v>0</v>
      </c>
      <c r="T258" s="60" t="n">
        <f aca="false">G258/N258</f>
        <v>0</v>
      </c>
      <c r="U258" s="60" t="n">
        <f aca="false">H258/N258</f>
        <v>0</v>
      </c>
      <c r="V258" s="60" t="n">
        <f aca="false">I258/N258</f>
        <v>0</v>
      </c>
      <c r="W258" s="60" t="n">
        <f aca="false">J258/N258</f>
        <v>0</v>
      </c>
      <c r="X258" s="60" t="n">
        <f aca="false">K258/N258</f>
        <v>0</v>
      </c>
      <c r="Y258" s="60" t="n">
        <f aca="false">L258/N258</f>
        <v>0</v>
      </c>
      <c r="Z258" s="60" t="n">
        <f aca="false">M258/N258</f>
        <v>0</v>
      </c>
      <c r="AA258" s="60" t="n">
        <f aca="false">$E$28*SUMPRODUCT($E$31:$P$31,O258:Z258,$E$28:$P$28)</f>
        <v>0.184416866619846</v>
      </c>
      <c r="AB258" s="60" t="n">
        <f aca="false">$F$28*SUMPRODUCT($E$32:$P$32,O258:Z258,$E$28:$P$28)</f>
        <v>0</v>
      </c>
      <c r="AC258" s="60" t="n">
        <f aca="false">$G$28*SUMPRODUCT($E$33:$P$33,O258:Z258,$E$28:$P$28)</f>
        <v>0</v>
      </c>
      <c r="AD258" s="60" t="n">
        <f aca="false">$H$28*SUMPRODUCT($E$34:$P$34,O258:Z258,$E$28:$P$28)</f>
        <v>0</v>
      </c>
      <c r="AE258" s="60" t="n">
        <f aca="false">$I$28*SUMPRODUCT($E$35:$P$35,O258:Z258,$E$28:$P$28)</f>
        <v>0</v>
      </c>
      <c r="AF258" s="60" t="n">
        <f aca="false">$J$28*SUMPRODUCT($E$36:$P$36,O258:Z258,$E$28:$P$28)</f>
        <v>0</v>
      </c>
      <c r="AG258" s="60" t="n">
        <f aca="false">$K$28*SUMPRODUCT($E$37:$P$37,O258:Z258,$E$28:$P$28)</f>
        <v>0</v>
      </c>
      <c r="AH258" s="60" t="n">
        <f aca="false">$L$28*SUMPRODUCT($E$38:$P$38,O258:Z258,$E$28:$P$28)</f>
        <v>0</v>
      </c>
      <c r="AI258" s="60" t="n">
        <f aca="false">$M$28*SUMPRODUCT($E$39:$P$39,O258:Z258,$E$28:$P$28)</f>
        <v>0</v>
      </c>
      <c r="AJ258" s="60" t="n">
        <f aca="false">$N$28*SUMPRODUCT($E$40:$P$40,O258:Z258,$E$28:$P$28)</f>
        <v>0</v>
      </c>
      <c r="AK258" s="60" t="n">
        <f aca="false">$O$28*SUMPRODUCT($E$41:$P$41,O258:Z258,$E$28:$P$28)</f>
        <v>0</v>
      </c>
      <c r="AL258" s="60" t="n">
        <f aca="false">$P$28*SUMPRODUCT($E$42:$P$42,O258:Z258,$E$28:$P$28)</f>
        <v>0</v>
      </c>
      <c r="AM258" s="60" t="n">
        <f aca="false">SUMPRODUCT(O258:Z258,AA258:AL258)</f>
        <v>0.184416866619846</v>
      </c>
      <c r="AN258" s="60" t="n">
        <f aca="false">SUMPRODUCT(O258:Z258,$E$27:$P$27)</f>
        <v>2.67389635063809E-005</v>
      </c>
      <c r="AO258" s="60" t="n">
        <f aca="false">AM258*$C$9/($C$10*$C$8)^2</f>
        <v>0.21776909410545</v>
      </c>
      <c r="AP258" s="60" t="n">
        <f aca="false">AN258*$C$9/($C$10*$C$8)</f>
        <v>0.0918845243259994</v>
      </c>
      <c r="AQ258" s="60" t="n">
        <f aca="false">CHOOSE($C$7,-(1+AP258),-1,-(1-AP258))</f>
        <v>-0.908115475674001</v>
      </c>
      <c r="AR258" s="60" t="n">
        <f aca="false">CHOOSE($C$7,AO258,AO258-AP258-AP258^2,AO258-3*AP258^2-2*AP258)</f>
        <v>0.00867174802160559</v>
      </c>
      <c r="AS258" s="60" t="n">
        <f aca="false">CHOOSE($C$7,-AO258*AP258,-AO258*AP258,-(AO258*AP258-AP258^2-AP258^3))</f>
        <v>-0.0107910842936637</v>
      </c>
      <c r="AT258" s="60" t="n">
        <f aca="false">AR258-AQ258^2/3</f>
        <v>-0.266219491031267</v>
      </c>
      <c r="AU258" s="60" t="n">
        <f aca="false">2*AQ258^3/27-AQ258*AR258/3+AS258</f>
        <v>-0.0636400988362784</v>
      </c>
      <c r="AV258" s="60" t="n">
        <f aca="false">AU258^2/4+AT258^3/27</f>
        <v>0.000313710901361829</v>
      </c>
      <c r="AW258" s="60" t="n">
        <f aca="false">-AU258/2-IF(AU258&gt;=0,1,-1)*SQRT(MAX(AV258,0))</f>
        <v>0.0495319352963236</v>
      </c>
      <c r="AX258" s="60" t="n">
        <f aca="false">SIGN(AW258)*ABS(AW258)^(1/3)</f>
        <v>0.367249967174439</v>
      </c>
      <c r="AY258" s="60" t="n">
        <f aca="false">IF(AX258=0,0,AX258-AT258/(3*AX258))</f>
        <v>0.60888329127384</v>
      </c>
      <c r="AZ258" s="60" t="n">
        <f aca="false">2*SQRT(MAX(-AT258,0)/3)</f>
        <v>0.595784626668918</v>
      </c>
      <c r="BA258" s="60" t="n">
        <f aca="false">ACOS(IF(AZ258=0,0,MAX(-1,MIN(1,3*AU258/(AT258*AZ258)))))</f>
        <v>0</v>
      </c>
      <c r="BB258" s="60" t="n">
        <f aca="false">AZ258*COS(BA258/3)</f>
        <v>0.595784626668918</v>
      </c>
      <c r="BC258" s="60" t="n">
        <f aca="false">IF(AV258&lt;0,BB258,AY258)-AQ258/3</f>
        <v>0.91158844983184</v>
      </c>
      <c r="BD258" s="60" t="n">
        <f aca="false">IFERROR((((BC258+AQ258)*BC258+AR258)*BC258+AS258)/((3*BC258+2*AQ258)*BC258+AR258),0)</f>
        <v>0</v>
      </c>
      <c r="BE258" s="60" t="n">
        <f aca="false">IF(ABS(BD258)&lt;0.1*ABS(BC258),BC258-BD258,BC258)</f>
        <v>0.91158844983184</v>
      </c>
      <c r="BF258" s="60" t="n">
        <f aca="false">IFERROR((((BE258+AQ258)*BE258+AR258)*BE258+AS258)/((3*BE258+2*AQ258)*BE258+AR258),0)</f>
        <v>0</v>
      </c>
      <c r="BG258" s="60" t="n">
        <f aca="false">IF(ABS(BF258)&lt;0.1*ABS(BE258),BE258-BF258,BE258)</f>
        <v>0.91158844983184</v>
      </c>
      <c r="BH258" s="60" t="n">
        <f aca="false">-AS258/BG258</f>
        <v>0.0118376711504565</v>
      </c>
      <c r="BI258" s="60" t="n">
        <f aca="false">(AR258-BH258)/BG258</f>
        <v>-0.00347297415783941</v>
      </c>
      <c r="BJ258" s="60" t="n">
        <f aca="false">BI258^2-4*BH258</f>
        <v>-0.0473386230523248</v>
      </c>
      <c r="BK258" s="60" t="n">
        <f aca="false">IF(BJ258&gt;=0,(BI258+IF(BI258&gt;=0,1,-1)*SQRT(BJ258))/2,0)</f>
        <v>0</v>
      </c>
      <c r="BL258" s="60" t="n">
        <f aca="false">IF(AND(BJ258&gt;=0,BK258&lt;&gt;0),MIN(BK258,BH258/BK258),-1)</f>
        <v>-1</v>
      </c>
      <c r="BM258" s="60" t="n">
        <f aca="false">AND(BJ258&gt;=0,BL258&gt;AP258,ABS(BG258-BL258)&gt;=0.00005*MAX(BG258,BL258))</f>
        <v>0</v>
      </c>
      <c r="BN258" s="60" t="n">
        <f aca="false">IF(BM258,IFERROR((((BL258+AQ258)*BL258+AR258)*BL258+AS258)/((3*BL258+2*AQ258)*BL258+AR258),0),0)</f>
        <v>0</v>
      </c>
      <c r="BO258" s="60" t="n">
        <f aca="false">IF(ABS(BN258)&lt;0.1*ABS(BL258),BL258-BN258,BL258)</f>
        <v>-1</v>
      </c>
      <c r="BP258" s="60" t="n">
        <f aca="false">IF(BM258,IFERROR((((BO258+AQ258)*BO258+AR258)*BO258+AS258)/((3*BO258+2*AQ258)*BO258+AR258),0),0)</f>
        <v>0</v>
      </c>
      <c r="BQ258" s="60" t="n">
        <f aca="false">IF(ABS(BP258)&lt;0.1*ABS(BO258),BO258-BP258,BO258)</f>
        <v>-1</v>
      </c>
      <c r="BR258" s="60" t="n">
        <f aca="false">IF(BM258,MAX(BG258,BQ258),BG258)</f>
        <v>0.91158844983184</v>
      </c>
      <c r="BS258" s="60" t="n">
        <f aca="false">IF(BM258,MIN(BG258,BQ258),-1)</f>
        <v>-1</v>
      </c>
      <c r="BT258" s="60" t="n">
        <f aca="false">CHOOSE($C$7,AO258/BR258,AO258/AP258*LN(1+AP258/BR258),AO258/(2*SQRT(2)*AP258)*LN((BR258+(1+SQRT(2))*AP258)/(BR258+(1-SQRT(2))*AP258)))</f>
        <v>0.218240791233887</v>
      </c>
      <c r="BU258" s="60" t="n">
        <f aca="false">BR258-1-LN(BR258-AP258)-BT258</f>
        <v>-0.107840271021729</v>
      </c>
      <c r="BV258" s="60" t="n">
        <f aca="false">IF(BM258,CHOOSE($C$7,AO258/BS258,AO258/AP258*LN(1+AP258/BS258),AO258/(2*SQRT(2)*AP258)*LN((BS258+(1+SQRT(2))*AP258)/(BS258+(1-SQRT(2))*AP258))),0)</f>
        <v>0</v>
      </c>
      <c r="BW258" s="60" t="n">
        <f aca="false">IF(BM258,BS258-1-LN(BS258-AP258)-BV258,0)</f>
        <v>0</v>
      </c>
      <c r="BX258" s="60" t="n">
        <f aca="false">AND(BM258,BW258&lt;BU258)</f>
        <v>0</v>
      </c>
      <c r="BY258" s="60" t="n">
        <f aca="false">IF(BX258,BS258,BR258)</f>
        <v>0.91158844983184</v>
      </c>
      <c r="BZ258" s="60" t="n">
        <f aca="false">IF(BX258,BV258,BT258)</f>
        <v>0.218240791233887</v>
      </c>
      <c r="CA258" s="60" t="n">
        <f aca="false">LN(BY258-AP258)</f>
        <v>-0.198812070380318</v>
      </c>
      <c r="CB258" s="60" t="n">
        <f aca="false">$E$27/AN258*(BY258-1)-CA258-BZ258*(2*AA258/AM258-$E$27/AN258)</f>
        <v>-0.107840271021729</v>
      </c>
      <c r="CC258" s="60" t="n">
        <f aca="false">$F$27/AN258*(BY258-1)-CA258-BZ258*(2*AB258/AM258-$F$27/AN258)</f>
        <v>0.198812070380318</v>
      </c>
      <c r="CD258" s="60" t="n">
        <f aca="false">$G$27/AN258*(BY258-1)-CA258-BZ258*(2*AC258/AM258-$G$27/AN258)</f>
        <v>0.198812070380318</v>
      </c>
      <c r="CE258" s="60" t="n">
        <f aca="false">$H$27/AN258*(BY258-1)-CA258-BZ258*(2*AD258/AM258-$H$27/AN258)</f>
        <v>0.198812070380318</v>
      </c>
      <c r="CF258" s="60" t="n">
        <f aca="false">$I$27/AN258*(BY258-1)-CA258-BZ258*(2*AE258/AM258-$I$27/AN258)</f>
        <v>0.198812070380318</v>
      </c>
      <c r="CG258" s="60" t="n">
        <f aca="false">$J$27/AN258*(BY258-1)-CA258-BZ258*(2*AF258/AM258-$J$27/AN258)</f>
        <v>0.198812070380318</v>
      </c>
      <c r="CH258" s="60" t="n">
        <f aca="false">$K$27/AN258*(BY258-1)-CA258-BZ258*(2*AG258/AM258-$K$27/AN258)</f>
        <v>0.198812070380318</v>
      </c>
      <c r="CI258" s="60" t="n">
        <f aca="false">$L$27/AN258*(BY258-1)-CA258-BZ258*(2*AH258/AM258-$L$27/AN258)</f>
        <v>0.198812070380318</v>
      </c>
      <c r="CJ258" s="60" t="n">
        <f aca="false">$M$27/AN258*(BY258-1)-CA258-BZ258*(2*AI258/AM258-$M$27/AN258)</f>
        <v>0.198812070380318</v>
      </c>
      <c r="CK258" s="60" t="n">
        <f aca="false">$N$27/AN258*(BY258-1)-CA258-BZ258*(2*AJ258/AM258-$N$27/AN258)</f>
        <v>0.198812070380318</v>
      </c>
      <c r="CL258" s="60" t="n">
        <f aca="false">$O$27/AN258*(BY258-1)-CA258-BZ258*(2*AK258/AM258-$O$27/AN258)</f>
        <v>0.198812070380318</v>
      </c>
      <c r="CM258" s="60" t="n">
        <f aca="false">$P$27/AN258*(BY258-1)-CA258-BZ258*(2*AL258/AM258-$P$27/AN258)</f>
        <v>0.198812070380318</v>
      </c>
      <c r="CN258" s="60" t="n">
        <f aca="false">AP258/BY258&gt;$C$22</f>
        <v>0</v>
      </c>
      <c r="CO258" s="60" t="n">
        <f aca="false">1-N258+SUMPRODUCT(B258:M258,CB258:CM258)-SUMPRODUCT(B258:M258,CB257:CM257)</f>
        <v>0</v>
      </c>
      <c r="CP258" s="60" t="n">
        <f aca="false">SUMXMY2(O258:Z258,$E$13:$P$13)</f>
        <v>0</v>
      </c>
    </row>
    <row r="259" customFormat="false" ht="15" hidden="false" customHeight="false" outlineLevel="0" collapsed="false">
      <c r="A259" s="59" t="n">
        <v>6</v>
      </c>
      <c r="B259" s="60" t="n">
        <f aca="false">$E$13*EXP(MAX(-700,MIN(700,$E$86-CB258)))</f>
        <v>1</v>
      </c>
      <c r="C259" s="60" t="n">
        <f aca="false">$F$13*EXP(MAX(-700,MIN(700,$F$86-CC258)))</f>
        <v>0</v>
      </c>
      <c r="D259" s="60" t="n">
        <f aca="false">$G$13*EXP(MAX(-700,MIN(700,$G$86-CD258)))</f>
        <v>0</v>
      </c>
      <c r="E259" s="60" t="n">
        <f aca="false">$H$13*EXP(MAX(-700,MIN(700,$H$86-CE258)))</f>
        <v>0</v>
      </c>
      <c r="F259" s="60" t="n">
        <f aca="false">$I$13*EXP(MAX(-700,MIN(700,$I$86-CF258)))</f>
        <v>0</v>
      </c>
      <c r="G259" s="60" t="n">
        <f aca="false">$J$13*EXP(MAX(-700,MIN(700,$J$86-CG258)))</f>
        <v>0</v>
      </c>
      <c r="H259" s="60" t="n">
        <f aca="false">$K$13*EXP(MAX(-700,MIN(700,$K$86-CH258)))</f>
        <v>0</v>
      </c>
      <c r="I259" s="60" t="n">
        <f aca="false">$L$13*EXP(MAX(-700,MIN(700,$L$86-CI258)))</f>
        <v>0</v>
      </c>
      <c r="J259" s="60" t="n">
        <f aca="false">$M$13*EXP(MAX(-700,MIN(700,$M$86-CJ258)))</f>
        <v>0</v>
      </c>
      <c r="K259" s="60" t="n">
        <f aca="false">$N$13*EXP(MAX(-700,MIN(700,$N$86-CK258)))</f>
        <v>0</v>
      </c>
      <c r="L259" s="60" t="n">
        <f aca="false">$O$13*EXP(MAX(-700,MIN(700,$O$86-CL258)))</f>
        <v>0</v>
      </c>
      <c r="M259" s="60" t="n">
        <f aca="false">$P$13*EXP(MAX(-700,MIN(700,$P$86-CM258)))</f>
        <v>0</v>
      </c>
      <c r="N259" s="60" t="n">
        <f aca="false">SUM(B259:M259)</f>
        <v>1</v>
      </c>
      <c r="O259" s="60" t="n">
        <f aca="false">B259/N259</f>
        <v>1</v>
      </c>
      <c r="P259" s="60" t="n">
        <f aca="false">C259/N259</f>
        <v>0</v>
      </c>
      <c r="Q259" s="60" t="n">
        <f aca="false">D259/N259</f>
        <v>0</v>
      </c>
      <c r="R259" s="60" t="n">
        <f aca="false">E259/N259</f>
        <v>0</v>
      </c>
      <c r="S259" s="60" t="n">
        <f aca="false">F259/N259</f>
        <v>0</v>
      </c>
      <c r="T259" s="60" t="n">
        <f aca="false">G259/N259</f>
        <v>0</v>
      </c>
      <c r="U259" s="60" t="n">
        <f aca="false">H259/N259</f>
        <v>0</v>
      </c>
      <c r="V259" s="60" t="n">
        <f aca="false">I259/N259</f>
        <v>0</v>
      </c>
      <c r="W259" s="60" t="n">
        <f aca="false">J259/N259</f>
        <v>0</v>
      </c>
      <c r="X259" s="60" t="n">
        <f aca="false">K259/N259</f>
        <v>0</v>
      </c>
      <c r="Y259" s="60" t="n">
        <f aca="false">L259/N259</f>
        <v>0</v>
      </c>
      <c r="Z259" s="60" t="n">
        <f aca="false">M259/N259</f>
        <v>0</v>
      </c>
      <c r="AA259" s="60" t="n">
        <f aca="false">$E$28*SUMPRODUCT($E$31:$P$31,O259:Z259,$E$28:$P$28)</f>
        <v>0.184416866619846</v>
      </c>
      <c r="AB259" s="60" t="n">
        <f aca="false">$F$28*SUMPRODUCT($E$32:$P$32,O259:Z259,$E$28:$P$28)</f>
        <v>0</v>
      </c>
      <c r="AC259" s="60" t="n">
        <f aca="false">$G$28*SUMPRODUCT($E$33:$P$33,O259:Z259,$E$28:$P$28)</f>
        <v>0</v>
      </c>
      <c r="AD259" s="60" t="n">
        <f aca="false">$H$28*SUMPRODUCT($E$34:$P$34,O259:Z259,$E$28:$P$28)</f>
        <v>0</v>
      </c>
      <c r="AE259" s="60" t="n">
        <f aca="false">$I$28*SUMPRODUCT($E$35:$P$35,O259:Z259,$E$28:$P$28)</f>
        <v>0</v>
      </c>
      <c r="AF259" s="60" t="n">
        <f aca="false">$J$28*SUMPRODUCT($E$36:$P$36,O259:Z259,$E$28:$P$28)</f>
        <v>0</v>
      </c>
      <c r="AG259" s="60" t="n">
        <f aca="false">$K$28*SUMPRODUCT($E$37:$P$37,O259:Z259,$E$28:$P$28)</f>
        <v>0</v>
      </c>
      <c r="AH259" s="60" t="n">
        <f aca="false">$L$28*SUMPRODUCT($E$38:$P$38,O259:Z259,$E$28:$P$28)</f>
        <v>0</v>
      </c>
      <c r="AI259" s="60" t="n">
        <f aca="false">$M$28*SUMPRODUCT($E$39:$P$39,O259:Z259,$E$28:$P$28)</f>
        <v>0</v>
      </c>
      <c r="AJ259" s="60" t="n">
        <f aca="false">$N$28*SUMPRODUCT($E$40:$P$40,O259:Z259,$E$28:$P$28)</f>
        <v>0</v>
      </c>
      <c r="AK259" s="60" t="n">
        <f aca="false">$O$28*SUMPRODUCT($E$41:$P$41,O259:Z259,$E$28:$P$28)</f>
        <v>0</v>
      </c>
      <c r="AL259" s="60" t="n">
        <f aca="false">$P$28*SUMPRODUCT($E$42:$P$42,O259:Z259,$E$28:$P$28)</f>
        <v>0</v>
      </c>
      <c r="AM259" s="60" t="n">
        <f aca="false">SUMPRODUCT(O259:Z259,AA259:AL259)</f>
        <v>0.184416866619846</v>
      </c>
      <c r="AN259" s="60" t="n">
        <f aca="false">SUMPRODUCT(O259:Z259,$E$27:$P$27)</f>
        <v>2.67389635063809E-005</v>
      </c>
      <c r="AO259" s="60" t="n">
        <f aca="false">AM259*$C$9/($C$10*$C$8)^2</f>
        <v>0.21776909410545</v>
      </c>
      <c r="AP259" s="60" t="n">
        <f aca="false">AN259*$C$9/($C$10*$C$8)</f>
        <v>0.0918845243259994</v>
      </c>
      <c r="AQ259" s="60" t="n">
        <f aca="false">CHOOSE($C$7,-(1+AP259),-1,-(1-AP259))</f>
        <v>-0.908115475674001</v>
      </c>
      <c r="AR259" s="60" t="n">
        <f aca="false">CHOOSE($C$7,AO259,AO259-AP259-AP259^2,AO259-3*AP259^2-2*AP259)</f>
        <v>0.00867174802160559</v>
      </c>
      <c r="AS259" s="60" t="n">
        <f aca="false">CHOOSE($C$7,-AO259*AP259,-AO259*AP259,-(AO259*AP259-AP259^2-AP259^3))</f>
        <v>-0.0107910842936637</v>
      </c>
      <c r="AT259" s="60" t="n">
        <f aca="false">AR259-AQ259^2/3</f>
        <v>-0.266219491031267</v>
      </c>
      <c r="AU259" s="60" t="n">
        <f aca="false">2*AQ259^3/27-AQ259*AR259/3+AS259</f>
        <v>-0.0636400988362784</v>
      </c>
      <c r="AV259" s="60" t="n">
        <f aca="false">AU259^2/4+AT259^3/27</f>
        <v>0.000313710901361829</v>
      </c>
      <c r="AW259" s="60" t="n">
        <f aca="false">-AU259/2-IF(AU259&gt;=0,1,-1)*SQRT(MAX(AV259,0))</f>
        <v>0.0495319352963236</v>
      </c>
      <c r="AX259" s="60" t="n">
        <f aca="false">SIGN(AW259)*ABS(AW259)^(1/3)</f>
        <v>0.367249967174439</v>
      </c>
      <c r="AY259" s="60" t="n">
        <f aca="false">IF(AX259=0,0,AX259-AT259/(3*AX259))</f>
        <v>0.60888329127384</v>
      </c>
      <c r="AZ259" s="60" t="n">
        <f aca="false">2*SQRT(MAX(-AT259,0)/3)</f>
        <v>0.595784626668918</v>
      </c>
      <c r="BA259" s="60" t="n">
        <f aca="false">ACOS(IF(AZ259=0,0,MAX(-1,MIN(1,3*AU259/(AT259*AZ259)))))</f>
        <v>0</v>
      </c>
      <c r="BB259" s="60" t="n">
        <f aca="false">AZ259*COS(BA259/3)</f>
        <v>0.595784626668918</v>
      </c>
      <c r="BC259" s="60" t="n">
        <f aca="false">IF(AV259&lt;0,BB259,AY259)-AQ259/3</f>
        <v>0.91158844983184</v>
      </c>
      <c r="BD259" s="60" t="n">
        <f aca="false">IFERROR((((BC259+AQ259)*BC259+AR259)*BC259+AS259)/((3*BC259+2*AQ259)*BC259+AR259),0)</f>
        <v>0</v>
      </c>
      <c r="BE259" s="60" t="n">
        <f aca="false">IF(ABS(BD259)&lt;0.1*ABS(BC259),BC259-BD259,BC259)</f>
        <v>0.91158844983184</v>
      </c>
      <c r="BF259" s="60" t="n">
        <f aca="false">IFERROR((((BE259+AQ259)*BE259+AR259)*BE259+AS259)/((3*BE259+2*AQ259)*BE259+AR259),0)</f>
        <v>0</v>
      </c>
      <c r="BG259" s="60" t="n">
        <f aca="false">IF(ABS(BF259)&lt;0.1*ABS(BE259),BE259-BF259,BE259)</f>
        <v>0.91158844983184</v>
      </c>
      <c r="BH259" s="60" t="n">
        <f aca="false">-AS259/BG259</f>
        <v>0.0118376711504565</v>
      </c>
      <c r="BI259" s="60" t="n">
        <f aca="false">(AR259-BH259)/BG259</f>
        <v>-0.00347297415783941</v>
      </c>
      <c r="BJ259" s="60" t="n">
        <f aca="false">BI259^2-4*BH259</f>
        <v>-0.0473386230523248</v>
      </c>
      <c r="BK259" s="60" t="n">
        <f aca="false">IF(BJ259&gt;=0,(BI259+IF(BI259&gt;=0,1,-1)*SQRT(BJ259))/2,0)</f>
        <v>0</v>
      </c>
      <c r="BL259" s="60" t="n">
        <f aca="false">IF(AND(BJ259&gt;=0,BK259&lt;&gt;0),MIN(BK259,BH259/BK259),-1)</f>
        <v>-1</v>
      </c>
      <c r="BM259" s="60" t="n">
        <f aca="false">AND(BJ259&gt;=0,BL259&gt;AP259,ABS(BG259-BL259)&gt;=0.00005*MAX(BG259,BL259))</f>
        <v>0</v>
      </c>
      <c r="BN259" s="60" t="n">
        <f aca="false">IF(BM259,IFERROR((((BL259+AQ259)*BL259+AR259)*BL259+AS259)/((3*BL259+2*AQ259)*BL259+AR259),0),0)</f>
        <v>0</v>
      </c>
      <c r="BO259" s="60" t="n">
        <f aca="false">IF(ABS(BN259)&lt;0.1*ABS(BL259),BL259-BN259,BL259)</f>
        <v>-1</v>
      </c>
      <c r="BP259" s="60" t="n">
        <f aca="false">IF(BM259,IFERROR((((BO259+AQ259)*BO259+AR259)*BO259+AS259)/((3*BO259+2*AQ259)*BO259+AR259),0),0)</f>
        <v>0</v>
      </c>
      <c r="BQ259" s="60" t="n">
        <f aca="false">IF(ABS(BP259)&lt;0.1*ABS(BO259),BO259-BP259,BO259)</f>
        <v>-1</v>
      </c>
      <c r="BR259" s="60" t="n">
        <f aca="false">IF(BM259,MAX(BG259,BQ259),BG259)</f>
        <v>0.91158844983184</v>
      </c>
      <c r="BS259" s="60" t="n">
        <f aca="false">IF(BM259,MIN(BG259,BQ259),-1)</f>
        <v>-1</v>
      </c>
      <c r="BT259" s="60" t="n">
        <f aca="false">CHOOSE($C$7,AO259/BR259,AO259/AP259*LN(1+AP259/BR259),AO259/(2*SQRT(2)*AP259)*LN((BR259+(1+SQRT(2))*AP259)/(BR259+(1-SQRT(2))*AP259)))</f>
        <v>0.218240791233887</v>
      </c>
      <c r="BU259" s="60" t="n">
        <f aca="false">BR259-1-LN(BR259-AP259)-BT259</f>
        <v>-0.107840271021729</v>
      </c>
      <c r="BV259" s="60" t="n">
        <f aca="false">IF(BM259,CHOOSE($C$7,AO259/BS259,AO259/AP259*LN(1+AP259/BS259),AO259/(2*SQRT(2)*AP259)*LN((BS259+(1+SQRT(2))*AP259)/(BS259+(1-SQRT(2))*AP259))),0)</f>
        <v>0</v>
      </c>
      <c r="BW259" s="60" t="n">
        <f aca="false">IF(BM259,BS259-1-LN(BS259-AP259)-BV259,0)</f>
        <v>0</v>
      </c>
      <c r="BX259" s="60" t="n">
        <f aca="false">AND(BM259,BW259&lt;BU259)</f>
        <v>0</v>
      </c>
      <c r="BY259" s="60" t="n">
        <f aca="false">IF(BX259,BS259,BR259)</f>
        <v>0.91158844983184</v>
      </c>
      <c r="BZ259" s="60" t="n">
        <f aca="false">IF(BX259,BV259,BT259)</f>
        <v>0.218240791233887</v>
      </c>
      <c r="CA259" s="60" t="n">
        <f aca="false">LN(BY259-AP259)</f>
        <v>-0.198812070380318</v>
      </c>
      <c r="CB259" s="60" t="n">
        <f aca="false">$E$27/AN259*(BY259-1)-CA259-BZ259*(2*AA259/AM259-$E$27/AN259)</f>
        <v>-0.107840271021729</v>
      </c>
      <c r="CC259" s="60" t="n">
        <f aca="false">$F$27/AN259*(BY259-1)-CA259-BZ259*(2*AB259/AM259-$F$27/AN259)</f>
        <v>0.198812070380318</v>
      </c>
      <c r="CD259" s="60" t="n">
        <f aca="false">$G$27/AN259*(BY259-1)-CA259-BZ259*(2*AC259/AM259-$G$27/AN259)</f>
        <v>0.198812070380318</v>
      </c>
      <c r="CE259" s="60" t="n">
        <f aca="false">$H$27/AN259*(BY259-1)-CA259-BZ259*(2*AD259/AM259-$H$27/AN259)</f>
        <v>0.198812070380318</v>
      </c>
      <c r="CF259" s="60" t="n">
        <f aca="false">$I$27/AN259*(BY259-1)-CA259-BZ259*(2*AE259/AM259-$I$27/AN259)</f>
        <v>0.198812070380318</v>
      </c>
      <c r="CG259" s="60" t="n">
        <f aca="false">$J$27/AN259*(BY259-1)-CA259-BZ259*(2*AF259/AM259-$J$27/AN259)</f>
        <v>0.198812070380318</v>
      </c>
      <c r="CH259" s="60" t="n">
        <f aca="false">$K$27/AN259*(BY259-1)-CA259-BZ259*(2*AG259/AM259-$K$27/AN259)</f>
        <v>0.198812070380318</v>
      </c>
      <c r="CI259" s="60" t="n">
        <f aca="false">$L$27/AN259*(BY259-1)-CA259-BZ259*(2*AH259/AM259-$L$27/AN259)</f>
        <v>0.198812070380318</v>
      </c>
      <c r="CJ259" s="60" t="n">
        <f aca="false">$M$27/AN259*(BY259-1)-CA259-BZ259*(2*AI259/AM259-$M$27/AN259)</f>
        <v>0.198812070380318</v>
      </c>
      <c r="CK259" s="60" t="n">
        <f aca="false">$N$27/AN259*(BY259-1)-CA259-BZ259*(2*AJ259/AM259-$N$27/AN259)</f>
        <v>0.198812070380318</v>
      </c>
      <c r="CL259" s="60" t="n">
        <f aca="false">$O$27/AN259*(BY259-1)-CA259-BZ259*(2*AK259/AM259-$O$27/AN259)</f>
        <v>0.198812070380318</v>
      </c>
      <c r="CM259" s="60" t="n">
        <f aca="false">$P$27/AN259*(BY259-1)-CA259-BZ259*(2*AL259/AM259-$P$27/AN259)</f>
        <v>0.198812070380318</v>
      </c>
      <c r="CN259" s="60" t="n">
        <f aca="false">AP259/BY259&gt;$C$22</f>
        <v>0</v>
      </c>
      <c r="CO259" s="60" t="n">
        <f aca="false">1-N259+SUMPRODUCT(B259:M259,CB259:CM259)-SUMPRODUCT(B259:M259,CB258:CM258)</f>
        <v>0</v>
      </c>
      <c r="CP259" s="60" t="n">
        <f aca="false">SUMXMY2(O259:Z259,$E$13:$P$13)</f>
        <v>0</v>
      </c>
    </row>
    <row r="260" customFormat="false" ht="15" hidden="false" customHeight="false" outlineLevel="0" collapsed="false">
      <c r="A260" s="59" t="n">
        <v>7</v>
      </c>
      <c r="B260" s="60" t="n">
        <f aca="false">$E$13*EXP(MAX(-700,MIN(700,$E$86-CB259)))</f>
        <v>1</v>
      </c>
      <c r="C260" s="60" t="n">
        <f aca="false">$F$13*EXP(MAX(-700,MIN(700,$F$86-CC259)))</f>
        <v>0</v>
      </c>
      <c r="D260" s="60" t="n">
        <f aca="false">$G$13*EXP(MAX(-700,MIN(700,$G$86-CD259)))</f>
        <v>0</v>
      </c>
      <c r="E260" s="60" t="n">
        <f aca="false">$H$13*EXP(MAX(-700,MIN(700,$H$86-CE259)))</f>
        <v>0</v>
      </c>
      <c r="F260" s="60" t="n">
        <f aca="false">$I$13*EXP(MAX(-700,MIN(700,$I$86-CF259)))</f>
        <v>0</v>
      </c>
      <c r="G260" s="60" t="n">
        <f aca="false">$J$13*EXP(MAX(-700,MIN(700,$J$86-CG259)))</f>
        <v>0</v>
      </c>
      <c r="H260" s="60" t="n">
        <f aca="false">$K$13*EXP(MAX(-700,MIN(700,$K$86-CH259)))</f>
        <v>0</v>
      </c>
      <c r="I260" s="60" t="n">
        <f aca="false">$L$13*EXP(MAX(-700,MIN(700,$L$86-CI259)))</f>
        <v>0</v>
      </c>
      <c r="J260" s="60" t="n">
        <f aca="false">$M$13*EXP(MAX(-700,MIN(700,$M$86-CJ259)))</f>
        <v>0</v>
      </c>
      <c r="K260" s="60" t="n">
        <f aca="false">$N$13*EXP(MAX(-700,MIN(700,$N$86-CK259)))</f>
        <v>0</v>
      </c>
      <c r="L260" s="60" t="n">
        <f aca="false">$O$13*EXP(MAX(-700,MIN(700,$O$86-CL259)))</f>
        <v>0</v>
      </c>
      <c r="M260" s="60" t="n">
        <f aca="false">$P$13*EXP(MAX(-700,MIN(700,$P$86-CM259)))</f>
        <v>0</v>
      </c>
      <c r="N260" s="60" t="n">
        <f aca="false">SUM(B260:M260)</f>
        <v>1</v>
      </c>
      <c r="O260" s="60" t="n">
        <f aca="false">B260/N260</f>
        <v>1</v>
      </c>
      <c r="P260" s="60" t="n">
        <f aca="false">C260/N260</f>
        <v>0</v>
      </c>
      <c r="Q260" s="60" t="n">
        <f aca="false">D260/N260</f>
        <v>0</v>
      </c>
      <c r="R260" s="60" t="n">
        <f aca="false">E260/N260</f>
        <v>0</v>
      </c>
      <c r="S260" s="60" t="n">
        <f aca="false">F260/N260</f>
        <v>0</v>
      </c>
      <c r="T260" s="60" t="n">
        <f aca="false">G260/N260</f>
        <v>0</v>
      </c>
      <c r="U260" s="60" t="n">
        <f aca="false">H260/N260</f>
        <v>0</v>
      </c>
      <c r="V260" s="60" t="n">
        <f aca="false">I260/N260</f>
        <v>0</v>
      </c>
      <c r="W260" s="60" t="n">
        <f aca="false">J260/N260</f>
        <v>0</v>
      </c>
      <c r="X260" s="60" t="n">
        <f aca="false">K260/N260</f>
        <v>0</v>
      </c>
      <c r="Y260" s="60" t="n">
        <f aca="false">L260/N260</f>
        <v>0</v>
      </c>
      <c r="Z260" s="60" t="n">
        <f aca="false">M260/N260</f>
        <v>0</v>
      </c>
      <c r="AA260" s="60" t="n">
        <f aca="false">$E$28*SUMPRODUCT($E$31:$P$31,O260:Z260,$E$28:$P$28)</f>
        <v>0.184416866619846</v>
      </c>
      <c r="AB260" s="60" t="n">
        <f aca="false">$F$28*SUMPRODUCT($E$32:$P$32,O260:Z260,$E$28:$P$28)</f>
        <v>0</v>
      </c>
      <c r="AC260" s="60" t="n">
        <f aca="false">$G$28*SUMPRODUCT($E$33:$P$33,O260:Z260,$E$28:$P$28)</f>
        <v>0</v>
      </c>
      <c r="AD260" s="60" t="n">
        <f aca="false">$H$28*SUMPRODUCT($E$34:$P$34,O260:Z260,$E$28:$P$28)</f>
        <v>0</v>
      </c>
      <c r="AE260" s="60" t="n">
        <f aca="false">$I$28*SUMPRODUCT($E$35:$P$35,O260:Z260,$E$28:$P$28)</f>
        <v>0</v>
      </c>
      <c r="AF260" s="60" t="n">
        <f aca="false">$J$28*SUMPRODUCT($E$36:$P$36,O260:Z260,$E$28:$P$28)</f>
        <v>0</v>
      </c>
      <c r="AG260" s="60" t="n">
        <f aca="false">$K$28*SUMPRODUCT($E$37:$P$37,O260:Z260,$E$28:$P$28)</f>
        <v>0</v>
      </c>
      <c r="AH260" s="60" t="n">
        <f aca="false">$L$28*SUMPRODUCT($E$38:$P$38,O260:Z260,$E$28:$P$28)</f>
        <v>0</v>
      </c>
      <c r="AI260" s="60" t="n">
        <f aca="false">$M$28*SUMPRODUCT($E$39:$P$39,O260:Z260,$E$28:$P$28)</f>
        <v>0</v>
      </c>
      <c r="AJ260" s="60" t="n">
        <f aca="false">$N$28*SUMPRODUCT($E$40:$P$40,O260:Z260,$E$28:$P$28)</f>
        <v>0</v>
      </c>
      <c r="AK260" s="60" t="n">
        <f aca="false">$O$28*SUMPRODUCT($E$41:$P$41,O260:Z260,$E$28:$P$28)</f>
        <v>0</v>
      </c>
      <c r="AL260" s="60" t="n">
        <f aca="false">$P$28*SUMPRODUCT($E$42:$P$42,O260:Z260,$E$28:$P$28)</f>
        <v>0</v>
      </c>
      <c r="AM260" s="60" t="n">
        <f aca="false">SUMPRODUCT(O260:Z260,AA260:AL260)</f>
        <v>0.184416866619846</v>
      </c>
      <c r="AN260" s="60" t="n">
        <f aca="false">SUMPRODUCT(O260:Z260,$E$27:$P$27)</f>
        <v>2.67389635063809E-005</v>
      </c>
      <c r="AO260" s="60" t="n">
        <f aca="false">AM260*$C$9/($C$10*$C$8)^2</f>
        <v>0.21776909410545</v>
      </c>
      <c r="AP260" s="60" t="n">
        <f aca="false">AN260*$C$9/($C$10*$C$8)</f>
        <v>0.0918845243259994</v>
      </c>
      <c r="AQ260" s="60" t="n">
        <f aca="false">CHOOSE($C$7,-(1+AP260),-1,-(1-AP260))</f>
        <v>-0.908115475674001</v>
      </c>
      <c r="AR260" s="60" t="n">
        <f aca="false">CHOOSE($C$7,AO260,AO260-AP260-AP260^2,AO260-3*AP260^2-2*AP260)</f>
        <v>0.00867174802160559</v>
      </c>
      <c r="AS260" s="60" t="n">
        <f aca="false">CHOOSE($C$7,-AO260*AP260,-AO260*AP260,-(AO260*AP260-AP260^2-AP260^3))</f>
        <v>-0.0107910842936637</v>
      </c>
      <c r="AT260" s="60" t="n">
        <f aca="false">AR260-AQ260^2/3</f>
        <v>-0.266219491031267</v>
      </c>
      <c r="AU260" s="60" t="n">
        <f aca="false">2*AQ260^3/27-AQ260*AR260/3+AS260</f>
        <v>-0.0636400988362784</v>
      </c>
      <c r="AV260" s="60" t="n">
        <f aca="false">AU260^2/4+AT260^3/27</f>
        <v>0.000313710901361829</v>
      </c>
      <c r="AW260" s="60" t="n">
        <f aca="false">-AU260/2-IF(AU260&gt;=0,1,-1)*SQRT(MAX(AV260,0))</f>
        <v>0.0495319352963236</v>
      </c>
      <c r="AX260" s="60" t="n">
        <f aca="false">SIGN(AW260)*ABS(AW260)^(1/3)</f>
        <v>0.367249967174439</v>
      </c>
      <c r="AY260" s="60" t="n">
        <f aca="false">IF(AX260=0,0,AX260-AT260/(3*AX260))</f>
        <v>0.60888329127384</v>
      </c>
      <c r="AZ260" s="60" t="n">
        <f aca="false">2*SQRT(MAX(-AT260,0)/3)</f>
        <v>0.595784626668918</v>
      </c>
      <c r="BA260" s="60" t="n">
        <f aca="false">ACOS(IF(AZ260=0,0,MAX(-1,MIN(1,3*AU260/(AT260*AZ260)))))</f>
        <v>0</v>
      </c>
      <c r="BB260" s="60" t="n">
        <f aca="false">AZ260*COS(BA260/3)</f>
        <v>0.595784626668918</v>
      </c>
      <c r="BC260" s="60" t="n">
        <f aca="false">IF(AV260&lt;0,BB260,AY260)-AQ260/3</f>
        <v>0.91158844983184</v>
      </c>
      <c r="BD260" s="60" t="n">
        <f aca="false">IFERROR((((BC260+AQ260)*BC260+AR260)*BC260+AS260)/((3*BC260+2*AQ260)*BC260+AR260),0)</f>
        <v>0</v>
      </c>
      <c r="BE260" s="60" t="n">
        <f aca="false">IF(ABS(BD260)&lt;0.1*ABS(BC260),BC260-BD260,BC260)</f>
        <v>0.91158844983184</v>
      </c>
      <c r="BF260" s="60" t="n">
        <f aca="false">IFERROR((((BE260+AQ260)*BE260+AR260)*BE260+AS260)/((3*BE260+2*AQ260)*BE260+AR260),0)</f>
        <v>0</v>
      </c>
      <c r="BG260" s="60" t="n">
        <f aca="false">IF(ABS(BF260)&lt;0.1*ABS(BE260),BE260-BF260,BE260)</f>
        <v>0.91158844983184</v>
      </c>
      <c r="BH260" s="60" t="n">
        <f aca="false">-AS260/BG260</f>
        <v>0.0118376711504565</v>
      </c>
      <c r="BI260" s="60" t="n">
        <f aca="false">(AR260-BH260)/BG260</f>
        <v>-0.00347297415783941</v>
      </c>
      <c r="BJ260" s="60" t="n">
        <f aca="false">BI260^2-4*BH260</f>
        <v>-0.0473386230523248</v>
      </c>
      <c r="BK260" s="60" t="n">
        <f aca="false">IF(BJ260&gt;=0,(BI260+IF(BI260&gt;=0,1,-1)*SQRT(BJ260))/2,0)</f>
        <v>0</v>
      </c>
      <c r="BL260" s="60" t="n">
        <f aca="false">IF(AND(BJ260&gt;=0,BK260&lt;&gt;0),MIN(BK260,BH260/BK260),-1)</f>
        <v>-1</v>
      </c>
      <c r="BM260" s="60" t="n">
        <f aca="false">AND(BJ260&gt;=0,BL260&gt;AP260,ABS(BG260-BL260)&gt;=0.00005*MAX(BG260,BL260))</f>
        <v>0</v>
      </c>
      <c r="BN260" s="60" t="n">
        <f aca="false">IF(BM260,IFERROR((((BL260+AQ260)*BL260+AR260)*BL260+AS260)/((3*BL260+2*AQ260)*BL260+AR260),0),0)</f>
        <v>0</v>
      </c>
      <c r="BO260" s="60" t="n">
        <f aca="false">IF(ABS(BN260)&lt;0.1*ABS(BL260),BL260-BN260,BL260)</f>
        <v>-1</v>
      </c>
      <c r="BP260" s="60" t="n">
        <f aca="false">IF(BM260,IFERROR((((BO260+AQ260)*BO260+AR260)*BO260+AS260)/((3*BO260+2*AQ260)*BO260+AR260),0),0)</f>
        <v>0</v>
      </c>
      <c r="BQ260" s="60" t="n">
        <f aca="false">IF(ABS(BP260)&lt;0.1*ABS(BO260),BO260-BP260,BO260)</f>
        <v>-1</v>
      </c>
      <c r="BR260" s="60" t="n">
        <f aca="false">IF(BM260,MAX(BG260,BQ260),BG260)</f>
        <v>0.91158844983184</v>
      </c>
      <c r="BS260" s="60" t="n">
        <f aca="false">IF(BM260,MIN(BG260,BQ260),-1)</f>
        <v>-1</v>
      </c>
      <c r="BT260" s="60" t="n">
        <f aca="false">CHOOSE($C$7,AO260/BR260,AO260/AP260*LN(1+AP260/BR260),AO260/(2*SQRT(2)*AP260)*LN((BR260+(1+SQRT(2))*AP260)/(BR260+(1-SQRT(2))*AP260)))</f>
        <v>0.218240791233887</v>
      </c>
      <c r="BU260" s="60" t="n">
        <f aca="false">BR260-1-LN(BR260-AP260)-BT260</f>
        <v>-0.107840271021729</v>
      </c>
      <c r="BV260" s="60" t="n">
        <f aca="false">IF(BM260,CHOOSE($C$7,AO260/BS260,AO260/AP260*LN(1+AP260/BS260),AO260/(2*SQRT(2)*AP260)*LN((BS260+(1+SQRT(2))*AP260)/(BS260+(1-SQRT(2))*AP260))),0)</f>
        <v>0</v>
      </c>
      <c r="BW260" s="60" t="n">
        <f aca="false">IF(BM260,BS260-1-LN(BS260-AP260)-BV260,0)</f>
        <v>0</v>
      </c>
      <c r="BX260" s="60" t="n">
        <f aca="false">AND(BM260,BW260&lt;BU260)</f>
        <v>0</v>
      </c>
      <c r="BY260" s="60" t="n">
        <f aca="false">IF(BX260,BS260,BR260)</f>
        <v>0.91158844983184</v>
      </c>
      <c r="BZ260" s="60" t="n">
        <f aca="false">IF(BX260,BV260,BT260)</f>
        <v>0.218240791233887</v>
      </c>
      <c r="CA260" s="60" t="n">
        <f aca="false">LN(BY260-AP260)</f>
        <v>-0.198812070380318</v>
      </c>
      <c r="CB260" s="60" t="n">
        <f aca="false">$E$27/AN260*(BY260-1)-CA260-BZ260*(2*AA260/AM260-$E$27/AN260)</f>
        <v>-0.107840271021729</v>
      </c>
      <c r="CC260" s="60" t="n">
        <f aca="false">$F$27/AN260*(BY260-1)-CA260-BZ260*(2*AB260/AM260-$F$27/AN260)</f>
        <v>0.198812070380318</v>
      </c>
      <c r="CD260" s="60" t="n">
        <f aca="false">$G$27/AN260*(BY260-1)-CA260-BZ260*(2*AC260/AM260-$G$27/AN260)</f>
        <v>0.198812070380318</v>
      </c>
      <c r="CE260" s="60" t="n">
        <f aca="false">$H$27/AN260*(BY260-1)-CA260-BZ260*(2*AD260/AM260-$H$27/AN260)</f>
        <v>0.198812070380318</v>
      </c>
      <c r="CF260" s="60" t="n">
        <f aca="false">$I$27/AN260*(BY260-1)-CA260-BZ260*(2*AE260/AM260-$I$27/AN260)</f>
        <v>0.198812070380318</v>
      </c>
      <c r="CG260" s="60" t="n">
        <f aca="false">$J$27/AN260*(BY260-1)-CA260-BZ260*(2*AF260/AM260-$J$27/AN260)</f>
        <v>0.198812070380318</v>
      </c>
      <c r="CH260" s="60" t="n">
        <f aca="false">$K$27/AN260*(BY260-1)-CA260-BZ260*(2*AG260/AM260-$K$27/AN260)</f>
        <v>0.198812070380318</v>
      </c>
      <c r="CI260" s="60" t="n">
        <f aca="false">$L$27/AN260*(BY260-1)-CA260-BZ260*(2*AH260/AM260-$L$27/AN260)</f>
        <v>0.198812070380318</v>
      </c>
      <c r="CJ260" s="60" t="n">
        <f aca="false">$M$27/AN260*(BY260-1)-CA260-BZ260*(2*AI260/AM260-$M$27/AN260)</f>
        <v>0.198812070380318</v>
      </c>
      <c r="CK260" s="60" t="n">
        <f aca="false">$N$27/AN260*(BY260-1)-CA260-BZ260*(2*AJ260/AM260-$N$27/AN260)</f>
        <v>0.198812070380318</v>
      </c>
      <c r="CL260" s="60" t="n">
        <f aca="false">$O$27/AN260*(BY260-1)-CA260-BZ260*(2*AK260/AM260-$O$27/AN260)</f>
        <v>0.198812070380318</v>
      </c>
      <c r="CM260" s="60" t="n">
        <f aca="false">$P$27/AN260*(BY260-1)-CA260-BZ260*(2*AL260/AM260-$P$27/AN260)</f>
        <v>0.198812070380318</v>
      </c>
      <c r="CN260" s="60" t="n">
        <f aca="false">AP260/BY260&gt;$C$22</f>
        <v>0</v>
      </c>
      <c r="CO260" s="60" t="n">
        <f aca="false">1-N260+SUMPRODUCT(B260:M260,CB260:CM260)-SUMPRODUCT(B260:M260,CB259:CM259)</f>
        <v>0</v>
      </c>
      <c r="CP260" s="60" t="n">
        <f aca="false">SUMXMY2(O260:Z260,$E$13:$P$13)</f>
        <v>0</v>
      </c>
    </row>
    <row r="261" customFormat="false" ht="15" hidden="false" customHeight="false" outlineLevel="0" collapsed="false">
      <c r="A261" s="59" t="n">
        <v>8</v>
      </c>
      <c r="B261" s="60" t="n">
        <f aca="false">$E$13*EXP(MAX(-700,MIN(700,$E$86-CB260)))</f>
        <v>1</v>
      </c>
      <c r="C261" s="60" t="n">
        <f aca="false">$F$13*EXP(MAX(-700,MIN(700,$F$86-CC260)))</f>
        <v>0</v>
      </c>
      <c r="D261" s="60" t="n">
        <f aca="false">$G$13*EXP(MAX(-700,MIN(700,$G$86-CD260)))</f>
        <v>0</v>
      </c>
      <c r="E261" s="60" t="n">
        <f aca="false">$H$13*EXP(MAX(-700,MIN(700,$H$86-CE260)))</f>
        <v>0</v>
      </c>
      <c r="F261" s="60" t="n">
        <f aca="false">$I$13*EXP(MAX(-700,MIN(700,$I$86-CF260)))</f>
        <v>0</v>
      </c>
      <c r="G261" s="60" t="n">
        <f aca="false">$J$13*EXP(MAX(-700,MIN(700,$J$86-CG260)))</f>
        <v>0</v>
      </c>
      <c r="H261" s="60" t="n">
        <f aca="false">$K$13*EXP(MAX(-700,MIN(700,$K$86-CH260)))</f>
        <v>0</v>
      </c>
      <c r="I261" s="60" t="n">
        <f aca="false">$L$13*EXP(MAX(-700,MIN(700,$L$86-CI260)))</f>
        <v>0</v>
      </c>
      <c r="J261" s="60" t="n">
        <f aca="false">$M$13*EXP(MAX(-700,MIN(700,$M$86-CJ260)))</f>
        <v>0</v>
      </c>
      <c r="K261" s="60" t="n">
        <f aca="false">$N$13*EXP(MAX(-700,MIN(700,$N$86-CK260)))</f>
        <v>0</v>
      </c>
      <c r="L261" s="60" t="n">
        <f aca="false">$O$13*EXP(MAX(-700,MIN(700,$O$86-CL260)))</f>
        <v>0</v>
      </c>
      <c r="M261" s="60" t="n">
        <f aca="false">$P$13*EXP(MAX(-700,MIN(700,$P$86-CM260)))</f>
        <v>0</v>
      </c>
      <c r="N261" s="60" t="n">
        <f aca="false">SUM(B261:M261)</f>
        <v>1</v>
      </c>
      <c r="O261" s="60" t="n">
        <f aca="false">B261/N261</f>
        <v>1</v>
      </c>
      <c r="P261" s="60" t="n">
        <f aca="false">C261/N261</f>
        <v>0</v>
      </c>
      <c r="Q261" s="60" t="n">
        <f aca="false">D261/N261</f>
        <v>0</v>
      </c>
      <c r="R261" s="60" t="n">
        <f aca="false">E261/N261</f>
        <v>0</v>
      </c>
      <c r="S261" s="60" t="n">
        <f aca="false">F261/N261</f>
        <v>0</v>
      </c>
      <c r="T261" s="60" t="n">
        <f aca="false">G261/N261</f>
        <v>0</v>
      </c>
      <c r="U261" s="60" t="n">
        <f aca="false">H261/N261</f>
        <v>0</v>
      </c>
      <c r="V261" s="60" t="n">
        <f aca="false">I261/N261</f>
        <v>0</v>
      </c>
      <c r="W261" s="60" t="n">
        <f aca="false">J261/N261</f>
        <v>0</v>
      </c>
      <c r="X261" s="60" t="n">
        <f aca="false">K261/N261</f>
        <v>0</v>
      </c>
      <c r="Y261" s="60" t="n">
        <f aca="false">L261/N261</f>
        <v>0</v>
      </c>
      <c r="Z261" s="60" t="n">
        <f aca="false">M261/N261</f>
        <v>0</v>
      </c>
      <c r="AA261" s="60" t="n">
        <f aca="false">$E$28*SUMPRODUCT($E$31:$P$31,O261:Z261,$E$28:$P$28)</f>
        <v>0.184416866619846</v>
      </c>
      <c r="AB261" s="60" t="n">
        <f aca="false">$F$28*SUMPRODUCT($E$32:$P$32,O261:Z261,$E$28:$P$28)</f>
        <v>0</v>
      </c>
      <c r="AC261" s="60" t="n">
        <f aca="false">$G$28*SUMPRODUCT($E$33:$P$33,O261:Z261,$E$28:$P$28)</f>
        <v>0</v>
      </c>
      <c r="AD261" s="60" t="n">
        <f aca="false">$H$28*SUMPRODUCT($E$34:$P$34,O261:Z261,$E$28:$P$28)</f>
        <v>0</v>
      </c>
      <c r="AE261" s="60" t="n">
        <f aca="false">$I$28*SUMPRODUCT($E$35:$P$35,O261:Z261,$E$28:$P$28)</f>
        <v>0</v>
      </c>
      <c r="AF261" s="60" t="n">
        <f aca="false">$J$28*SUMPRODUCT($E$36:$P$36,O261:Z261,$E$28:$P$28)</f>
        <v>0</v>
      </c>
      <c r="AG261" s="60" t="n">
        <f aca="false">$K$28*SUMPRODUCT($E$37:$P$37,O261:Z261,$E$28:$P$28)</f>
        <v>0</v>
      </c>
      <c r="AH261" s="60" t="n">
        <f aca="false">$L$28*SUMPRODUCT($E$38:$P$38,O261:Z261,$E$28:$P$28)</f>
        <v>0</v>
      </c>
      <c r="AI261" s="60" t="n">
        <f aca="false">$M$28*SUMPRODUCT($E$39:$P$39,O261:Z261,$E$28:$P$28)</f>
        <v>0</v>
      </c>
      <c r="AJ261" s="60" t="n">
        <f aca="false">$N$28*SUMPRODUCT($E$40:$P$40,O261:Z261,$E$28:$P$28)</f>
        <v>0</v>
      </c>
      <c r="AK261" s="60" t="n">
        <f aca="false">$O$28*SUMPRODUCT($E$41:$P$41,O261:Z261,$E$28:$P$28)</f>
        <v>0</v>
      </c>
      <c r="AL261" s="60" t="n">
        <f aca="false">$P$28*SUMPRODUCT($E$42:$P$42,O261:Z261,$E$28:$P$28)</f>
        <v>0</v>
      </c>
      <c r="AM261" s="60" t="n">
        <f aca="false">SUMPRODUCT(O261:Z261,AA261:AL261)</f>
        <v>0.184416866619846</v>
      </c>
      <c r="AN261" s="60" t="n">
        <f aca="false">SUMPRODUCT(O261:Z261,$E$27:$P$27)</f>
        <v>2.67389635063809E-005</v>
      </c>
      <c r="AO261" s="60" t="n">
        <f aca="false">AM261*$C$9/($C$10*$C$8)^2</f>
        <v>0.21776909410545</v>
      </c>
      <c r="AP261" s="60" t="n">
        <f aca="false">AN261*$C$9/($C$10*$C$8)</f>
        <v>0.0918845243259994</v>
      </c>
      <c r="AQ261" s="60" t="n">
        <f aca="false">CHOOSE($C$7,-(1+AP261),-1,-(1-AP261))</f>
        <v>-0.908115475674001</v>
      </c>
      <c r="AR261" s="60" t="n">
        <f aca="false">CHOOSE($C$7,AO261,AO261-AP261-AP261^2,AO261-3*AP261^2-2*AP261)</f>
        <v>0.00867174802160559</v>
      </c>
      <c r="AS261" s="60" t="n">
        <f aca="false">CHOOSE($C$7,-AO261*AP261,-AO261*AP261,-(AO261*AP261-AP261^2-AP261^3))</f>
        <v>-0.0107910842936637</v>
      </c>
      <c r="AT261" s="60" t="n">
        <f aca="false">AR261-AQ261^2/3</f>
        <v>-0.266219491031267</v>
      </c>
      <c r="AU261" s="60" t="n">
        <f aca="false">2*AQ261^3/27-AQ261*AR261/3+AS261</f>
        <v>-0.0636400988362784</v>
      </c>
      <c r="AV261" s="60" t="n">
        <f aca="false">AU261^2/4+AT261^3/27</f>
        <v>0.000313710901361829</v>
      </c>
      <c r="AW261" s="60" t="n">
        <f aca="false">-AU261/2-IF(AU261&gt;=0,1,-1)*SQRT(MAX(AV261,0))</f>
        <v>0.0495319352963236</v>
      </c>
      <c r="AX261" s="60" t="n">
        <f aca="false">SIGN(AW261)*ABS(AW261)^(1/3)</f>
        <v>0.367249967174439</v>
      </c>
      <c r="AY261" s="60" t="n">
        <f aca="false">IF(AX261=0,0,AX261-AT261/(3*AX261))</f>
        <v>0.60888329127384</v>
      </c>
      <c r="AZ261" s="60" t="n">
        <f aca="false">2*SQRT(MAX(-AT261,0)/3)</f>
        <v>0.595784626668918</v>
      </c>
      <c r="BA261" s="60" t="n">
        <f aca="false">ACOS(IF(AZ261=0,0,MAX(-1,MIN(1,3*AU261/(AT261*AZ261)))))</f>
        <v>0</v>
      </c>
      <c r="BB261" s="60" t="n">
        <f aca="false">AZ261*COS(BA261/3)</f>
        <v>0.595784626668918</v>
      </c>
      <c r="BC261" s="60" t="n">
        <f aca="false">IF(AV261&lt;0,BB261,AY261)-AQ261/3</f>
        <v>0.91158844983184</v>
      </c>
      <c r="BD261" s="60" t="n">
        <f aca="false">IFERROR((((BC261+AQ261)*BC261+AR261)*BC261+AS261)/((3*BC261+2*AQ261)*BC261+AR261),0)</f>
        <v>0</v>
      </c>
      <c r="BE261" s="60" t="n">
        <f aca="false">IF(ABS(BD261)&lt;0.1*ABS(BC261),BC261-BD261,BC261)</f>
        <v>0.91158844983184</v>
      </c>
      <c r="BF261" s="60" t="n">
        <f aca="false">IFERROR((((BE261+AQ261)*BE261+AR261)*BE261+AS261)/((3*BE261+2*AQ261)*BE261+AR261),0)</f>
        <v>0</v>
      </c>
      <c r="BG261" s="60" t="n">
        <f aca="false">IF(ABS(BF261)&lt;0.1*ABS(BE261),BE261-BF261,BE261)</f>
        <v>0.91158844983184</v>
      </c>
      <c r="BH261" s="60" t="n">
        <f aca="false">-AS261/BG261</f>
        <v>0.0118376711504565</v>
      </c>
      <c r="BI261" s="60" t="n">
        <f aca="false">(AR261-BH261)/BG261</f>
        <v>-0.00347297415783941</v>
      </c>
      <c r="BJ261" s="60" t="n">
        <f aca="false">BI261^2-4*BH261</f>
        <v>-0.0473386230523248</v>
      </c>
      <c r="BK261" s="60" t="n">
        <f aca="false">IF(BJ261&gt;=0,(BI261+IF(BI261&gt;=0,1,-1)*SQRT(BJ261))/2,0)</f>
        <v>0</v>
      </c>
      <c r="BL261" s="60" t="n">
        <f aca="false">IF(AND(BJ261&gt;=0,BK261&lt;&gt;0),MIN(BK261,BH261/BK261),-1)</f>
        <v>-1</v>
      </c>
      <c r="BM261" s="60" t="n">
        <f aca="false">AND(BJ261&gt;=0,BL261&gt;AP261,ABS(BG261-BL261)&gt;=0.00005*MAX(BG261,BL261))</f>
        <v>0</v>
      </c>
      <c r="BN261" s="60" t="n">
        <f aca="false">IF(BM261,IFERROR((((BL261+AQ261)*BL261+AR261)*BL261+AS261)/((3*BL261+2*AQ261)*BL261+AR261),0),0)</f>
        <v>0</v>
      </c>
      <c r="BO261" s="60" t="n">
        <f aca="false">IF(ABS(BN261)&lt;0.1*ABS(BL261),BL261-BN261,BL261)</f>
        <v>-1</v>
      </c>
      <c r="BP261" s="60" t="n">
        <f aca="false">IF(BM261,IFERROR((((BO261+AQ261)*BO261+AR261)*BO261+AS261)/((3*BO261+2*AQ261)*BO261+AR261),0),0)</f>
        <v>0</v>
      </c>
      <c r="BQ261" s="60" t="n">
        <f aca="false">IF(ABS(BP261)&lt;0.1*ABS(BO261),BO261-BP261,BO261)</f>
        <v>-1</v>
      </c>
      <c r="BR261" s="60" t="n">
        <f aca="false">IF(BM261,MAX(BG261,BQ261),BG261)</f>
        <v>0.91158844983184</v>
      </c>
      <c r="BS261" s="60" t="n">
        <f aca="false">IF(BM261,MIN(BG261,BQ261),-1)</f>
        <v>-1</v>
      </c>
      <c r="BT261" s="60" t="n">
        <f aca="false">CHOOSE($C$7,AO261/BR261,AO261/AP261*LN(1+AP261/BR261),AO261/(2*SQRT(2)*AP261)*LN((BR261+(1+SQRT(2))*AP261)/(BR261+(1-SQRT(2))*AP261)))</f>
        <v>0.218240791233887</v>
      </c>
      <c r="BU261" s="60" t="n">
        <f aca="false">BR261-1-LN(BR261-AP261)-BT261</f>
        <v>-0.107840271021729</v>
      </c>
      <c r="BV261" s="60" t="n">
        <f aca="false">IF(BM261,CHOOSE($C$7,AO261/BS261,AO261/AP261*LN(1+AP261/BS261),AO261/(2*SQRT(2)*AP261)*LN((BS261+(1+SQRT(2))*AP261)/(BS261+(1-SQRT(2))*AP261))),0)</f>
        <v>0</v>
      </c>
      <c r="BW261" s="60" t="n">
        <f aca="false">IF(BM261,BS261-1-LN(BS261-AP261)-BV261,0)</f>
        <v>0</v>
      </c>
      <c r="BX261" s="60" t="n">
        <f aca="false">AND(BM261,BW261&lt;BU261)</f>
        <v>0</v>
      </c>
      <c r="BY261" s="60" t="n">
        <f aca="false">IF(BX261,BS261,BR261)</f>
        <v>0.91158844983184</v>
      </c>
      <c r="BZ261" s="60" t="n">
        <f aca="false">IF(BX261,BV261,BT261)</f>
        <v>0.218240791233887</v>
      </c>
      <c r="CA261" s="60" t="n">
        <f aca="false">LN(BY261-AP261)</f>
        <v>-0.198812070380318</v>
      </c>
      <c r="CB261" s="60" t="n">
        <f aca="false">$E$27/AN261*(BY261-1)-CA261-BZ261*(2*AA261/AM261-$E$27/AN261)</f>
        <v>-0.107840271021729</v>
      </c>
      <c r="CC261" s="60" t="n">
        <f aca="false">$F$27/AN261*(BY261-1)-CA261-BZ261*(2*AB261/AM261-$F$27/AN261)</f>
        <v>0.198812070380318</v>
      </c>
      <c r="CD261" s="60" t="n">
        <f aca="false">$G$27/AN261*(BY261-1)-CA261-BZ261*(2*AC261/AM261-$G$27/AN261)</f>
        <v>0.198812070380318</v>
      </c>
      <c r="CE261" s="60" t="n">
        <f aca="false">$H$27/AN261*(BY261-1)-CA261-BZ261*(2*AD261/AM261-$H$27/AN261)</f>
        <v>0.198812070380318</v>
      </c>
      <c r="CF261" s="60" t="n">
        <f aca="false">$I$27/AN261*(BY261-1)-CA261-BZ261*(2*AE261/AM261-$I$27/AN261)</f>
        <v>0.198812070380318</v>
      </c>
      <c r="CG261" s="60" t="n">
        <f aca="false">$J$27/AN261*(BY261-1)-CA261-BZ261*(2*AF261/AM261-$J$27/AN261)</f>
        <v>0.198812070380318</v>
      </c>
      <c r="CH261" s="60" t="n">
        <f aca="false">$K$27/AN261*(BY261-1)-CA261-BZ261*(2*AG261/AM261-$K$27/AN261)</f>
        <v>0.198812070380318</v>
      </c>
      <c r="CI261" s="60" t="n">
        <f aca="false">$L$27/AN261*(BY261-1)-CA261-BZ261*(2*AH261/AM261-$L$27/AN261)</f>
        <v>0.198812070380318</v>
      </c>
      <c r="CJ261" s="60" t="n">
        <f aca="false">$M$27/AN261*(BY261-1)-CA261-BZ261*(2*AI261/AM261-$M$27/AN261)</f>
        <v>0.198812070380318</v>
      </c>
      <c r="CK261" s="60" t="n">
        <f aca="false">$N$27/AN261*(BY261-1)-CA261-BZ261*(2*AJ261/AM261-$N$27/AN261)</f>
        <v>0.198812070380318</v>
      </c>
      <c r="CL261" s="60" t="n">
        <f aca="false">$O$27/AN261*(BY261-1)-CA261-BZ261*(2*AK261/AM261-$O$27/AN261)</f>
        <v>0.198812070380318</v>
      </c>
      <c r="CM261" s="60" t="n">
        <f aca="false">$P$27/AN261*(BY261-1)-CA261-BZ261*(2*AL261/AM261-$P$27/AN261)</f>
        <v>0.198812070380318</v>
      </c>
      <c r="CN261" s="60" t="n">
        <f aca="false">AP261/BY261&gt;$C$22</f>
        <v>0</v>
      </c>
      <c r="CO261" s="60" t="n">
        <f aca="false">1-N261+SUMPRODUCT(B261:M261,CB261:CM261)-SUMPRODUCT(B261:M261,CB260:CM260)</f>
        <v>0</v>
      </c>
      <c r="CP261" s="60" t="n">
        <f aca="false">SUMXMY2(O261:Z261,$E$13:$P$13)</f>
        <v>0</v>
      </c>
    </row>
    <row r="262" customFormat="false" ht="15" hidden="false" customHeight="false" outlineLevel="0" collapsed="false">
      <c r="A262" s="59" t="n">
        <v>9</v>
      </c>
      <c r="B262" s="60" t="n">
        <f aca="false">$E$13*EXP(MAX(-700,MIN(700,$E$86-CB261)))</f>
        <v>1</v>
      </c>
      <c r="C262" s="60" t="n">
        <f aca="false">$F$13*EXP(MAX(-700,MIN(700,$F$86-CC261)))</f>
        <v>0</v>
      </c>
      <c r="D262" s="60" t="n">
        <f aca="false">$G$13*EXP(MAX(-700,MIN(700,$G$86-CD261)))</f>
        <v>0</v>
      </c>
      <c r="E262" s="60" t="n">
        <f aca="false">$H$13*EXP(MAX(-700,MIN(700,$H$86-CE261)))</f>
        <v>0</v>
      </c>
      <c r="F262" s="60" t="n">
        <f aca="false">$I$13*EXP(MAX(-700,MIN(700,$I$86-CF261)))</f>
        <v>0</v>
      </c>
      <c r="G262" s="60" t="n">
        <f aca="false">$J$13*EXP(MAX(-700,MIN(700,$J$86-CG261)))</f>
        <v>0</v>
      </c>
      <c r="H262" s="60" t="n">
        <f aca="false">$K$13*EXP(MAX(-700,MIN(700,$K$86-CH261)))</f>
        <v>0</v>
      </c>
      <c r="I262" s="60" t="n">
        <f aca="false">$L$13*EXP(MAX(-700,MIN(700,$L$86-CI261)))</f>
        <v>0</v>
      </c>
      <c r="J262" s="60" t="n">
        <f aca="false">$M$13*EXP(MAX(-700,MIN(700,$M$86-CJ261)))</f>
        <v>0</v>
      </c>
      <c r="K262" s="60" t="n">
        <f aca="false">$N$13*EXP(MAX(-700,MIN(700,$N$86-CK261)))</f>
        <v>0</v>
      </c>
      <c r="L262" s="60" t="n">
        <f aca="false">$O$13*EXP(MAX(-700,MIN(700,$O$86-CL261)))</f>
        <v>0</v>
      </c>
      <c r="M262" s="60" t="n">
        <f aca="false">$P$13*EXP(MAX(-700,MIN(700,$P$86-CM261)))</f>
        <v>0</v>
      </c>
      <c r="N262" s="60" t="n">
        <f aca="false">SUM(B262:M262)</f>
        <v>1</v>
      </c>
      <c r="O262" s="60" t="n">
        <f aca="false">B262/N262</f>
        <v>1</v>
      </c>
      <c r="P262" s="60" t="n">
        <f aca="false">C262/N262</f>
        <v>0</v>
      </c>
      <c r="Q262" s="60" t="n">
        <f aca="false">D262/N262</f>
        <v>0</v>
      </c>
      <c r="R262" s="60" t="n">
        <f aca="false">E262/N262</f>
        <v>0</v>
      </c>
      <c r="S262" s="60" t="n">
        <f aca="false">F262/N262</f>
        <v>0</v>
      </c>
      <c r="T262" s="60" t="n">
        <f aca="false">G262/N262</f>
        <v>0</v>
      </c>
      <c r="U262" s="60" t="n">
        <f aca="false">H262/N262</f>
        <v>0</v>
      </c>
      <c r="V262" s="60" t="n">
        <f aca="false">I262/N262</f>
        <v>0</v>
      </c>
      <c r="W262" s="60" t="n">
        <f aca="false">J262/N262</f>
        <v>0</v>
      </c>
      <c r="X262" s="60" t="n">
        <f aca="false">K262/N262</f>
        <v>0</v>
      </c>
      <c r="Y262" s="60" t="n">
        <f aca="false">L262/N262</f>
        <v>0</v>
      </c>
      <c r="Z262" s="60" t="n">
        <f aca="false">M262/N262</f>
        <v>0</v>
      </c>
      <c r="AA262" s="60" t="n">
        <f aca="false">$E$28*SUMPRODUCT($E$31:$P$31,O262:Z262,$E$28:$P$28)</f>
        <v>0.184416866619846</v>
      </c>
      <c r="AB262" s="60" t="n">
        <f aca="false">$F$28*SUMPRODUCT($E$32:$P$32,O262:Z262,$E$28:$P$28)</f>
        <v>0</v>
      </c>
      <c r="AC262" s="60" t="n">
        <f aca="false">$G$28*SUMPRODUCT($E$33:$P$33,O262:Z262,$E$28:$P$28)</f>
        <v>0</v>
      </c>
      <c r="AD262" s="60" t="n">
        <f aca="false">$H$28*SUMPRODUCT($E$34:$P$34,O262:Z262,$E$28:$P$28)</f>
        <v>0</v>
      </c>
      <c r="AE262" s="60" t="n">
        <f aca="false">$I$28*SUMPRODUCT($E$35:$P$35,O262:Z262,$E$28:$P$28)</f>
        <v>0</v>
      </c>
      <c r="AF262" s="60" t="n">
        <f aca="false">$J$28*SUMPRODUCT($E$36:$P$36,O262:Z262,$E$28:$P$28)</f>
        <v>0</v>
      </c>
      <c r="AG262" s="60" t="n">
        <f aca="false">$K$28*SUMPRODUCT($E$37:$P$37,O262:Z262,$E$28:$P$28)</f>
        <v>0</v>
      </c>
      <c r="AH262" s="60" t="n">
        <f aca="false">$L$28*SUMPRODUCT($E$38:$P$38,O262:Z262,$E$28:$P$28)</f>
        <v>0</v>
      </c>
      <c r="AI262" s="60" t="n">
        <f aca="false">$M$28*SUMPRODUCT($E$39:$P$39,O262:Z262,$E$28:$P$28)</f>
        <v>0</v>
      </c>
      <c r="AJ262" s="60" t="n">
        <f aca="false">$N$28*SUMPRODUCT($E$40:$P$40,O262:Z262,$E$28:$P$28)</f>
        <v>0</v>
      </c>
      <c r="AK262" s="60" t="n">
        <f aca="false">$O$28*SUMPRODUCT($E$41:$P$41,O262:Z262,$E$28:$P$28)</f>
        <v>0</v>
      </c>
      <c r="AL262" s="60" t="n">
        <f aca="false">$P$28*SUMPRODUCT($E$42:$P$42,O262:Z262,$E$28:$P$28)</f>
        <v>0</v>
      </c>
      <c r="AM262" s="60" t="n">
        <f aca="false">SUMPRODUCT(O262:Z262,AA262:AL262)</f>
        <v>0.184416866619846</v>
      </c>
      <c r="AN262" s="60" t="n">
        <f aca="false">SUMPRODUCT(O262:Z262,$E$27:$P$27)</f>
        <v>2.67389635063809E-005</v>
      </c>
      <c r="AO262" s="60" t="n">
        <f aca="false">AM262*$C$9/($C$10*$C$8)^2</f>
        <v>0.21776909410545</v>
      </c>
      <c r="AP262" s="60" t="n">
        <f aca="false">AN262*$C$9/($C$10*$C$8)</f>
        <v>0.0918845243259994</v>
      </c>
      <c r="AQ262" s="60" t="n">
        <f aca="false">CHOOSE($C$7,-(1+AP262),-1,-(1-AP262))</f>
        <v>-0.908115475674001</v>
      </c>
      <c r="AR262" s="60" t="n">
        <f aca="false">CHOOSE($C$7,AO262,AO262-AP262-AP262^2,AO262-3*AP262^2-2*AP262)</f>
        <v>0.00867174802160559</v>
      </c>
      <c r="AS262" s="60" t="n">
        <f aca="false">CHOOSE($C$7,-AO262*AP262,-AO262*AP262,-(AO262*AP262-AP262^2-AP262^3))</f>
        <v>-0.0107910842936637</v>
      </c>
      <c r="AT262" s="60" t="n">
        <f aca="false">AR262-AQ262^2/3</f>
        <v>-0.266219491031267</v>
      </c>
      <c r="AU262" s="60" t="n">
        <f aca="false">2*AQ262^3/27-AQ262*AR262/3+AS262</f>
        <v>-0.0636400988362784</v>
      </c>
      <c r="AV262" s="60" t="n">
        <f aca="false">AU262^2/4+AT262^3/27</f>
        <v>0.000313710901361829</v>
      </c>
      <c r="AW262" s="60" t="n">
        <f aca="false">-AU262/2-IF(AU262&gt;=0,1,-1)*SQRT(MAX(AV262,0))</f>
        <v>0.0495319352963236</v>
      </c>
      <c r="AX262" s="60" t="n">
        <f aca="false">SIGN(AW262)*ABS(AW262)^(1/3)</f>
        <v>0.367249967174439</v>
      </c>
      <c r="AY262" s="60" t="n">
        <f aca="false">IF(AX262=0,0,AX262-AT262/(3*AX262))</f>
        <v>0.60888329127384</v>
      </c>
      <c r="AZ262" s="60" t="n">
        <f aca="false">2*SQRT(MAX(-AT262,0)/3)</f>
        <v>0.595784626668918</v>
      </c>
      <c r="BA262" s="60" t="n">
        <f aca="false">ACOS(IF(AZ262=0,0,MAX(-1,MIN(1,3*AU262/(AT262*AZ262)))))</f>
        <v>0</v>
      </c>
      <c r="BB262" s="60" t="n">
        <f aca="false">AZ262*COS(BA262/3)</f>
        <v>0.595784626668918</v>
      </c>
      <c r="BC262" s="60" t="n">
        <f aca="false">IF(AV262&lt;0,BB262,AY262)-AQ262/3</f>
        <v>0.91158844983184</v>
      </c>
      <c r="BD262" s="60" t="n">
        <f aca="false">IFERROR((((BC262+AQ262)*BC262+AR262)*BC262+AS262)/((3*BC262+2*AQ262)*BC262+AR262),0)</f>
        <v>0</v>
      </c>
      <c r="BE262" s="60" t="n">
        <f aca="false">IF(ABS(BD262)&lt;0.1*ABS(BC262),BC262-BD262,BC262)</f>
        <v>0.91158844983184</v>
      </c>
      <c r="BF262" s="60" t="n">
        <f aca="false">IFERROR((((BE262+AQ262)*BE262+AR262)*BE262+AS262)/((3*BE262+2*AQ262)*BE262+AR262),0)</f>
        <v>0</v>
      </c>
      <c r="BG262" s="60" t="n">
        <f aca="false">IF(ABS(BF262)&lt;0.1*ABS(BE262),BE262-BF262,BE262)</f>
        <v>0.91158844983184</v>
      </c>
      <c r="BH262" s="60" t="n">
        <f aca="false">-AS262/BG262</f>
        <v>0.0118376711504565</v>
      </c>
      <c r="BI262" s="60" t="n">
        <f aca="false">(AR262-BH262)/BG262</f>
        <v>-0.00347297415783941</v>
      </c>
      <c r="BJ262" s="60" t="n">
        <f aca="false">BI262^2-4*BH262</f>
        <v>-0.0473386230523248</v>
      </c>
      <c r="BK262" s="60" t="n">
        <f aca="false">IF(BJ262&gt;=0,(BI262+IF(BI262&gt;=0,1,-1)*SQRT(BJ262))/2,0)</f>
        <v>0</v>
      </c>
      <c r="BL262" s="60" t="n">
        <f aca="false">IF(AND(BJ262&gt;=0,BK262&lt;&gt;0),MIN(BK262,BH262/BK262),-1)</f>
        <v>-1</v>
      </c>
      <c r="BM262" s="60" t="n">
        <f aca="false">AND(BJ262&gt;=0,BL262&gt;AP262,ABS(BG262-BL262)&gt;=0.00005*MAX(BG262,BL262))</f>
        <v>0</v>
      </c>
      <c r="BN262" s="60" t="n">
        <f aca="false">IF(BM262,IFERROR((((BL262+AQ262)*BL262+AR262)*BL262+AS262)/((3*BL262+2*AQ262)*BL262+AR262),0),0)</f>
        <v>0</v>
      </c>
      <c r="BO262" s="60" t="n">
        <f aca="false">IF(ABS(BN262)&lt;0.1*ABS(BL262),BL262-BN262,BL262)</f>
        <v>-1</v>
      </c>
      <c r="BP262" s="60" t="n">
        <f aca="false">IF(BM262,IFERROR((((BO262+AQ262)*BO262+AR262)*BO262+AS262)/((3*BO262+2*AQ262)*BO262+AR262),0),0)</f>
        <v>0</v>
      </c>
      <c r="BQ262" s="60" t="n">
        <f aca="false">IF(ABS(BP262)&lt;0.1*ABS(BO262),BO262-BP262,BO262)</f>
        <v>-1</v>
      </c>
      <c r="BR262" s="60" t="n">
        <f aca="false">IF(BM262,MAX(BG262,BQ262),BG262)</f>
        <v>0.91158844983184</v>
      </c>
      <c r="BS262" s="60" t="n">
        <f aca="false">IF(BM262,MIN(BG262,BQ262),-1)</f>
        <v>-1</v>
      </c>
      <c r="BT262" s="60" t="n">
        <f aca="false">CHOOSE($C$7,AO262/BR262,AO262/AP262*LN(1+AP262/BR262),AO262/(2*SQRT(2)*AP262)*LN((BR262+(1+SQRT(2))*AP262)/(BR262+(1-SQRT(2))*AP262)))</f>
        <v>0.218240791233887</v>
      </c>
      <c r="BU262" s="60" t="n">
        <f aca="false">BR262-1-LN(BR262-AP262)-BT262</f>
        <v>-0.107840271021729</v>
      </c>
      <c r="BV262" s="60" t="n">
        <f aca="false">IF(BM262,CHOOSE($C$7,AO262/BS262,AO262/AP262*LN(1+AP262/BS262),AO262/(2*SQRT(2)*AP262)*LN((BS262+(1+SQRT(2))*AP262)/(BS262+(1-SQRT(2))*AP262))),0)</f>
        <v>0</v>
      </c>
      <c r="BW262" s="60" t="n">
        <f aca="false">IF(BM262,BS262-1-LN(BS262-AP262)-BV262,0)</f>
        <v>0</v>
      </c>
      <c r="BX262" s="60" t="n">
        <f aca="false">AND(BM262,BW262&lt;BU262)</f>
        <v>0</v>
      </c>
      <c r="BY262" s="60" t="n">
        <f aca="false">IF(BX262,BS262,BR262)</f>
        <v>0.91158844983184</v>
      </c>
      <c r="BZ262" s="60" t="n">
        <f aca="false">IF(BX262,BV262,BT262)</f>
        <v>0.218240791233887</v>
      </c>
      <c r="CA262" s="60" t="n">
        <f aca="false">LN(BY262-AP262)</f>
        <v>-0.198812070380318</v>
      </c>
      <c r="CB262" s="60" t="n">
        <f aca="false">$E$27/AN262*(BY262-1)-CA262-BZ262*(2*AA262/AM262-$E$27/AN262)</f>
        <v>-0.107840271021729</v>
      </c>
      <c r="CC262" s="60" t="n">
        <f aca="false">$F$27/AN262*(BY262-1)-CA262-BZ262*(2*AB262/AM262-$F$27/AN262)</f>
        <v>0.198812070380318</v>
      </c>
      <c r="CD262" s="60" t="n">
        <f aca="false">$G$27/AN262*(BY262-1)-CA262-BZ262*(2*AC262/AM262-$G$27/AN262)</f>
        <v>0.198812070380318</v>
      </c>
      <c r="CE262" s="60" t="n">
        <f aca="false">$H$27/AN262*(BY262-1)-CA262-BZ262*(2*AD262/AM262-$H$27/AN262)</f>
        <v>0.198812070380318</v>
      </c>
      <c r="CF262" s="60" t="n">
        <f aca="false">$I$27/AN262*(BY262-1)-CA262-BZ262*(2*AE262/AM262-$I$27/AN262)</f>
        <v>0.198812070380318</v>
      </c>
      <c r="CG262" s="60" t="n">
        <f aca="false">$J$27/AN262*(BY262-1)-CA262-BZ262*(2*AF262/AM262-$J$27/AN262)</f>
        <v>0.198812070380318</v>
      </c>
      <c r="CH262" s="60" t="n">
        <f aca="false">$K$27/AN262*(BY262-1)-CA262-BZ262*(2*AG262/AM262-$K$27/AN262)</f>
        <v>0.198812070380318</v>
      </c>
      <c r="CI262" s="60" t="n">
        <f aca="false">$L$27/AN262*(BY262-1)-CA262-BZ262*(2*AH262/AM262-$L$27/AN262)</f>
        <v>0.198812070380318</v>
      </c>
      <c r="CJ262" s="60" t="n">
        <f aca="false">$M$27/AN262*(BY262-1)-CA262-BZ262*(2*AI262/AM262-$M$27/AN262)</f>
        <v>0.198812070380318</v>
      </c>
      <c r="CK262" s="60" t="n">
        <f aca="false">$N$27/AN262*(BY262-1)-CA262-BZ262*(2*AJ262/AM262-$N$27/AN262)</f>
        <v>0.198812070380318</v>
      </c>
      <c r="CL262" s="60" t="n">
        <f aca="false">$O$27/AN262*(BY262-1)-CA262-BZ262*(2*AK262/AM262-$O$27/AN262)</f>
        <v>0.198812070380318</v>
      </c>
      <c r="CM262" s="60" t="n">
        <f aca="false">$P$27/AN262*(BY262-1)-CA262-BZ262*(2*AL262/AM262-$P$27/AN262)</f>
        <v>0.198812070380318</v>
      </c>
      <c r="CN262" s="60" t="n">
        <f aca="false">AP262/BY262&gt;$C$22</f>
        <v>0</v>
      </c>
      <c r="CO262" s="60" t="n">
        <f aca="false">1-N262+SUMPRODUCT(B262:M262,CB262:CM262)-SUMPRODUCT(B262:M262,CB261:CM261)</f>
        <v>0</v>
      </c>
      <c r="CP262" s="60" t="n">
        <f aca="false">SUMXMY2(O262:Z262,$E$13:$P$13)</f>
        <v>0</v>
      </c>
    </row>
    <row r="263" customFormat="false" ht="15" hidden="false" customHeight="false" outlineLevel="0" collapsed="false">
      <c r="A263" s="59" t="n">
        <v>10</v>
      </c>
      <c r="B263" s="60" t="n">
        <f aca="false">$E$13*EXP(MAX(-700,MIN(700,$E$86-CB262)))</f>
        <v>1</v>
      </c>
      <c r="C263" s="60" t="n">
        <f aca="false">$F$13*EXP(MAX(-700,MIN(700,$F$86-CC262)))</f>
        <v>0</v>
      </c>
      <c r="D263" s="60" t="n">
        <f aca="false">$G$13*EXP(MAX(-700,MIN(700,$G$86-CD262)))</f>
        <v>0</v>
      </c>
      <c r="E263" s="60" t="n">
        <f aca="false">$H$13*EXP(MAX(-700,MIN(700,$H$86-CE262)))</f>
        <v>0</v>
      </c>
      <c r="F263" s="60" t="n">
        <f aca="false">$I$13*EXP(MAX(-700,MIN(700,$I$86-CF262)))</f>
        <v>0</v>
      </c>
      <c r="G263" s="60" t="n">
        <f aca="false">$J$13*EXP(MAX(-700,MIN(700,$J$86-CG262)))</f>
        <v>0</v>
      </c>
      <c r="H263" s="60" t="n">
        <f aca="false">$K$13*EXP(MAX(-700,MIN(700,$K$86-CH262)))</f>
        <v>0</v>
      </c>
      <c r="I263" s="60" t="n">
        <f aca="false">$L$13*EXP(MAX(-700,MIN(700,$L$86-CI262)))</f>
        <v>0</v>
      </c>
      <c r="J263" s="60" t="n">
        <f aca="false">$M$13*EXP(MAX(-700,MIN(700,$M$86-CJ262)))</f>
        <v>0</v>
      </c>
      <c r="K263" s="60" t="n">
        <f aca="false">$N$13*EXP(MAX(-700,MIN(700,$N$86-CK262)))</f>
        <v>0</v>
      </c>
      <c r="L263" s="60" t="n">
        <f aca="false">$O$13*EXP(MAX(-700,MIN(700,$O$86-CL262)))</f>
        <v>0</v>
      </c>
      <c r="M263" s="60" t="n">
        <f aca="false">$P$13*EXP(MAX(-700,MIN(700,$P$86-CM262)))</f>
        <v>0</v>
      </c>
      <c r="N263" s="60" t="n">
        <f aca="false">SUM(B263:M263)</f>
        <v>1</v>
      </c>
      <c r="O263" s="60" t="n">
        <f aca="false">B263/N263</f>
        <v>1</v>
      </c>
      <c r="P263" s="60" t="n">
        <f aca="false">C263/N263</f>
        <v>0</v>
      </c>
      <c r="Q263" s="60" t="n">
        <f aca="false">D263/N263</f>
        <v>0</v>
      </c>
      <c r="R263" s="60" t="n">
        <f aca="false">E263/N263</f>
        <v>0</v>
      </c>
      <c r="S263" s="60" t="n">
        <f aca="false">F263/N263</f>
        <v>0</v>
      </c>
      <c r="T263" s="60" t="n">
        <f aca="false">G263/N263</f>
        <v>0</v>
      </c>
      <c r="U263" s="60" t="n">
        <f aca="false">H263/N263</f>
        <v>0</v>
      </c>
      <c r="V263" s="60" t="n">
        <f aca="false">I263/N263</f>
        <v>0</v>
      </c>
      <c r="W263" s="60" t="n">
        <f aca="false">J263/N263</f>
        <v>0</v>
      </c>
      <c r="X263" s="60" t="n">
        <f aca="false">K263/N263</f>
        <v>0</v>
      </c>
      <c r="Y263" s="60" t="n">
        <f aca="false">L263/N263</f>
        <v>0</v>
      </c>
      <c r="Z263" s="60" t="n">
        <f aca="false">M263/N263</f>
        <v>0</v>
      </c>
      <c r="AA263" s="60" t="n">
        <f aca="false">$E$28*SUMPRODUCT($E$31:$P$31,O263:Z263,$E$28:$P$28)</f>
        <v>0.184416866619846</v>
      </c>
      <c r="AB263" s="60" t="n">
        <f aca="false">$F$28*SUMPRODUCT($E$32:$P$32,O263:Z263,$E$28:$P$28)</f>
        <v>0</v>
      </c>
      <c r="AC263" s="60" t="n">
        <f aca="false">$G$28*SUMPRODUCT($E$33:$P$33,O263:Z263,$E$28:$P$28)</f>
        <v>0</v>
      </c>
      <c r="AD263" s="60" t="n">
        <f aca="false">$H$28*SUMPRODUCT($E$34:$P$34,O263:Z263,$E$28:$P$28)</f>
        <v>0</v>
      </c>
      <c r="AE263" s="60" t="n">
        <f aca="false">$I$28*SUMPRODUCT($E$35:$P$35,O263:Z263,$E$28:$P$28)</f>
        <v>0</v>
      </c>
      <c r="AF263" s="60" t="n">
        <f aca="false">$J$28*SUMPRODUCT($E$36:$P$36,O263:Z263,$E$28:$P$28)</f>
        <v>0</v>
      </c>
      <c r="AG263" s="60" t="n">
        <f aca="false">$K$28*SUMPRODUCT($E$37:$P$37,O263:Z263,$E$28:$P$28)</f>
        <v>0</v>
      </c>
      <c r="AH263" s="60" t="n">
        <f aca="false">$L$28*SUMPRODUCT($E$38:$P$38,O263:Z263,$E$28:$P$28)</f>
        <v>0</v>
      </c>
      <c r="AI263" s="60" t="n">
        <f aca="false">$M$28*SUMPRODUCT($E$39:$P$39,O263:Z263,$E$28:$P$28)</f>
        <v>0</v>
      </c>
      <c r="AJ263" s="60" t="n">
        <f aca="false">$N$28*SUMPRODUCT($E$40:$P$40,O263:Z263,$E$28:$P$28)</f>
        <v>0</v>
      </c>
      <c r="AK263" s="60" t="n">
        <f aca="false">$O$28*SUMPRODUCT($E$41:$P$41,O263:Z263,$E$28:$P$28)</f>
        <v>0</v>
      </c>
      <c r="AL263" s="60" t="n">
        <f aca="false">$P$28*SUMPRODUCT($E$42:$P$42,O263:Z263,$E$28:$P$28)</f>
        <v>0</v>
      </c>
      <c r="AM263" s="60" t="n">
        <f aca="false">SUMPRODUCT(O263:Z263,AA263:AL263)</f>
        <v>0.184416866619846</v>
      </c>
      <c r="AN263" s="60" t="n">
        <f aca="false">SUMPRODUCT(O263:Z263,$E$27:$P$27)</f>
        <v>2.67389635063809E-005</v>
      </c>
      <c r="AO263" s="60" t="n">
        <f aca="false">AM263*$C$9/($C$10*$C$8)^2</f>
        <v>0.21776909410545</v>
      </c>
      <c r="AP263" s="60" t="n">
        <f aca="false">AN263*$C$9/($C$10*$C$8)</f>
        <v>0.0918845243259994</v>
      </c>
      <c r="AQ263" s="60" t="n">
        <f aca="false">CHOOSE($C$7,-(1+AP263),-1,-(1-AP263))</f>
        <v>-0.908115475674001</v>
      </c>
      <c r="AR263" s="60" t="n">
        <f aca="false">CHOOSE($C$7,AO263,AO263-AP263-AP263^2,AO263-3*AP263^2-2*AP263)</f>
        <v>0.00867174802160559</v>
      </c>
      <c r="AS263" s="60" t="n">
        <f aca="false">CHOOSE($C$7,-AO263*AP263,-AO263*AP263,-(AO263*AP263-AP263^2-AP263^3))</f>
        <v>-0.0107910842936637</v>
      </c>
      <c r="AT263" s="60" t="n">
        <f aca="false">AR263-AQ263^2/3</f>
        <v>-0.266219491031267</v>
      </c>
      <c r="AU263" s="60" t="n">
        <f aca="false">2*AQ263^3/27-AQ263*AR263/3+AS263</f>
        <v>-0.0636400988362784</v>
      </c>
      <c r="AV263" s="60" t="n">
        <f aca="false">AU263^2/4+AT263^3/27</f>
        <v>0.000313710901361829</v>
      </c>
      <c r="AW263" s="60" t="n">
        <f aca="false">-AU263/2-IF(AU263&gt;=0,1,-1)*SQRT(MAX(AV263,0))</f>
        <v>0.0495319352963236</v>
      </c>
      <c r="AX263" s="60" t="n">
        <f aca="false">SIGN(AW263)*ABS(AW263)^(1/3)</f>
        <v>0.367249967174439</v>
      </c>
      <c r="AY263" s="60" t="n">
        <f aca="false">IF(AX263=0,0,AX263-AT263/(3*AX263))</f>
        <v>0.60888329127384</v>
      </c>
      <c r="AZ263" s="60" t="n">
        <f aca="false">2*SQRT(MAX(-AT263,0)/3)</f>
        <v>0.595784626668918</v>
      </c>
      <c r="BA263" s="60" t="n">
        <f aca="false">ACOS(IF(AZ263=0,0,MAX(-1,MIN(1,3*AU263/(AT263*AZ263)))))</f>
        <v>0</v>
      </c>
      <c r="BB263" s="60" t="n">
        <f aca="false">AZ263*COS(BA263/3)</f>
        <v>0.595784626668918</v>
      </c>
      <c r="BC263" s="60" t="n">
        <f aca="false">IF(AV263&lt;0,BB263,AY263)-AQ263/3</f>
        <v>0.91158844983184</v>
      </c>
      <c r="BD263" s="60" t="n">
        <f aca="false">IFERROR((((BC263+AQ263)*BC263+AR263)*BC263+AS263)/((3*BC263+2*AQ263)*BC263+AR263),0)</f>
        <v>0</v>
      </c>
      <c r="BE263" s="60" t="n">
        <f aca="false">IF(ABS(BD263)&lt;0.1*ABS(BC263),BC263-BD263,BC263)</f>
        <v>0.91158844983184</v>
      </c>
      <c r="BF263" s="60" t="n">
        <f aca="false">IFERROR((((BE263+AQ263)*BE263+AR263)*BE263+AS263)/((3*BE263+2*AQ263)*BE263+AR263),0)</f>
        <v>0</v>
      </c>
      <c r="BG263" s="60" t="n">
        <f aca="false">IF(ABS(BF263)&lt;0.1*ABS(BE263),BE263-BF263,BE263)</f>
        <v>0.91158844983184</v>
      </c>
      <c r="BH263" s="60" t="n">
        <f aca="false">-AS263/BG263</f>
        <v>0.0118376711504565</v>
      </c>
      <c r="BI263" s="60" t="n">
        <f aca="false">(AR263-BH263)/BG263</f>
        <v>-0.00347297415783941</v>
      </c>
      <c r="BJ263" s="60" t="n">
        <f aca="false">BI263^2-4*BH263</f>
        <v>-0.0473386230523248</v>
      </c>
      <c r="BK263" s="60" t="n">
        <f aca="false">IF(BJ263&gt;=0,(BI263+IF(BI263&gt;=0,1,-1)*SQRT(BJ263))/2,0)</f>
        <v>0</v>
      </c>
      <c r="BL263" s="60" t="n">
        <f aca="false">IF(AND(BJ263&gt;=0,BK263&lt;&gt;0),MIN(BK263,BH263/BK263),-1)</f>
        <v>-1</v>
      </c>
      <c r="BM263" s="60" t="n">
        <f aca="false">AND(BJ263&gt;=0,BL263&gt;AP263,ABS(BG263-BL263)&gt;=0.00005*MAX(BG263,BL263))</f>
        <v>0</v>
      </c>
      <c r="BN263" s="60" t="n">
        <f aca="false">IF(BM263,IFERROR((((BL263+AQ263)*BL263+AR263)*BL263+AS263)/((3*BL263+2*AQ263)*BL263+AR263),0),0)</f>
        <v>0</v>
      </c>
      <c r="BO263" s="60" t="n">
        <f aca="false">IF(ABS(BN263)&lt;0.1*ABS(BL263),BL263-BN263,BL263)</f>
        <v>-1</v>
      </c>
      <c r="BP263" s="60" t="n">
        <f aca="false">IF(BM263,IFERROR((((BO263+AQ263)*BO263+AR263)*BO263+AS263)/((3*BO263+2*AQ263)*BO263+AR263),0),0)</f>
        <v>0</v>
      </c>
      <c r="BQ263" s="60" t="n">
        <f aca="false">IF(ABS(BP263)&lt;0.1*ABS(BO263),BO263-BP263,BO263)</f>
        <v>-1</v>
      </c>
      <c r="BR263" s="60" t="n">
        <f aca="false">IF(BM263,MAX(BG263,BQ263),BG263)</f>
        <v>0.91158844983184</v>
      </c>
      <c r="BS263" s="60" t="n">
        <f aca="false">IF(BM263,MIN(BG263,BQ263),-1)</f>
        <v>-1</v>
      </c>
      <c r="BT263" s="60" t="n">
        <f aca="false">CHOOSE($C$7,AO263/BR263,AO263/AP263*LN(1+AP263/BR263),AO263/(2*SQRT(2)*AP263)*LN((BR263+(1+SQRT(2))*AP263)/(BR263+(1-SQRT(2))*AP263)))</f>
        <v>0.218240791233887</v>
      </c>
      <c r="BU263" s="60" t="n">
        <f aca="false">BR263-1-LN(BR263-AP263)-BT263</f>
        <v>-0.107840271021729</v>
      </c>
      <c r="BV263" s="60" t="n">
        <f aca="false">IF(BM263,CHOOSE($C$7,AO263/BS263,AO263/AP263*LN(1+AP263/BS263),AO263/(2*SQRT(2)*AP263)*LN((BS263+(1+SQRT(2))*AP263)/(BS263+(1-SQRT(2))*AP263))),0)</f>
        <v>0</v>
      </c>
      <c r="BW263" s="60" t="n">
        <f aca="false">IF(BM263,BS263-1-LN(BS263-AP263)-BV263,0)</f>
        <v>0</v>
      </c>
      <c r="BX263" s="60" t="n">
        <f aca="false">AND(BM263,BW263&lt;BU263)</f>
        <v>0</v>
      </c>
      <c r="BY263" s="60" t="n">
        <f aca="false">IF(BX263,BS263,BR263)</f>
        <v>0.91158844983184</v>
      </c>
      <c r="BZ263" s="60" t="n">
        <f aca="false">IF(BX263,BV263,BT263)</f>
        <v>0.218240791233887</v>
      </c>
      <c r="CA263" s="60" t="n">
        <f aca="false">LN(BY263-AP263)</f>
        <v>-0.198812070380318</v>
      </c>
      <c r="CB263" s="60" t="n">
        <f aca="false">$E$27/AN263*(BY263-1)-CA263-BZ263*(2*AA263/AM263-$E$27/AN263)</f>
        <v>-0.107840271021729</v>
      </c>
      <c r="CC263" s="60" t="n">
        <f aca="false">$F$27/AN263*(BY263-1)-CA263-BZ263*(2*AB263/AM263-$F$27/AN263)</f>
        <v>0.198812070380318</v>
      </c>
      <c r="CD263" s="60" t="n">
        <f aca="false">$G$27/AN263*(BY263-1)-CA263-BZ263*(2*AC263/AM263-$G$27/AN263)</f>
        <v>0.198812070380318</v>
      </c>
      <c r="CE263" s="60" t="n">
        <f aca="false">$H$27/AN263*(BY263-1)-CA263-BZ263*(2*AD263/AM263-$H$27/AN263)</f>
        <v>0.198812070380318</v>
      </c>
      <c r="CF263" s="60" t="n">
        <f aca="false">$I$27/AN263*(BY263-1)-CA263-BZ263*(2*AE263/AM263-$I$27/AN263)</f>
        <v>0.198812070380318</v>
      </c>
      <c r="CG263" s="60" t="n">
        <f aca="false">$J$27/AN263*(BY263-1)-CA263-BZ263*(2*AF263/AM263-$J$27/AN263)</f>
        <v>0.198812070380318</v>
      </c>
      <c r="CH263" s="60" t="n">
        <f aca="false">$K$27/AN263*(BY263-1)-CA263-BZ263*(2*AG263/AM263-$K$27/AN263)</f>
        <v>0.198812070380318</v>
      </c>
      <c r="CI263" s="60" t="n">
        <f aca="false">$L$27/AN263*(BY263-1)-CA263-BZ263*(2*AH263/AM263-$L$27/AN263)</f>
        <v>0.198812070380318</v>
      </c>
      <c r="CJ263" s="60" t="n">
        <f aca="false">$M$27/AN263*(BY263-1)-CA263-BZ263*(2*AI263/AM263-$M$27/AN263)</f>
        <v>0.198812070380318</v>
      </c>
      <c r="CK263" s="60" t="n">
        <f aca="false">$N$27/AN263*(BY263-1)-CA263-BZ263*(2*AJ263/AM263-$N$27/AN263)</f>
        <v>0.198812070380318</v>
      </c>
      <c r="CL263" s="60" t="n">
        <f aca="false">$O$27/AN263*(BY263-1)-CA263-BZ263*(2*AK263/AM263-$O$27/AN263)</f>
        <v>0.198812070380318</v>
      </c>
      <c r="CM263" s="60" t="n">
        <f aca="false">$P$27/AN263*(BY263-1)-CA263-BZ263*(2*AL263/AM263-$P$27/AN263)</f>
        <v>0.198812070380318</v>
      </c>
      <c r="CN263" s="60" t="n">
        <f aca="false">AP263/BY263&gt;$C$22</f>
        <v>0</v>
      </c>
      <c r="CO263" s="60" t="n">
        <f aca="false">1-N263+SUMPRODUCT(B263:M263,CB263:CM263)-SUMPRODUCT(B263:M263,CB262:CM262)</f>
        <v>0</v>
      </c>
      <c r="CP263" s="60" t="n">
        <f aca="false">SUMXMY2(O263:Z263,$E$13:$P$13)</f>
        <v>0</v>
      </c>
    </row>
    <row r="264" customFormat="false" ht="15" hidden="false" customHeight="false" outlineLevel="0" collapsed="false">
      <c r="A264" s="59" t="n">
        <v>11</v>
      </c>
      <c r="B264" s="60" t="n">
        <f aca="false">$E$13*EXP(MAX(-700,MIN(700,$E$86-CB263)))</f>
        <v>1</v>
      </c>
      <c r="C264" s="60" t="n">
        <f aca="false">$F$13*EXP(MAX(-700,MIN(700,$F$86-CC263)))</f>
        <v>0</v>
      </c>
      <c r="D264" s="60" t="n">
        <f aca="false">$G$13*EXP(MAX(-700,MIN(700,$G$86-CD263)))</f>
        <v>0</v>
      </c>
      <c r="E264" s="60" t="n">
        <f aca="false">$H$13*EXP(MAX(-700,MIN(700,$H$86-CE263)))</f>
        <v>0</v>
      </c>
      <c r="F264" s="60" t="n">
        <f aca="false">$I$13*EXP(MAX(-700,MIN(700,$I$86-CF263)))</f>
        <v>0</v>
      </c>
      <c r="G264" s="60" t="n">
        <f aca="false">$J$13*EXP(MAX(-700,MIN(700,$J$86-CG263)))</f>
        <v>0</v>
      </c>
      <c r="H264" s="60" t="n">
        <f aca="false">$K$13*EXP(MAX(-700,MIN(700,$K$86-CH263)))</f>
        <v>0</v>
      </c>
      <c r="I264" s="60" t="n">
        <f aca="false">$L$13*EXP(MAX(-700,MIN(700,$L$86-CI263)))</f>
        <v>0</v>
      </c>
      <c r="J264" s="60" t="n">
        <f aca="false">$M$13*EXP(MAX(-700,MIN(700,$M$86-CJ263)))</f>
        <v>0</v>
      </c>
      <c r="K264" s="60" t="n">
        <f aca="false">$N$13*EXP(MAX(-700,MIN(700,$N$86-CK263)))</f>
        <v>0</v>
      </c>
      <c r="L264" s="60" t="n">
        <f aca="false">$O$13*EXP(MAX(-700,MIN(700,$O$86-CL263)))</f>
        <v>0</v>
      </c>
      <c r="M264" s="60" t="n">
        <f aca="false">$P$13*EXP(MAX(-700,MIN(700,$P$86-CM263)))</f>
        <v>0</v>
      </c>
      <c r="N264" s="60" t="n">
        <f aca="false">SUM(B264:M264)</f>
        <v>1</v>
      </c>
      <c r="O264" s="60" t="n">
        <f aca="false">B264/N264</f>
        <v>1</v>
      </c>
      <c r="P264" s="60" t="n">
        <f aca="false">C264/N264</f>
        <v>0</v>
      </c>
      <c r="Q264" s="60" t="n">
        <f aca="false">D264/N264</f>
        <v>0</v>
      </c>
      <c r="R264" s="60" t="n">
        <f aca="false">E264/N264</f>
        <v>0</v>
      </c>
      <c r="S264" s="60" t="n">
        <f aca="false">F264/N264</f>
        <v>0</v>
      </c>
      <c r="T264" s="60" t="n">
        <f aca="false">G264/N264</f>
        <v>0</v>
      </c>
      <c r="U264" s="60" t="n">
        <f aca="false">H264/N264</f>
        <v>0</v>
      </c>
      <c r="V264" s="60" t="n">
        <f aca="false">I264/N264</f>
        <v>0</v>
      </c>
      <c r="W264" s="60" t="n">
        <f aca="false">J264/N264</f>
        <v>0</v>
      </c>
      <c r="X264" s="60" t="n">
        <f aca="false">K264/N264</f>
        <v>0</v>
      </c>
      <c r="Y264" s="60" t="n">
        <f aca="false">L264/N264</f>
        <v>0</v>
      </c>
      <c r="Z264" s="60" t="n">
        <f aca="false">M264/N264</f>
        <v>0</v>
      </c>
      <c r="AA264" s="60" t="n">
        <f aca="false">$E$28*SUMPRODUCT($E$31:$P$31,O264:Z264,$E$28:$P$28)</f>
        <v>0.184416866619846</v>
      </c>
      <c r="AB264" s="60" t="n">
        <f aca="false">$F$28*SUMPRODUCT($E$32:$P$32,O264:Z264,$E$28:$P$28)</f>
        <v>0</v>
      </c>
      <c r="AC264" s="60" t="n">
        <f aca="false">$G$28*SUMPRODUCT($E$33:$P$33,O264:Z264,$E$28:$P$28)</f>
        <v>0</v>
      </c>
      <c r="AD264" s="60" t="n">
        <f aca="false">$H$28*SUMPRODUCT($E$34:$P$34,O264:Z264,$E$28:$P$28)</f>
        <v>0</v>
      </c>
      <c r="AE264" s="60" t="n">
        <f aca="false">$I$28*SUMPRODUCT($E$35:$P$35,O264:Z264,$E$28:$P$28)</f>
        <v>0</v>
      </c>
      <c r="AF264" s="60" t="n">
        <f aca="false">$J$28*SUMPRODUCT($E$36:$P$36,O264:Z264,$E$28:$P$28)</f>
        <v>0</v>
      </c>
      <c r="AG264" s="60" t="n">
        <f aca="false">$K$28*SUMPRODUCT($E$37:$P$37,O264:Z264,$E$28:$P$28)</f>
        <v>0</v>
      </c>
      <c r="AH264" s="60" t="n">
        <f aca="false">$L$28*SUMPRODUCT($E$38:$P$38,O264:Z264,$E$28:$P$28)</f>
        <v>0</v>
      </c>
      <c r="AI264" s="60" t="n">
        <f aca="false">$M$28*SUMPRODUCT($E$39:$P$39,O264:Z264,$E$28:$P$28)</f>
        <v>0</v>
      </c>
      <c r="AJ264" s="60" t="n">
        <f aca="false">$N$28*SUMPRODUCT($E$40:$P$40,O264:Z264,$E$28:$P$28)</f>
        <v>0</v>
      </c>
      <c r="AK264" s="60" t="n">
        <f aca="false">$O$28*SUMPRODUCT($E$41:$P$41,O264:Z264,$E$28:$P$28)</f>
        <v>0</v>
      </c>
      <c r="AL264" s="60" t="n">
        <f aca="false">$P$28*SUMPRODUCT($E$42:$P$42,O264:Z264,$E$28:$P$28)</f>
        <v>0</v>
      </c>
      <c r="AM264" s="60" t="n">
        <f aca="false">SUMPRODUCT(O264:Z264,AA264:AL264)</f>
        <v>0.184416866619846</v>
      </c>
      <c r="AN264" s="60" t="n">
        <f aca="false">SUMPRODUCT(O264:Z264,$E$27:$P$27)</f>
        <v>2.67389635063809E-005</v>
      </c>
      <c r="AO264" s="60" t="n">
        <f aca="false">AM264*$C$9/($C$10*$C$8)^2</f>
        <v>0.21776909410545</v>
      </c>
      <c r="AP264" s="60" t="n">
        <f aca="false">AN264*$C$9/($C$10*$C$8)</f>
        <v>0.0918845243259994</v>
      </c>
      <c r="AQ264" s="60" t="n">
        <f aca="false">CHOOSE($C$7,-(1+AP264),-1,-(1-AP264))</f>
        <v>-0.908115475674001</v>
      </c>
      <c r="AR264" s="60" t="n">
        <f aca="false">CHOOSE($C$7,AO264,AO264-AP264-AP264^2,AO264-3*AP264^2-2*AP264)</f>
        <v>0.00867174802160559</v>
      </c>
      <c r="AS264" s="60" t="n">
        <f aca="false">CHOOSE($C$7,-AO264*AP264,-AO264*AP264,-(AO264*AP264-AP264^2-AP264^3))</f>
        <v>-0.0107910842936637</v>
      </c>
      <c r="AT264" s="60" t="n">
        <f aca="false">AR264-AQ264^2/3</f>
        <v>-0.266219491031267</v>
      </c>
      <c r="AU264" s="60" t="n">
        <f aca="false">2*AQ264^3/27-AQ264*AR264/3+AS264</f>
        <v>-0.0636400988362784</v>
      </c>
      <c r="AV264" s="60" t="n">
        <f aca="false">AU264^2/4+AT264^3/27</f>
        <v>0.000313710901361829</v>
      </c>
      <c r="AW264" s="60" t="n">
        <f aca="false">-AU264/2-IF(AU264&gt;=0,1,-1)*SQRT(MAX(AV264,0))</f>
        <v>0.0495319352963236</v>
      </c>
      <c r="AX264" s="60" t="n">
        <f aca="false">SIGN(AW264)*ABS(AW264)^(1/3)</f>
        <v>0.367249967174439</v>
      </c>
      <c r="AY264" s="60" t="n">
        <f aca="false">IF(AX264=0,0,AX264-AT264/(3*AX264))</f>
        <v>0.60888329127384</v>
      </c>
      <c r="AZ264" s="60" t="n">
        <f aca="false">2*SQRT(MAX(-AT264,0)/3)</f>
        <v>0.595784626668918</v>
      </c>
      <c r="BA264" s="60" t="n">
        <f aca="false">ACOS(IF(AZ264=0,0,MAX(-1,MIN(1,3*AU264/(AT264*AZ264)))))</f>
        <v>0</v>
      </c>
      <c r="BB264" s="60" t="n">
        <f aca="false">AZ264*COS(BA264/3)</f>
        <v>0.595784626668918</v>
      </c>
      <c r="BC264" s="60" t="n">
        <f aca="false">IF(AV264&lt;0,BB264,AY264)-AQ264/3</f>
        <v>0.91158844983184</v>
      </c>
      <c r="BD264" s="60" t="n">
        <f aca="false">IFERROR((((BC264+AQ264)*BC264+AR264)*BC264+AS264)/((3*BC264+2*AQ264)*BC264+AR264),0)</f>
        <v>0</v>
      </c>
      <c r="BE264" s="60" t="n">
        <f aca="false">IF(ABS(BD264)&lt;0.1*ABS(BC264),BC264-BD264,BC264)</f>
        <v>0.91158844983184</v>
      </c>
      <c r="BF264" s="60" t="n">
        <f aca="false">IFERROR((((BE264+AQ264)*BE264+AR264)*BE264+AS264)/((3*BE264+2*AQ264)*BE264+AR264),0)</f>
        <v>0</v>
      </c>
      <c r="BG264" s="60" t="n">
        <f aca="false">IF(ABS(BF264)&lt;0.1*ABS(BE264),BE264-BF264,BE264)</f>
        <v>0.91158844983184</v>
      </c>
      <c r="BH264" s="60" t="n">
        <f aca="false">-AS264/BG264</f>
        <v>0.0118376711504565</v>
      </c>
      <c r="BI264" s="60" t="n">
        <f aca="false">(AR264-BH264)/BG264</f>
        <v>-0.00347297415783941</v>
      </c>
      <c r="BJ264" s="60" t="n">
        <f aca="false">BI264^2-4*BH264</f>
        <v>-0.0473386230523248</v>
      </c>
      <c r="BK264" s="60" t="n">
        <f aca="false">IF(BJ264&gt;=0,(BI264+IF(BI264&gt;=0,1,-1)*SQRT(BJ264))/2,0)</f>
        <v>0</v>
      </c>
      <c r="BL264" s="60" t="n">
        <f aca="false">IF(AND(BJ264&gt;=0,BK264&lt;&gt;0),MIN(BK264,BH264/BK264),-1)</f>
        <v>-1</v>
      </c>
      <c r="BM264" s="60" t="n">
        <f aca="false">AND(BJ264&gt;=0,BL264&gt;AP264,ABS(BG264-BL264)&gt;=0.00005*MAX(BG264,BL264))</f>
        <v>0</v>
      </c>
      <c r="BN264" s="60" t="n">
        <f aca="false">IF(BM264,IFERROR((((BL264+AQ264)*BL264+AR264)*BL264+AS264)/((3*BL264+2*AQ264)*BL264+AR264),0),0)</f>
        <v>0</v>
      </c>
      <c r="BO264" s="60" t="n">
        <f aca="false">IF(ABS(BN264)&lt;0.1*ABS(BL264),BL264-BN264,BL264)</f>
        <v>-1</v>
      </c>
      <c r="BP264" s="60" t="n">
        <f aca="false">IF(BM264,IFERROR((((BO264+AQ264)*BO264+AR264)*BO264+AS264)/((3*BO264+2*AQ264)*BO264+AR264),0),0)</f>
        <v>0</v>
      </c>
      <c r="BQ264" s="60" t="n">
        <f aca="false">IF(ABS(BP264)&lt;0.1*ABS(BO264),BO264-BP264,BO264)</f>
        <v>-1</v>
      </c>
      <c r="BR264" s="60" t="n">
        <f aca="false">IF(BM264,MAX(BG264,BQ264),BG264)</f>
        <v>0.91158844983184</v>
      </c>
      <c r="BS264" s="60" t="n">
        <f aca="false">IF(BM264,MIN(BG264,BQ264),-1)</f>
        <v>-1</v>
      </c>
      <c r="BT264" s="60" t="n">
        <f aca="false">CHOOSE($C$7,AO264/BR264,AO264/AP264*LN(1+AP264/BR264),AO264/(2*SQRT(2)*AP264)*LN((BR264+(1+SQRT(2))*AP264)/(BR264+(1-SQRT(2))*AP264)))</f>
        <v>0.218240791233887</v>
      </c>
      <c r="BU264" s="60" t="n">
        <f aca="false">BR264-1-LN(BR264-AP264)-BT264</f>
        <v>-0.107840271021729</v>
      </c>
      <c r="BV264" s="60" t="n">
        <f aca="false">IF(BM264,CHOOSE($C$7,AO264/BS264,AO264/AP264*LN(1+AP264/BS264),AO264/(2*SQRT(2)*AP264)*LN((BS264+(1+SQRT(2))*AP264)/(BS264+(1-SQRT(2))*AP264))),0)</f>
        <v>0</v>
      </c>
      <c r="BW264" s="60" t="n">
        <f aca="false">IF(BM264,BS264-1-LN(BS264-AP264)-BV264,0)</f>
        <v>0</v>
      </c>
      <c r="BX264" s="60" t="n">
        <f aca="false">AND(BM264,BW264&lt;BU264)</f>
        <v>0</v>
      </c>
      <c r="BY264" s="60" t="n">
        <f aca="false">IF(BX264,BS264,BR264)</f>
        <v>0.91158844983184</v>
      </c>
      <c r="BZ264" s="60" t="n">
        <f aca="false">IF(BX264,BV264,BT264)</f>
        <v>0.218240791233887</v>
      </c>
      <c r="CA264" s="60" t="n">
        <f aca="false">LN(BY264-AP264)</f>
        <v>-0.198812070380318</v>
      </c>
      <c r="CB264" s="60" t="n">
        <f aca="false">$E$27/AN264*(BY264-1)-CA264-BZ264*(2*AA264/AM264-$E$27/AN264)</f>
        <v>-0.107840271021729</v>
      </c>
      <c r="CC264" s="60" t="n">
        <f aca="false">$F$27/AN264*(BY264-1)-CA264-BZ264*(2*AB264/AM264-$F$27/AN264)</f>
        <v>0.198812070380318</v>
      </c>
      <c r="CD264" s="60" t="n">
        <f aca="false">$G$27/AN264*(BY264-1)-CA264-BZ264*(2*AC264/AM264-$G$27/AN264)</f>
        <v>0.198812070380318</v>
      </c>
      <c r="CE264" s="60" t="n">
        <f aca="false">$H$27/AN264*(BY264-1)-CA264-BZ264*(2*AD264/AM264-$H$27/AN264)</f>
        <v>0.198812070380318</v>
      </c>
      <c r="CF264" s="60" t="n">
        <f aca="false">$I$27/AN264*(BY264-1)-CA264-BZ264*(2*AE264/AM264-$I$27/AN264)</f>
        <v>0.198812070380318</v>
      </c>
      <c r="CG264" s="60" t="n">
        <f aca="false">$J$27/AN264*(BY264-1)-CA264-BZ264*(2*AF264/AM264-$J$27/AN264)</f>
        <v>0.198812070380318</v>
      </c>
      <c r="CH264" s="60" t="n">
        <f aca="false">$K$27/AN264*(BY264-1)-CA264-BZ264*(2*AG264/AM264-$K$27/AN264)</f>
        <v>0.198812070380318</v>
      </c>
      <c r="CI264" s="60" t="n">
        <f aca="false">$L$27/AN264*(BY264-1)-CA264-BZ264*(2*AH264/AM264-$L$27/AN264)</f>
        <v>0.198812070380318</v>
      </c>
      <c r="CJ264" s="60" t="n">
        <f aca="false">$M$27/AN264*(BY264-1)-CA264-BZ264*(2*AI264/AM264-$M$27/AN264)</f>
        <v>0.198812070380318</v>
      </c>
      <c r="CK264" s="60" t="n">
        <f aca="false">$N$27/AN264*(BY264-1)-CA264-BZ264*(2*AJ264/AM264-$N$27/AN264)</f>
        <v>0.198812070380318</v>
      </c>
      <c r="CL264" s="60" t="n">
        <f aca="false">$O$27/AN264*(BY264-1)-CA264-BZ264*(2*AK264/AM264-$O$27/AN264)</f>
        <v>0.198812070380318</v>
      </c>
      <c r="CM264" s="60" t="n">
        <f aca="false">$P$27/AN264*(BY264-1)-CA264-BZ264*(2*AL264/AM264-$P$27/AN264)</f>
        <v>0.198812070380318</v>
      </c>
      <c r="CN264" s="60" t="n">
        <f aca="false">AP264/BY264&gt;$C$22</f>
        <v>0</v>
      </c>
      <c r="CO264" s="60" t="n">
        <f aca="false">1-N264+SUMPRODUCT(B264:M264,CB264:CM264)-SUMPRODUCT(B264:M264,CB263:CM263)</f>
        <v>0</v>
      </c>
      <c r="CP264" s="60" t="n">
        <f aca="false">SUMXMY2(O264:Z264,$E$13:$P$13)</f>
        <v>0</v>
      </c>
    </row>
    <row r="265" customFormat="false" ht="15" hidden="false" customHeight="false" outlineLevel="0" collapsed="false">
      <c r="A265" s="59" t="n">
        <v>12</v>
      </c>
      <c r="B265" s="60" t="n">
        <f aca="false">$E$13*EXP(MAX(-700,MIN(700,$E$86-CB264)))</f>
        <v>1</v>
      </c>
      <c r="C265" s="60" t="n">
        <f aca="false">$F$13*EXP(MAX(-700,MIN(700,$F$86-CC264)))</f>
        <v>0</v>
      </c>
      <c r="D265" s="60" t="n">
        <f aca="false">$G$13*EXP(MAX(-700,MIN(700,$G$86-CD264)))</f>
        <v>0</v>
      </c>
      <c r="E265" s="60" t="n">
        <f aca="false">$H$13*EXP(MAX(-700,MIN(700,$H$86-CE264)))</f>
        <v>0</v>
      </c>
      <c r="F265" s="60" t="n">
        <f aca="false">$I$13*EXP(MAX(-700,MIN(700,$I$86-CF264)))</f>
        <v>0</v>
      </c>
      <c r="G265" s="60" t="n">
        <f aca="false">$J$13*EXP(MAX(-700,MIN(700,$J$86-CG264)))</f>
        <v>0</v>
      </c>
      <c r="H265" s="60" t="n">
        <f aca="false">$K$13*EXP(MAX(-700,MIN(700,$K$86-CH264)))</f>
        <v>0</v>
      </c>
      <c r="I265" s="60" t="n">
        <f aca="false">$L$13*EXP(MAX(-700,MIN(700,$L$86-CI264)))</f>
        <v>0</v>
      </c>
      <c r="J265" s="60" t="n">
        <f aca="false">$M$13*EXP(MAX(-700,MIN(700,$M$86-CJ264)))</f>
        <v>0</v>
      </c>
      <c r="K265" s="60" t="n">
        <f aca="false">$N$13*EXP(MAX(-700,MIN(700,$N$86-CK264)))</f>
        <v>0</v>
      </c>
      <c r="L265" s="60" t="n">
        <f aca="false">$O$13*EXP(MAX(-700,MIN(700,$O$86-CL264)))</f>
        <v>0</v>
      </c>
      <c r="M265" s="60" t="n">
        <f aca="false">$P$13*EXP(MAX(-700,MIN(700,$P$86-CM264)))</f>
        <v>0</v>
      </c>
      <c r="N265" s="60" t="n">
        <f aca="false">SUM(B265:M265)</f>
        <v>1</v>
      </c>
      <c r="O265" s="60" t="n">
        <f aca="false">B265/N265</f>
        <v>1</v>
      </c>
      <c r="P265" s="60" t="n">
        <f aca="false">C265/N265</f>
        <v>0</v>
      </c>
      <c r="Q265" s="60" t="n">
        <f aca="false">D265/N265</f>
        <v>0</v>
      </c>
      <c r="R265" s="60" t="n">
        <f aca="false">E265/N265</f>
        <v>0</v>
      </c>
      <c r="S265" s="60" t="n">
        <f aca="false">F265/N265</f>
        <v>0</v>
      </c>
      <c r="T265" s="60" t="n">
        <f aca="false">G265/N265</f>
        <v>0</v>
      </c>
      <c r="U265" s="60" t="n">
        <f aca="false">H265/N265</f>
        <v>0</v>
      </c>
      <c r="V265" s="60" t="n">
        <f aca="false">I265/N265</f>
        <v>0</v>
      </c>
      <c r="W265" s="60" t="n">
        <f aca="false">J265/N265</f>
        <v>0</v>
      </c>
      <c r="X265" s="60" t="n">
        <f aca="false">K265/N265</f>
        <v>0</v>
      </c>
      <c r="Y265" s="60" t="n">
        <f aca="false">L265/N265</f>
        <v>0</v>
      </c>
      <c r="Z265" s="60" t="n">
        <f aca="false">M265/N265</f>
        <v>0</v>
      </c>
      <c r="AA265" s="60" t="n">
        <f aca="false">$E$28*SUMPRODUCT($E$31:$P$31,O265:Z265,$E$28:$P$28)</f>
        <v>0.184416866619846</v>
      </c>
      <c r="AB265" s="60" t="n">
        <f aca="false">$F$28*SUMPRODUCT($E$32:$P$32,O265:Z265,$E$28:$P$28)</f>
        <v>0</v>
      </c>
      <c r="AC265" s="60" t="n">
        <f aca="false">$G$28*SUMPRODUCT($E$33:$P$33,O265:Z265,$E$28:$P$28)</f>
        <v>0</v>
      </c>
      <c r="AD265" s="60" t="n">
        <f aca="false">$H$28*SUMPRODUCT($E$34:$P$34,O265:Z265,$E$28:$P$28)</f>
        <v>0</v>
      </c>
      <c r="AE265" s="60" t="n">
        <f aca="false">$I$28*SUMPRODUCT($E$35:$P$35,O265:Z265,$E$28:$P$28)</f>
        <v>0</v>
      </c>
      <c r="AF265" s="60" t="n">
        <f aca="false">$J$28*SUMPRODUCT($E$36:$P$36,O265:Z265,$E$28:$P$28)</f>
        <v>0</v>
      </c>
      <c r="AG265" s="60" t="n">
        <f aca="false">$K$28*SUMPRODUCT($E$37:$P$37,O265:Z265,$E$28:$P$28)</f>
        <v>0</v>
      </c>
      <c r="AH265" s="60" t="n">
        <f aca="false">$L$28*SUMPRODUCT($E$38:$P$38,O265:Z265,$E$28:$P$28)</f>
        <v>0</v>
      </c>
      <c r="AI265" s="60" t="n">
        <f aca="false">$M$28*SUMPRODUCT($E$39:$P$39,O265:Z265,$E$28:$P$28)</f>
        <v>0</v>
      </c>
      <c r="AJ265" s="60" t="n">
        <f aca="false">$N$28*SUMPRODUCT($E$40:$P$40,O265:Z265,$E$28:$P$28)</f>
        <v>0</v>
      </c>
      <c r="AK265" s="60" t="n">
        <f aca="false">$O$28*SUMPRODUCT($E$41:$P$41,O265:Z265,$E$28:$P$28)</f>
        <v>0</v>
      </c>
      <c r="AL265" s="60" t="n">
        <f aca="false">$P$28*SUMPRODUCT($E$42:$P$42,O265:Z265,$E$28:$P$28)</f>
        <v>0</v>
      </c>
      <c r="AM265" s="60" t="n">
        <f aca="false">SUMPRODUCT(O265:Z265,AA265:AL265)</f>
        <v>0.184416866619846</v>
      </c>
      <c r="AN265" s="60" t="n">
        <f aca="false">SUMPRODUCT(O265:Z265,$E$27:$P$27)</f>
        <v>2.67389635063809E-005</v>
      </c>
      <c r="AO265" s="60" t="n">
        <f aca="false">AM265*$C$9/($C$10*$C$8)^2</f>
        <v>0.21776909410545</v>
      </c>
      <c r="AP265" s="60" t="n">
        <f aca="false">AN265*$C$9/($C$10*$C$8)</f>
        <v>0.0918845243259994</v>
      </c>
      <c r="AQ265" s="60" t="n">
        <f aca="false">CHOOSE($C$7,-(1+AP265),-1,-(1-AP265))</f>
        <v>-0.908115475674001</v>
      </c>
      <c r="AR265" s="60" t="n">
        <f aca="false">CHOOSE($C$7,AO265,AO265-AP265-AP265^2,AO265-3*AP265^2-2*AP265)</f>
        <v>0.00867174802160559</v>
      </c>
      <c r="AS265" s="60" t="n">
        <f aca="false">CHOOSE($C$7,-AO265*AP265,-AO265*AP265,-(AO265*AP265-AP265^2-AP265^3))</f>
        <v>-0.0107910842936637</v>
      </c>
      <c r="AT265" s="60" t="n">
        <f aca="false">AR265-AQ265^2/3</f>
        <v>-0.266219491031267</v>
      </c>
      <c r="AU265" s="60" t="n">
        <f aca="false">2*AQ265^3/27-AQ265*AR265/3+AS265</f>
        <v>-0.0636400988362784</v>
      </c>
      <c r="AV265" s="60" t="n">
        <f aca="false">AU265^2/4+AT265^3/27</f>
        <v>0.000313710901361829</v>
      </c>
      <c r="AW265" s="60" t="n">
        <f aca="false">-AU265/2-IF(AU265&gt;=0,1,-1)*SQRT(MAX(AV265,0))</f>
        <v>0.0495319352963236</v>
      </c>
      <c r="AX265" s="60" t="n">
        <f aca="false">SIGN(AW265)*ABS(AW265)^(1/3)</f>
        <v>0.367249967174439</v>
      </c>
      <c r="AY265" s="60" t="n">
        <f aca="false">IF(AX265=0,0,AX265-AT265/(3*AX265))</f>
        <v>0.60888329127384</v>
      </c>
      <c r="AZ265" s="60" t="n">
        <f aca="false">2*SQRT(MAX(-AT265,0)/3)</f>
        <v>0.595784626668918</v>
      </c>
      <c r="BA265" s="60" t="n">
        <f aca="false">ACOS(IF(AZ265=0,0,MAX(-1,MIN(1,3*AU265/(AT265*AZ265)))))</f>
        <v>0</v>
      </c>
      <c r="BB265" s="60" t="n">
        <f aca="false">AZ265*COS(BA265/3)</f>
        <v>0.595784626668918</v>
      </c>
      <c r="BC265" s="60" t="n">
        <f aca="false">IF(AV265&lt;0,BB265,AY265)-AQ265/3</f>
        <v>0.91158844983184</v>
      </c>
      <c r="BD265" s="60" t="n">
        <f aca="false">IFERROR((((BC265+AQ265)*BC265+AR265)*BC265+AS265)/((3*BC265+2*AQ265)*BC265+AR265),0)</f>
        <v>0</v>
      </c>
      <c r="BE265" s="60" t="n">
        <f aca="false">IF(ABS(BD265)&lt;0.1*ABS(BC265),BC265-BD265,BC265)</f>
        <v>0.91158844983184</v>
      </c>
      <c r="BF265" s="60" t="n">
        <f aca="false">IFERROR((((BE265+AQ265)*BE265+AR265)*BE265+AS265)/((3*BE265+2*AQ265)*BE265+AR265),0)</f>
        <v>0</v>
      </c>
      <c r="BG265" s="60" t="n">
        <f aca="false">IF(ABS(BF265)&lt;0.1*ABS(BE265),BE265-BF265,BE265)</f>
        <v>0.91158844983184</v>
      </c>
      <c r="BH265" s="60" t="n">
        <f aca="false">-AS265/BG265</f>
        <v>0.0118376711504565</v>
      </c>
      <c r="BI265" s="60" t="n">
        <f aca="false">(AR265-BH265)/BG265</f>
        <v>-0.00347297415783941</v>
      </c>
      <c r="BJ265" s="60" t="n">
        <f aca="false">BI265^2-4*BH265</f>
        <v>-0.0473386230523248</v>
      </c>
      <c r="BK265" s="60" t="n">
        <f aca="false">IF(BJ265&gt;=0,(BI265+IF(BI265&gt;=0,1,-1)*SQRT(BJ265))/2,0)</f>
        <v>0</v>
      </c>
      <c r="BL265" s="60" t="n">
        <f aca="false">IF(AND(BJ265&gt;=0,BK265&lt;&gt;0),MIN(BK265,BH265/BK265),-1)</f>
        <v>-1</v>
      </c>
      <c r="BM265" s="60" t="n">
        <f aca="false">AND(BJ265&gt;=0,BL265&gt;AP265,ABS(BG265-BL265)&gt;=0.00005*MAX(BG265,BL265))</f>
        <v>0</v>
      </c>
      <c r="BN265" s="60" t="n">
        <f aca="false">IF(BM265,IFERROR((((BL265+AQ265)*BL265+AR265)*BL265+AS265)/((3*BL265+2*AQ265)*BL265+AR265),0),0)</f>
        <v>0</v>
      </c>
      <c r="BO265" s="60" t="n">
        <f aca="false">IF(ABS(BN265)&lt;0.1*ABS(BL265),BL265-BN265,BL265)</f>
        <v>-1</v>
      </c>
      <c r="BP265" s="60" t="n">
        <f aca="false">IF(BM265,IFERROR((((BO265+AQ265)*BO265+AR265)*BO265+AS265)/((3*BO265+2*AQ265)*BO265+AR265),0),0)</f>
        <v>0</v>
      </c>
      <c r="BQ265" s="60" t="n">
        <f aca="false">IF(ABS(BP265)&lt;0.1*ABS(BO265),BO265-BP265,BO265)</f>
        <v>-1</v>
      </c>
      <c r="BR265" s="60" t="n">
        <f aca="false">IF(BM265,MAX(BG265,BQ265),BG265)</f>
        <v>0.91158844983184</v>
      </c>
      <c r="BS265" s="60" t="n">
        <f aca="false">IF(BM265,MIN(BG265,BQ265),-1)</f>
        <v>-1</v>
      </c>
      <c r="BT265" s="60" t="n">
        <f aca="false">CHOOSE($C$7,AO265/BR265,AO265/AP265*LN(1+AP265/BR265),AO265/(2*SQRT(2)*AP265)*LN((BR265+(1+SQRT(2))*AP265)/(BR265+(1-SQRT(2))*AP265)))</f>
        <v>0.218240791233887</v>
      </c>
      <c r="BU265" s="60" t="n">
        <f aca="false">BR265-1-LN(BR265-AP265)-BT265</f>
        <v>-0.107840271021729</v>
      </c>
      <c r="BV265" s="60" t="n">
        <f aca="false">IF(BM265,CHOOSE($C$7,AO265/BS265,AO265/AP265*LN(1+AP265/BS265),AO265/(2*SQRT(2)*AP265)*LN((BS265+(1+SQRT(2))*AP265)/(BS265+(1-SQRT(2))*AP265))),0)</f>
        <v>0</v>
      </c>
      <c r="BW265" s="60" t="n">
        <f aca="false">IF(BM265,BS265-1-LN(BS265-AP265)-BV265,0)</f>
        <v>0</v>
      </c>
      <c r="BX265" s="60" t="n">
        <f aca="false">AND(BM265,BW265&lt;BU265)</f>
        <v>0</v>
      </c>
      <c r="BY265" s="60" t="n">
        <f aca="false">IF(BX265,BS265,BR265)</f>
        <v>0.91158844983184</v>
      </c>
      <c r="BZ265" s="60" t="n">
        <f aca="false">IF(BX265,BV265,BT265)</f>
        <v>0.218240791233887</v>
      </c>
      <c r="CA265" s="60" t="n">
        <f aca="false">LN(BY265-AP265)</f>
        <v>-0.198812070380318</v>
      </c>
      <c r="CB265" s="60" t="n">
        <f aca="false">$E$27/AN265*(BY265-1)-CA265-BZ265*(2*AA265/AM265-$E$27/AN265)</f>
        <v>-0.107840271021729</v>
      </c>
      <c r="CC265" s="60" t="n">
        <f aca="false">$F$27/AN265*(BY265-1)-CA265-BZ265*(2*AB265/AM265-$F$27/AN265)</f>
        <v>0.198812070380318</v>
      </c>
      <c r="CD265" s="60" t="n">
        <f aca="false">$G$27/AN265*(BY265-1)-CA265-BZ265*(2*AC265/AM265-$G$27/AN265)</f>
        <v>0.198812070380318</v>
      </c>
      <c r="CE265" s="60" t="n">
        <f aca="false">$H$27/AN265*(BY265-1)-CA265-BZ265*(2*AD265/AM265-$H$27/AN265)</f>
        <v>0.198812070380318</v>
      </c>
      <c r="CF265" s="60" t="n">
        <f aca="false">$I$27/AN265*(BY265-1)-CA265-BZ265*(2*AE265/AM265-$I$27/AN265)</f>
        <v>0.198812070380318</v>
      </c>
      <c r="CG265" s="60" t="n">
        <f aca="false">$J$27/AN265*(BY265-1)-CA265-BZ265*(2*AF265/AM265-$J$27/AN265)</f>
        <v>0.198812070380318</v>
      </c>
      <c r="CH265" s="60" t="n">
        <f aca="false">$K$27/AN265*(BY265-1)-CA265-BZ265*(2*AG265/AM265-$K$27/AN265)</f>
        <v>0.198812070380318</v>
      </c>
      <c r="CI265" s="60" t="n">
        <f aca="false">$L$27/AN265*(BY265-1)-CA265-BZ265*(2*AH265/AM265-$L$27/AN265)</f>
        <v>0.198812070380318</v>
      </c>
      <c r="CJ265" s="60" t="n">
        <f aca="false">$M$27/AN265*(BY265-1)-CA265-BZ265*(2*AI265/AM265-$M$27/AN265)</f>
        <v>0.198812070380318</v>
      </c>
      <c r="CK265" s="60" t="n">
        <f aca="false">$N$27/AN265*(BY265-1)-CA265-BZ265*(2*AJ265/AM265-$N$27/AN265)</f>
        <v>0.198812070380318</v>
      </c>
      <c r="CL265" s="60" t="n">
        <f aca="false">$O$27/AN265*(BY265-1)-CA265-BZ265*(2*AK265/AM265-$O$27/AN265)</f>
        <v>0.198812070380318</v>
      </c>
      <c r="CM265" s="60" t="n">
        <f aca="false">$P$27/AN265*(BY265-1)-CA265-BZ265*(2*AL265/AM265-$P$27/AN265)</f>
        <v>0.198812070380318</v>
      </c>
      <c r="CN265" s="60" t="n">
        <f aca="false">AP265/BY265&gt;$C$22</f>
        <v>0</v>
      </c>
      <c r="CO265" s="60" t="n">
        <f aca="false">1-N265+SUMPRODUCT(B265:M265,CB265:CM265)-SUMPRODUCT(B265:M265,CB264:CM264)</f>
        <v>0</v>
      </c>
      <c r="CP265" s="60" t="n">
        <f aca="false">SUMXMY2(O265:Z265,$E$13:$P$13)</f>
        <v>0</v>
      </c>
    </row>
    <row r="266" customFormat="false" ht="15" hidden="false" customHeight="false" outlineLevel="0" collapsed="false">
      <c r="A266" s="59" t="n">
        <v>13</v>
      </c>
      <c r="B266" s="60" t="n">
        <f aca="false">$E$13*EXP(MAX(-700,MIN(700,$E$86-CB265)))</f>
        <v>1</v>
      </c>
      <c r="C266" s="60" t="n">
        <f aca="false">$F$13*EXP(MAX(-700,MIN(700,$F$86-CC265)))</f>
        <v>0</v>
      </c>
      <c r="D266" s="60" t="n">
        <f aca="false">$G$13*EXP(MAX(-700,MIN(700,$G$86-CD265)))</f>
        <v>0</v>
      </c>
      <c r="E266" s="60" t="n">
        <f aca="false">$H$13*EXP(MAX(-700,MIN(700,$H$86-CE265)))</f>
        <v>0</v>
      </c>
      <c r="F266" s="60" t="n">
        <f aca="false">$I$13*EXP(MAX(-700,MIN(700,$I$86-CF265)))</f>
        <v>0</v>
      </c>
      <c r="G266" s="60" t="n">
        <f aca="false">$J$13*EXP(MAX(-700,MIN(700,$J$86-CG265)))</f>
        <v>0</v>
      </c>
      <c r="H266" s="60" t="n">
        <f aca="false">$K$13*EXP(MAX(-700,MIN(700,$K$86-CH265)))</f>
        <v>0</v>
      </c>
      <c r="I266" s="60" t="n">
        <f aca="false">$L$13*EXP(MAX(-700,MIN(700,$L$86-CI265)))</f>
        <v>0</v>
      </c>
      <c r="J266" s="60" t="n">
        <f aca="false">$M$13*EXP(MAX(-700,MIN(700,$M$86-CJ265)))</f>
        <v>0</v>
      </c>
      <c r="K266" s="60" t="n">
        <f aca="false">$N$13*EXP(MAX(-700,MIN(700,$N$86-CK265)))</f>
        <v>0</v>
      </c>
      <c r="L266" s="60" t="n">
        <f aca="false">$O$13*EXP(MAX(-700,MIN(700,$O$86-CL265)))</f>
        <v>0</v>
      </c>
      <c r="M266" s="60" t="n">
        <f aca="false">$P$13*EXP(MAX(-700,MIN(700,$P$86-CM265)))</f>
        <v>0</v>
      </c>
      <c r="N266" s="60" t="n">
        <f aca="false">SUM(B266:M266)</f>
        <v>1</v>
      </c>
      <c r="O266" s="60" t="n">
        <f aca="false">B266/N266</f>
        <v>1</v>
      </c>
      <c r="P266" s="60" t="n">
        <f aca="false">C266/N266</f>
        <v>0</v>
      </c>
      <c r="Q266" s="60" t="n">
        <f aca="false">D266/N266</f>
        <v>0</v>
      </c>
      <c r="R266" s="60" t="n">
        <f aca="false">E266/N266</f>
        <v>0</v>
      </c>
      <c r="S266" s="60" t="n">
        <f aca="false">F266/N266</f>
        <v>0</v>
      </c>
      <c r="T266" s="60" t="n">
        <f aca="false">G266/N266</f>
        <v>0</v>
      </c>
      <c r="U266" s="60" t="n">
        <f aca="false">H266/N266</f>
        <v>0</v>
      </c>
      <c r="V266" s="60" t="n">
        <f aca="false">I266/N266</f>
        <v>0</v>
      </c>
      <c r="W266" s="60" t="n">
        <f aca="false">J266/N266</f>
        <v>0</v>
      </c>
      <c r="X266" s="60" t="n">
        <f aca="false">K266/N266</f>
        <v>0</v>
      </c>
      <c r="Y266" s="60" t="n">
        <f aca="false">L266/N266</f>
        <v>0</v>
      </c>
      <c r="Z266" s="60" t="n">
        <f aca="false">M266/N266</f>
        <v>0</v>
      </c>
      <c r="AA266" s="60" t="n">
        <f aca="false">$E$28*SUMPRODUCT($E$31:$P$31,O266:Z266,$E$28:$P$28)</f>
        <v>0.184416866619846</v>
      </c>
      <c r="AB266" s="60" t="n">
        <f aca="false">$F$28*SUMPRODUCT($E$32:$P$32,O266:Z266,$E$28:$P$28)</f>
        <v>0</v>
      </c>
      <c r="AC266" s="60" t="n">
        <f aca="false">$G$28*SUMPRODUCT($E$33:$P$33,O266:Z266,$E$28:$P$28)</f>
        <v>0</v>
      </c>
      <c r="AD266" s="60" t="n">
        <f aca="false">$H$28*SUMPRODUCT($E$34:$P$34,O266:Z266,$E$28:$P$28)</f>
        <v>0</v>
      </c>
      <c r="AE266" s="60" t="n">
        <f aca="false">$I$28*SUMPRODUCT($E$35:$P$35,O266:Z266,$E$28:$P$28)</f>
        <v>0</v>
      </c>
      <c r="AF266" s="60" t="n">
        <f aca="false">$J$28*SUMPRODUCT($E$36:$P$36,O266:Z266,$E$28:$P$28)</f>
        <v>0</v>
      </c>
      <c r="AG266" s="60" t="n">
        <f aca="false">$K$28*SUMPRODUCT($E$37:$P$37,O266:Z266,$E$28:$P$28)</f>
        <v>0</v>
      </c>
      <c r="AH266" s="60" t="n">
        <f aca="false">$L$28*SUMPRODUCT($E$38:$P$38,O266:Z266,$E$28:$P$28)</f>
        <v>0</v>
      </c>
      <c r="AI266" s="60" t="n">
        <f aca="false">$M$28*SUMPRODUCT($E$39:$P$39,O266:Z266,$E$28:$P$28)</f>
        <v>0</v>
      </c>
      <c r="AJ266" s="60" t="n">
        <f aca="false">$N$28*SUMPRODUCT($E$40:$P$40,O266:Z266,$E$28:$P$28)</f>
        <v>0</v>
      </c>
      <c r="AK266" s="60" t="n">
        <f aca="false">$O$28*SUMPRODUCT($E$41:$P$41,O266:Z266,$E$28:$P$28)</f>
        <v>0</v>
      </c>
      <c r="AL266" s="60" t="n">
        <f aca="false">$P$28*SUMPRODUCT($E$42:$P$42,O266:Z266,$E$28:$P$28)</f>
        <v>0</v>
      </c>
      <c r="AM266" s="60" t="n">
        <f aca="false">SUMPRODUCT(O266:Z266,AA266:AL266)</f>
        <v>0.184416866619846</v>
      </c>
      <c r="AN266" s="60" t="n">
        <f aca="false">SUMPRODUCT(O266:Z266,$E$27:$P$27)</f>
        <v>2.67389635063809E-005</v>
      </c>
      <c r="AO266" s="60" t="n">
        <f aca="false">AM266*$C$9/($C$10*$C$8)^2</f>
        <v>0.21776909410545</v>
      </c>
      <c r="AP266" s="60" t="n">
        <f aca="false">AN266*$C$9/($C$10*$C$8)</f>
        <v>0.0918845243259994</v>
      </c>
      <c r="AQ266" s="60" t="n">
        <f aca="false">CHOOSE($C$7,-(1+AP266),-1,-(1-AP266))</f>
        <v>-0.908115475674001</v>
      </c>
      <c r="AR266" s="60" t="n">
        <f aca="false">CHOOSE($C$7,AO266,AO266-AP266-AP266^2,AO266-3*AP266^2-2*AP266)</f>
        <v>0.00867174802160559</v>
      </c>
      <c r="AS266" s="60" t="n">
        <f aca="false">CHOOSE($C$7,-AO266*AP266,-AO266*AP266,-(AO266*AP266-AP266^2-AP266^3))</f>
        <v>-0.0107910842936637</v>
      </c>
      <c r="AT266" s="60" t="n">
        <f aca="false">AR266-AQ266^2/3</f>
        <v>-0.266219491031267</v>
      </c>
      <c r="AU266" s="60" t="n">
        <f aca="false">2*AQ266^3/27-AQ266*AR266/3+AS266</f>
        <v>-0.0636400988362784</v>
      </c>
      <c r="AV266" s="60" t="n">
        <f aca="false">AU266^2/4+AT266^3/27</f>
        <v>0.000313710901361829</v>
      </c>
      <c r="AW266" s="60" t="n">
        <f aca="false">-AU266/2-IF(AU266&gt;=0,1,-1)*SQRT(MAX(AV266,0))</f>
        <v>0.0495319352963236</v>
      </c>
      <c r="AX266" s="60" t="n">
        <f aca="false">SIGN(AW266)*ABS(AW266)^(1/3)</f>
        <v>0.367249967174439</v>
      </c>
      <c r="AY266" s="60" t="n">
        <f aca="false">IF(AX266=0,0,AX266-AT266/(3*AX266))</f>
        <v>0.60888329127384</v>
      </c>
      <c r="AZ266" s="60" t="n">
        <f aca="false">2*SQRT(MAX(-AT266,0)/3)</f>
        <v>0.595784626668918</v>
      </c>
      <c r="BA266" s="60" t="n">
        <f aca="false">ACOS(IF(AZ266=0,0,MAX(-1,MIN(1,3*AU266/(AT266*AZ266)))))</f>
        <v>0</v>
      </c>
      <c r="BB266" s="60" t="n">
        <f aca="false">AZ266*COS(BA266/3)</f>
        <v>0.595784626668918</v>
      </c>
      <c r="BC266" s="60" t="n">
        <f aca="false">IF(AV266&lt;0,BB266,AY266)-AQ266/3</f>
        <v>0.91158844983184</v>
      </c>
      <c r="BD266" s="60" t="n">
        <f aca="false">IFERROR((((BC266+AQ266)*BC266+AR266)*BC266+AS266)/((3*BC266+2*AQ266)*BC266+AR266),0)</f>
        <v>0</v>
      </c>
      <c r="BE266" s="60" t="n">
        <f aca="false">IF(ABS(BD266)&lt;0.1*ABS(BC266),BC266-BD266,BC266)</f>
        <v>0.91158844983184</v>
      </c>
      <c r="BF266" s="60" t="n">
        <f aca="false">IFERROR((((BE266+AQ266)*BE266+AR266)*BE266+AS266)/((3*BE266+2*AQ266)*BE266+AR266),0)</f>
        <v>0</v>
      </c>
      <c r="BG266" s="60" t="n">
        <f aca="false">IF(ABS(BF266)&lt;0.1*ABS(BE266),BE266-BF266,BE266)</f>
        <v>0.91158844983184</v>
      </c>
      <c r="BH266" s="60" t="n">
        <f aca="false">-AS266/BG266</f>
        <v>0.0118376711504565</v>
      </c>
      <c r="BI266" s="60" t="n">
        <f aca="false">(AR266-BH266)/BG266</f>
        <v>-0.00347297415783941</v>
      </c>
      <c r="BJ266" s="60" t="n">
        <f aca="false">BI266^2-4*BH266</f>
        <v>-0.0473386230523248</v>
      </c>
      <c r="BK266" s="60" t="n">
        <f aca="false">IF(BJ266&gt;=0,(BI266+IF(BI266&gt;=0,1,-1)*SQRT(BJ266))/2,0)</f>
        <v>0</v>
      </c>
      <c r="BL266" s="60" t="n">
        <f aca="false">IF(AND(BJ266&gt;=0,BK266&lt;&gt;0),MIN(BK266,BH266/BK266),-1)</f>
        <v>-1</v>
      </c>
      <c r="BM266" s="60" t="n">
        <f aca="false">AND(BJ266&gt;=0,BL266&gt;AP266,ABS(BG266-BL266)&gt;=0.00005*MAX(BG266,BL266))</f>
        <v>0</v>
      </c>
      <c r="BN266" s="60" t="n">
        <f aca="false">IF(BM266,IFERROR((((BL266+AQ266)*BL266+AR266)*BL266+AS266)/((3*BL266+2*AQ266)*BL266+AR266),0),0)</f>
        <v>0</v>
      </c>
      <c r="BO266" s="60" t="n">
        <f aca="false">IF(ABS(BN266)&lt;0.1*ABS(BL266),BL266-BN266,BL266)</f>
        <v>-1</v>
      </c>
      <c r="BP266" s="60" t="n">
        <f aca="false">IF(BM266,IFERROR((((BO266+AQ266)*BO266+AR266)*BO266+AS266)/((3*BO266+2*AQ266)*BO266+AR266),0),0)</f>
        <v>0</v>
      </c>
      <c r="BQ266" s="60" t="n">
        <f aca="false">IF(ABS(BP266)&lt;0.1*ABS(BO266),BO266-BP266,BO266)</f>
        <v>-1</v>
      </c>
      <c r="BR266" s="60" t="n">
        <f aca="false">IF(BM266,MAX(BG266,BQ266),BG266)</f>
        <v>0.91158844983184</v>
      </c>
      <c r="BS266" s="60" t="n">
        <f aca="false">IF(BM266,MIN(BG266,BQ266),-1)</f>
        <v>-1</v>
      </c>
      <c r="BT266" s="60" t="n">
        <f aca="false">CHOOSE($C$7,AO266/BR266,AO266/AP266*LN(1+AP266/BR266),AO266/(2*SQRT(2)*AP266)*LN((BR266+(1+SQRT(2))*AP266)/(BR266+(1-SQRT(2))*AP266)))</f>
        <v>0.218240791233887</v>
      </c>
      <c r="BU266" s="60" t="n">
        <f aca="false">BR266-1-LN(BR266-AP266)-BT266</f>
        <v>-0.107840271021729</v>
      </c>
      <c r="BV266" s="60" t="n">
        <f aca="false">IF(BM266,CHOOSE($C$7,AO266/BS266,AO266/AP266*LN(1+AP266/BS266),AO266/(2*SQRT(2)*AP266)*LN((BS266+(1+SQRT(2))*AP266)/(BS266+(1-SQRT(2))*AP266))),0)</f>
        <v>0</v>
      </c>
      <c r="BW266" s="60" t="n">
        <f aca="false">IF(BM266,BS266-1-LN(BS266-AP266)-BV266,0)</f>
        <v>0</v>
      </c>
      <c r="BX266" s="60" t="n">
        <f aca="false">AND(BM266,BW266&lt;BU266)</f>
        <v>0</v>
      </c>
      <c r="BY266" s="60" t="n">
        <f aca="false">IF(BX266,BS266,BR266)</f>
        <v>0.91158844983184</v>
      </c>
      <c r="BZ266" s="60" t="n">
        <f aca="false">IF(BX266,BV266,BT266)</f>
        <v>0.218240791233887</v>
      </c>
      <c r="CA266" s="60" t="n">
        <f aca="false">LN(BY266-AP266)</f>
        <v>-0.198812070380318</v>
      </c>
      <c r="CB266" s="60" t="n">
        <f aca="false">$E$27/AN266*(BY266-1)-CA266-BZ266*(2*AA266/AM266-$E$27/AN266)</f>
        <v>-0.107840271021729</v>
      </c>
      <c r="CC266" s="60" t="n">
        <f aca="false">$F$27/AN266*(BY266-1)-CA266-BZ266*(2*AB266/AM266-$F$27/AN266)</f>
        <v>0.198812070380318</v>
      </c>
      <c r="CD266" s="60" t="n">
        <f aca="false">$G$27/AN266*(BY266-1)-CA266-BZ266*(2*AC266/AM266-$G$27/AN266)</f>
        <v>0.198812070380318</v>
      </c>
      <c r="CE266" s="60" t="n">
        <f aca="false">$H$27/AN266*(BY266-1)-CA266-BZ266*(2*AD266/AM266-$H$27/AN266)</f>
        <v>0.198812070380318</v>
      </c>
      <c r="CF266" s="60" t="n">
        <f aca="false">$I$27/AN266*(BY266-1)-CA266-BZ266*(2*AE266/AM266-$I$27/AN266)</f>
        <v>0.198812070380318</v>
      </c>
      <c r="CG266" s="60" t="n">
        <f aca="false">$J$27/AN266*(BY266-1)-CA266-BZ266*(2*AF266/AM266-$J$27/AN266)</f>
        <v>0.198812070380318</v>
      </c>
      <c r="CH266" s="60" t="n">
        <f aca="false">$K$27/AN266*(BY266-1)-CA266-BZ266*(2*AG266/AM266-$K$27/AN266)</f>
        <v>0.198812070380318</v>
      </c>
      <c r="CI266" s="60" t="n">
        <f aca="false">$L$27/AN266*(BY266-1)-CA266-BZ266*(2*AH266/AM266-$L$27/AN266)</f>
        <v>0.198812070380318</v>
      </c>
      <c r="CJ266" s="60" t="n">
        <f aca="false">$M$27/AN266*(BY266-1)-CA266-BZ266*(2*AI266/AM266-$M$27/AN266)</f>
        <v>0.198812070380318</v>
      </c>
      <c r="CK266" s="60" t="n">
        <f aca="false">$N$27/AN266*(BY266-1)-CA266-BZ266*(2*AJ266/AM266-$N$27/AN266)</f>
        <v>0.198812070380318</v>
      </c>
      <c r="CL266" s="60" t="n">
        <f aca="false">$O$27/AN266*(BY266-1)-CA266-BZ266*(2*AK266/AM266-$O$27/AN266)</f>
        <v>0.198812070380318</v>
      </c>
      <c r="CM266" s="60" t="n">
        <f aca="false">$P$27/AN266*(BY266-1)-CA266-BZ266*(2*AL266/AM266-$P$27/AN266)</f>
        <v>0.198812070380318</v>
      </c>
      <c r="CN266" s="60" t="n">
        <f aca="false">AP266/BY266&gt;$C$22</f>
        <v>0</v>
      </c>
      <c r="CO266" s="60" t="n">
        <f aca="false">1-N266+SUMPRODUCT(B266:M266,CB266:CM266)-SUMPRODUCT(B266:M266,CB265:CM265)</f>
        <v>0</v>
      </c>
      <c r="CP266" s="60" t="n">
        <f aca="false">SUMXMY2(O266:Z266,$E$13:$P$13)</f>
        <v>0</v>
      </c>
    </row>
    <row r="267" customFormat="false" ht="15" hidden="false" customHeight="false" outlineLevel="0" collapsed="false">
      <c r="A267" s="59" t="n">
        <v>14</v>
      </c>
      <c r="B267" s="60" t="n">
        <f aca="false">$E$13*EXP(MAX(-700,MIN(700,$E$86-CB266)))</f>
        <v>1</v>
      </c>
      <c r="C267" s="60" t="n">
        <f aca="false">$F$13*EXP(MAX(-700,MIN(700,$F$86-CC266)))</f>
        <v>0</v>
      </c>
      <c r="D267" s="60" t="n">
        <f aca="false">$G$13*EXP(MAX(-700,MIN(700,$G$86-CD266)))</f>
        <v>0</v>
      </c>
      <c r="E267" s="60" t="n">
        <f aca="false">$H$13*EXP(MAX(-700,MIN(700,$H$86-CE266)))</f>
        <v>0</v>
      </c>
      <c r="F267" s="60" t="n">
        <f aca="false">$I$13*EXP(MAX(-700,MIN(700,$I$86-CF266)))</f>
        <v>0</v>
      </c>
      <c r="G267" s="60" t="n">
        <f aca="false">$J$13*EXP(MAX(-700,MIN(700,$J$86-CG266)))</f>
        <v>0</v>
      </c>
      <c r="H267" s="60" t="n">
        <f aca="false">$K$13*EXP(MAX(-700,MIN(700,$K$86-CH266)))</f>
        <v>0</v>
      </c>
      <c r="I267" s="60" t="n">
        <f aca="false">$L$13*EXP(MAX(-700,MIN(700,$L$86-CI266)))</f>
        <v>0</v>
      </c>
      <c r="J267" s="60" t="n">
        <f aca="false">$M$13*EXP(MAX(-700,MIN(700,$M$86-CJ266)))</f>
        <v>0</v>
      </c>
      <c r="K267" s="60" t="n">
        <f aca="false">$N$13*EXP(MAX(-700,MIN(700,$N$86-CK266)))</f>
        <v>0</v>
      </c>
      <c r="L267" s="60" t="n">
        <f aca="false">$O$13*EXP(MAX(-700,MIN(700,$O$86-CL266)))</f>
        <v>0</v>
      </c>
      <c r="M267" s="60" t="n">
        <f aca="false">$P$13*EXP(MAX(-700,MIN(700,$P$86-CM266)))</f>
        <v>0</v>
      </c>
      <c r="N267" s="60" t="n">
        <f aca="false">SUM(B267:M267)</f>
        <v>1</v>
      </c>
      <c r="O267" s="60" t="n">
        <f aca="false">B267/N267</f>
        <v>1</v>
      </c>
      <c r="P267" s="60" t="n">
        <f aca="false">C267/N267</f>
        <v>0</v>
      </c>
      <c r="Q267" s="60" t="n">
        <f aca="false">D267/N267</f>
        <v>0</v>
      </c>
      <c r="R267" s="60" t="n">
        <f aca="false">E267/N267</f>
        <v>0</v>
      </c>
      <c r="S267" s="60" t="n">
        <f aca="false">F267/N267</f>
        <v>0</v>
      </c>
      <c r="T267" s="60" t="n">
        <f aca="false">G267/N267</f>
        <v>0</v>
      </c>
      <c r="U267" s="60" t="n">
        <f aca="false">H267/N267</f>
        <v>0</v>
      </c>
      <c r="V267" s="60" t="n">
        <f aca="false">I267/N267</f>
        <v>0</v>
      </c>
      <c r="W267" s="60" t="n">
        <f aca="false">J267/N267</f>
        <v>0</v>
      </c>
      <c r="X267" s="60" t="n">
        <f aca="false">K267/N267</f>
        <v>0</v>
      </c>
      <c r="Y267" s="60" t="n">
        <f aca="false">L267/N267</f>
        <v>0</v>
      </c>
      <c r="Z267" s="60" t="n">
        <f aca="false">M267/N267</f>
        <v>0</v>
      </c>
      <c r="AA267" s="60" t="n">
        <f aca="false">$E$28*SUMPRODUCT($E$31:$P$31,O267:Z267,$E$28:$P$28)</f>
        <v>0.184416866619846</v>
      </c>
      <c r="AB267" s="60" t="n">
        <f aca="false">$F$28*SUMPRODUCT($E$32:$P$32,O267:Z267,$E$28:$P$28)</f>
        <v>0</v>
      </c>
      <c r="AC267" s="60" t="n">
        <f aca="false">$G$28*SUMPRODUCT($E$33:$P$33,O267:Z267,$E$28:$P$28)</f>
        <v>0</v>
      </c>
      <c r="AD267" s="60" t="n">
        <f aca="false">$H$28*SUMPRODUCT($E$34:$P$34,O267:Z267,$E$28:$P$28)</f>
        <v>0</v>
      </c>
      <c r="AE267" s="60" t="n">
        <f aca="false">$I$28*SUMPRODUCT($E$35:$P$35,O267:Z267,$E$28:$P$28)</f>
        <v>0</v>
      </c>
      <c r="AF267" s="60" t="n">
        <f aca="false">$J$28*SUMPRODUCT($E$36:$P$36,O267:Z267,$E$28:$P$28)</f>
        <v>0</v>
      </c>
      <c r="AG267" s="60" t="n">
        <f aca="false">$K$28*SUMPRODUCT($E$37:$P$37,O267:Z267,$E$28:$P$28)</f>
        <v>0</v>
      </c>
      <c r="AH267" s="60" t="n">
        <f aca="false">$L$28*SUMPRODUCT($E$38:$P$38,O267:Z267,$E$28:$P$28)</f>
        <v>0</v>
      </c>
      <c r="AI267" s="60" t="n">
        <f aca="false">$M$28*SUMPRODUCT($E$39:$P$39,O267:Z267,$E$28:$P$28)</f>
        <v>0</v>
      </c>
      <c r="AJ267" s="60" t="n">
        <f aca="false">$N$28*SUMPRODUCT($E$40:$P$40,O267:Z267,$E$28:$P$28)</f>
        <v>0</v>
      </c>
      <c r="AK267" s="60" t="n">
        <f aca="false">$O$28*SUMPRODUCT($E$41:$P$41,O267:Z267,$E$28:$P$28)</f>
        <v>0</v>
      </c>
      <c r="AL267" s="60" t="n">
        <f aca="false">$P$28*SUMPRODUCT($E$42:$P$42,O267:Z267,$E$28:$P$28)</f>
        <v>0</v>
      </c>
      <c r="AM267" s="60" t="n">
        <f aca="false">SUMPRODUCT(O267:Z267,AA267:AL267)</f>
        <v>0.184416866619846</v>
      </c>
      <c r="AN267" s="60" t="n">
        <f aca="false">SUMPRODUCT(O267:Z267,$E$27:$P$27)</f>
        <v>2.67389635063809E-005</v>
      </c>
      <c r="AO267" s="60" t="n">
        <f aca="false">AM267*$C$9/($C$10*$C$8)^2</f>
        <v>0.21776909410545</v>
      </c>
      <c r="AP267" s="60" t="n">
        <f aca="false">AN267*$C$9/($C$10*$C$8)</f>
        <v>0.0918845243259994</v>
      </c>
      <c r="AQ267" s="60" t="n">
        <f aca="false">CHOOSE($C$7,-(1+AP267),-1,-(1-AP267))</f>
        <v>-0.908115475674001</v>
      </c>
      <c r="AR267" s="60" t="n">
        <f aca="false">CHOOSE($C$7,AO267,AO267-AP267-AP267^2,AO267-3*AP267^2-2*AP267)</f>
        <v>0.00867174802160559</v>
      </c>
      <c r="AS267" s="60" t="n">
        <f aca="false">CHOOSE($C$7,-AO267*AP267,-AO267*AP267,-(AO267*AP267-AP267^2-AP267^3))</f>
        <v>-0.0107910842936637</v>
      </c>
      <c r="AT267" s="60" t="n">
        <f aca="false">AR267-AQ267^2/3</f>
        <v>-0.266219491031267</v>
      </c>
      <c r="AU267" s="60" t="n">
        <f aca="false">2*AQ267^3/27-AQ267*AR267/3+AS267</f>
        <v>-0.0636400988362784</v>
      </c>
      <c r="AV267" s="60" t="n">
        <f aca="false">AU267^2/4+AT267^3/27</f>
        <v>0.000313710901361829</v>
      </c>
      <c r="AW267" s="60" t="n">
        <f aca="false">-AU267/2-IF(AU267&gt;=0,1,-1)*SQRT(MAX(AV267,0))</f>
        <v>0.0495319352963236</v>
      </c>
      <c r="AX267" s="60" t="n">
        <f aca="false">SIGN(AW267)*ABS(AW267)^(1/3)</f>
        <v>0.367249967174439</v>
      </c>
      <c r="AY267" s="60" t="n">
        <f aca="false">IF(AX267=0,0,AX267-AT267/(3*AX267))</f>
        <v>0.60888329127384</v>
      </c>
      <c r="AZ267" s="60" t="n">
        <f aca="false">2*SQRT(MAX(-AT267,0)/3)</f>
        <v>0.595784626668918</v>
      </c>
      <c r="BA267" s="60" t="n">
        <f aca="false">ACOS(IF(AZ267=0,0,MAX(-1,MIN(1,3*AU267/(AT267*AZ267)))))</f>
        <v>0</v>
      </c>
      <c r="BB267" s="60" t="n">
        <f aca="false">AZ267*COS(BA267/3)</f>
        <v>0.595784626668918</v>
      </c>
      <c r="BC267" s="60" t="n">
        <f aca="false">IF(AV267&lt;0,BB267,AY267)-AQ267/3</f>
        <v>0.91158844983184</v>
      </c>
      <c r="BD267" s="60" t="n">
        <f aca="false">IFERROR((((BC267+AQ267)*BC267+AR267)*BC267+AS267)/((3*BC267+2*AQ267)*BC267+AR267),0)</f>
        <v>0</v>
      </c>
      <c r="BE267" s="60" t="n">
        <f aca="false">IF(ABS(BD267)&lt;0.1*ABS(BC267),BC267-BD267,BC267)</f>
        <v>0.91158844983184</v>
      </c>
      <c r="BF267" s="60" t="n">
        <f aca="false">IFERROR((((BE267+AQ267)*BE267+AR267)*BE267+AS267)/((3*BE267+2*AQ267)*BE267+AR267),0)</f>
        <v>0</v>
      </c>
      <c r="BG267" s="60" t="n">
        <f aca="false">IF(ABS(BF267)&lt;0.1*ABS(BE267),BE267-BF267,BE267)</f>
        <v>0.91158844983184</v>
      </c>
      <c r="BH267" s="60" t="n">
        <f aca="false">-AS267/BG267</f>
        <v>0.0118376711504565</v>
      </c>
      <c r="BI267" s="60" t="n">
        <f aca="false">(AR267-BH267)/BG267</f>
        <v>-0.00347297415783941</v>
      </c>
      <c r="BJ267" s="60" t="n">
        <f aca="false">BI267^2-4*BH267</f>
        <v>-0.0473386230523248</v>
      </c>
      <c r="BK267" s="60" t="n">
        <f aca="false">IF(BJ267&gt;=0,(BI267+IF(BI267&gt;=0,1,-1)*SQRT(BJ267))/2,0)</f>
        <v>0</v>
      </c>
      <c r="BL267" s="60" t="n">
        <f aca="false">IF(AND(BJ267&gt;=0,BK267&lt;&gt;0),MIN(BK267,BH267/BK267),-1)</f>
        <v>-1</v>
      </c>
      <c r="BM267" s="60" t="n">
        <f aca="false">AND(BJ267&gt;=0,BL267&gt;AP267,ABS(BG267-BL267)&gt;=0.00005*MAX(BG267,BL267))</f>
        <v>0</v>
      </c>
      <c r="BN267" s="60" t="n">
        <f aca="false">IF(BM267,IFERROR((((BL267+AQ267)*BL267+AR267)*BL267+AS267)/((3*BL267+2*AQ267)*BL267+AR267),0),0)</f>
        <v>0</v>
      </c>
      <c r="BO267" s="60" t="n">
        <f aca="false">IF(ABS(BN267)&lt;0.1*ABS(BL267),BL267-BN267,BL267)</f>
        <v>-1</v>
      </c>
      <c r="BP267" s="60" t="n">
        <f aca="false">IF(BM267,IFERROR((((BO267+AQ267)*BO267+AR267)*BO267+AS267)/((3*BO267+2*AQ267)*BO267+AR267),0),0)</f>
        <v>0</v>
      </c>
      <c r="BQ267" s="60" t="n">
        <f aca="false">IF(ABS(BP267)&lt;0.1*ABS(BO267),BO267-BP267,BO267)</f>
        <v>-1</v>
      </c>
      <c r="BR267" s="60" t="n">
        <f aca="false">IF(BM267,MAX(BG267,BQ267),BG267)</f>
        <v>0.91158844983184</v>
      </c>
      <c r="BS267" s="60" t="n">
        <f aca="false">IF(BM267,MIN(BG267,BQ267),-1)</f>
        <v>-1</v>
      </c>
      <c r="BT267" s="60" t="n">
        <f aca="false">CHOOSE($C$7,AO267/BR267,AO267/AP267*LN(1+AP267/BR267),AO267/(2*SQRT(2)*AP267)*LN((BR267+(1+SQRT(2))*AP267)/(BR267+(1-SQRT(2))*AP267)))</f>
        <v>0.218240791233887</v>
      </c>
      <c r="BU267" s="60" t="n">
        <f aca="false">BR267-1-LN(BR267-AP267)-BT267</f>
        <v>-0.107840271021729</v>
      </c>
      <c r="BV267" s="60" t="n">
        <f aca="false">IF(BM267,CHOOSE($C$7,AO267/BS267,AO267/AP267*LN(1+AP267/BS267),AO267/(2*SQRT(2)*AP267)*LN((BS267+(1+SQRT(2))*AP267)/(BS267+(1-SQRT(2))*AP267))),0)</f>
        <v>0</v>
      </c>
      <c r="BW267" s="60" t="n">
        <f aca="false">IF(BM267,BS267-1-LN(BS267-AP267)-BV267,0)</f>
        <v>0</v>
      </c>
      <c r="BX267" s="60" t="n">
        <f aca="false">AND(BM267,BW267&lt;BU267)</f>
        <v>0</v>
      </c>
      <c r="BY267" s="60" t="n">
        <f aca="false">IF(BX267,BS267,BR267)</f>
        <v>0.91158844983184</v>
      </c>
      <c r="BZ267" s="60" t="n">
        <f aca="false">IF(BX267,BV267,BT267)</f>
        <v>0.218240791233887</v>
      </c>
      <c r="CA267" s="60" t="n">
        <f aca="false">LN(BY267-AP267)</f>
        <v>-0.198812070380318</v>
      </c>
      <c r="CB267" s="60" t="n">
        <f aca="false">$E$27/AN267*(BY267-1)-CA267-BZ267*(2*AA267/AM267-$E$27/AN267)</f>
        <v>-0.107840271021729</v>
      </c>
      <c r="CC267" s="60" t="n">
        <f aca="false">$F$27/AN267*(BY267-1)-CA267-BZ267*(2*AB267/AM267-$F$27/AN267)</f>
        <v>0.198812070380318</v>
      </c>
      <c r="CD267" s="60" t="n">
        <f aca="false">$G$27/AN267*(BY267-1)-CA267-BZ267*(2*AC267/AM267-$G$27/AN267)</f>
        <v>0.198812070380318</v>
      </c>
      <c r="CE267" s="60" t="n">
        <f aca="false">$H$27/AN267*(BY267-1)-CA267-BZ267*(2*AD267/AM267-$H$27/AN267)</f>
        <v>0.198812070380318</v>
      </c>
      <c r="CF267" s="60" t="n">
        <f aca="false">$I$27/AN267*(BY267-1)-CA267-BZ267*(2*AE267/AM267-$I$27/AN267)</f>
        <v>0.198812070380318</v>
      </c>
      <c r="CG267" s="60" t="n">
        <f aca="false">$J$27/AN267*(BY267-1)-CA267-BZ267*(2*AF267/AM267-$J$27/AN267)</f>
        <v>0.198812070380318</v>
      </c>
      <c r="CH267" s="60" t="n">
        <f aca="false">$K$27/AN267*(BY267-1)-CA267-BZ267*(2*AG267/AM267-$K$27/AN267)</f>
        <v>0.198812070380318</v>
      </c>
      <c r="CI267" s="60" t="n">
        <f aca="false">$L$27/AN267*(BY267-1)-CA267-BZ267*(2*AH267/AM267-$L$27/AN267)</f>
        <v>0.198812070380318</v>
      </c>
      <c r="CJ267" s="60" t="n">
        <f aca="false">$M$27/AN267*(BY267-1)-CA267-BZ267*(2*AI267/AM267-$M$27/AN267)</f>
        <v>0.198812070380318</v>
      </c>
      <c r="CK267" s="60" t="n">
        <f aca="false">$N$27/AN267*(BY267-1)-CA267-BZ267*(2*AJ267/AM267-$N$27/AN267)</f>
        <v>0.198812070380318</v>
      </c>
      <c r="CL267" s="60" t="n">
        <f aca="false">$O$27/AN267*(BY267-1)-CA267-BZ267*(2*AK267/AM267-$O$27/AN267)</f>
        <v>0.198812070380318</v>
      </c>
      <c r="CM267" s="60" t="n">
        <f aca="false">$P$27/AN267*(BY267-1)-CA267-BZ267*(2*AL267/AM267-$P$27/AN267)</f>
        <v>0.198812070380318</v>
      </c>
      <c r="CN267" s="60" t="n">
        <f aca="false">AP267/BY267&gt;$C$22</f>
        <v>0</v>
      </c>
      <c r="CO267" s="60" t="n">
        <f aca="false">1-N267+SUMPRODUCT(B267:M267,CB267:CM267)-SUMPRODUCT(B267:M267,CB266:CM266)</f>
        <v>0</v>
      </c>
      <c r="CP267" s="60" t="n">
        <f aca="false">SUMXMY2(O267:Z267,$E$13:$P$13)</f>
        <v>0</v>
      </c>
    </row>
    <row r="268" customFormat="false" ht="15" hidden="false" customHeight="false" outlineLevel="0" collapsed="false">
      <c r="A268" s="59" t="n">
        <v>15</v>
      </c>
      <c r="B268" s="60" t="n">
        <f aca="false">$E$13*EXP(MAX(-700,MIN(700,$E$86-CB267)))</f>
        <v>1</v>
      </c>
      <c r="C268" s="60" t="n">
        <f aca="false">$F$13*EXP(MAX(-700,MIN(700,$F$86-CC267)))</f>
        <v>0</v>
      </c>
      <c r="D268" s="60" t="n">
        <f aca="false">$G$13*EXP(MAX(-700,MIN(700,$G$86-CD267)))</f>
        <v>0</v>
      </c>
      <c r="E268" s="60" t="n">
        <f aca="false">$H$13*EXP(MAX(-700,MIN(700,$H$86-CE267)))</f>
        <v>0</v>
      </c>
      <c r="F268" s="60" t="n">
        <f aca="false">$I$13*EXP(MAX(-700,MIN(700,$I$86-CF267)))</f>
        <v>0</v>
      </c>
      <c r="G268" s="60" t="n">
        <f aca="false">$J$13*EXP(MAX(-700,MIN(700,$J$86-CG267)))</f>
        <v>0</v>
      </c>
      <c r="H268" s="60" t="n">
        <f aca="false">$K$13*EXP(MAX(-700,MIN(700,$K$86-CH267)))</f>
        <v>0</v>
      </c>
      <c r="I268" s="60" t="n">
        <f aca="false">$L$13*EXP(MAX(-700,MIN(700,$L$86-CI267)))</f>
        <v>0</v>
      </c>
      <c r="J268" s="60" t="n">
        <f aca="false">$M$13*EXP(MAX(-700,MIN(700,$M$86-CJ267)))</f>
        <v>0</v>
      </c>
      <c r="K268" s="60" t="n">
        <f aca="false">$N$13*EXP(MAX(-700,MIN(700,$N$86-CK267)))</f>
        <v>0</v>
      </c>
      <c r="L268" s="60" t="n">
        <f aca="false">$O$13*EXP(MAX(-700,MIN(700,$O$86-CL267)))</f>
        <v>0</v>
      </c>
      <c r="M268" s="60" t="n">
        <f aca="false">$P$13*EXP(MAX(-700,MIN(700,$P$86-CM267)))</f>
        <v>0</v>
      </c>
      <c r="N268" s="60" t="n">
        <f aca="false">SUM(B268:M268)</f>
        <v>1</v>
      </c>
      <c r="O268" s="60" t="n">
        <f aca="false">B268/N268</f>
        <v>1</v>
      </c>
      <c r="P268" s="60" t="n">
        <f aca="false">C268/N268</f>
        <v>0</v>
      </c>
      <c r="Q268" s="60" t="n">
        <f aca="false">D268/N268</f>
        <v>0</v>
      </c>
      <c r="R268" s="60" t="n">
        <f aca="false">E268/N268</f>
        <v>0</v>
      </c>
      <c r="S268" s="60" t="n">
        <f aca="false">F268/N268</f>
        <v>0</v>
      </c>
      <c r="T268" s="60" t="n">
        <f aca="false">G268/N268</f>
        <v>0</v>
      </c>
      <c r="U268" s="60" t="n">
        <f aca="false">H268/N268</f>
        <v>0</v>
      </c>
      <c r="V268" s="60" t="n">
        <f aca="false">I268/N268</f>
        <v>0</v>
      </c>
      <c r="W268" s="60" t="n">
        <f aca="false">J268/N268</f>
        <v>0</v>
      </c>
      <c r="X268" s="60" t="n">
        <f aca="false">K268/N268</f>
        <v>0</v>
      </c>
      <c r="Y268" s="60" t="n">
        <f aca="false">L268/N268</f>
        <v>0</v>
      </c>
      <c r="Z268" s="60" t="n">
        <f aca="false">M268/N268</f>
        <v>0</v>
      </c>
      <c r="AA268" s="60" t="n">
        <f aca="false">$E$28*SUMPRODUCT($E$31:$P$31,O268:Z268,$E$28:$P$28)</f>
        <v>0.184416866619846</v>
      </c>
      <c r="AB268" s="60" t="n">
        <f aca="false">$F$28*SUMPRODUCT($E$32:$P$32,O268:Z268,$E$28:$P$28)</f>
        <v>0</v>
      </c>
      <c r="AC268" s="60" t="n">
        <f aca="false">$G$28*SUMPRODUCT($E$33:$P$33,O268:Z268,$E$28:$P$28)</f>
        <v>0</v>
      </c>
      <c r="AD268" s="60" t="n">
        <f aca="false">$H$28*SUMPRODUCT($E$34:$P$34,O268:Z268,$E$28:$P$28)</f>
        <v>0</v>
      </c>
      <c r="AE268" s="60" t="n">
        <f aca="false">$I$28*SUMPRODUCT($E$35:$P$35,O268:Z268,$E$28:$P$28)</f>
        <v>0</v>
      </c>
      <c r="AF268" s="60" t="n">
        <f aca="false">$J$28*SUMPRODUCT($E$36:$P$36,O268:Z268,$E$28:$P$28)</f>
        <v>0</v>
      </c>
      <c r="AG268" s="60" t="n">
        <f aca="false">$K$28*SUMPRODUCT($E$37:$P$37,O268:Z268,$E$28:$P$28)</f>
        <v>0</v>
      </c>
      <c r="AH268" s="60" t="n">
        <f aca="false">$L$28*SUMPRODUCT($E$38:$P$38,O268:Z268,$E$28:$P$28)</f>
        <v>0</v>
      </c>
      <c r="AI268" s="60" t="n">
        <f aca="false">$M$28*SUMPRODUCT($E$39:$P$39,O268:Z268,$E$28:$P$28)</f>
        <v>0</v>
      </c>
      <c r="AJ268" s="60" t="n">
        <f aca="false">$N$28*SUMPRODUCT($E$40:$P$40,O268:Z268,$E$28:$P$28)</f>
        <v>0</v>
      </c>
      <c r="AK268" s="60" t="n">
        <f aca="false">$O$28*SUMPRODUCT($E$41:$P$41,O268:Z268,$E$28:$P$28)</f>
        <v>0</v>
      </c>
      <c r="AL268" s="60" t="n">
        <f aca="false">$P$28*SUMPRODUCT($E$42:$P$42,O268:Z268,$E$28:$P$28)</f>
        <v>0</v>
      </c>
      <c r="AM268" s="60" t="n">
        <f aca="false">SUMPRODUCT(O268:Z268,AA268:AL268)</f>
        <v>0.184416866619846</v>
      </c>
      <c r="AN268" s="60" t="n">
        <f aca="false">SUMPRODUCT(O268:Z268,$E$27:$P$27)</f>
        <v>2.67389635063809E-005</v>
      </c>
      <c r="AO268" s="60" t="n">
        <f aca="false">AM268*$C$9/($C$10*$C$8)^2</f>
        <v>0.21776909410545</v>
      </c>
      <c r="AP268" s="60" t="n">
        <f aca="false">AN268*$C$9/($C$10*$C$8)</f>
        <v>0.0918845243259994</v>
      </c>
      <c r="AQ268" s="60" t="n">
        <f aca="false">CHOOSE($C$7,-(1+AP268),-1,-(1-AP268))</f>
        <v>-0.908115475674001</v>
      </c>
      <c r="AR268" s="60" t="n">
        <f aca="false">CHOOSE($C$7,AO268,AO268-AP268-AP268^2,AO268-3*AP268^2-2*AP268)</f>
        <v>0.00867174802160559</v>
      </c>
      <c r="AS268" s="60" t="n">
        <f aca="false">CHOOSE($C$7,-AO268*AP268,-AO268*AP268,-(AO268*AP268-AP268^2-AP268^3))</f>
        <v>-0.0107910842936637</v>
      </c>
      <c r="AT268" s="60" t="n">
        <f aca="false">AR268-AQ268^2/3</f>
        <v>-0.266219491031267</v>
      </c>
      <c r="AU268" s="60" t="n">
        <f aca="false">2*AQ268^3/27-AQ268*AR268/3+AS268</f>
        <v>-0.0636400988362784</v>
      </c>
      <c r="AV268" s="60" t="n">
        <f aca="false">AU268^2/4+AT268^3/27</f>
        <v>0.000313710901361829</v>
      </c>
      <c r="AW268" s="60" t="n">
        <f aca="false">-AU268/2-IF(AU268&gt;=0,1,-1)*SQRT(MAX(AV268,0))</f>
        <v>0.0495319352963236</v>
      </c>
      <c r="AX268" s="60" t="n">
        <f aca="false">SIGN(AW268)*ABS(AW268)^(1/3)</f>
        <v>0.367249967174439</v>
      </c>
      <c r="AY268" s="60" t="n">
        <f aca="false">IF(AX268=0,0,AX268-AT268/(3*AX268))</f>
        <v>0.60888329127384</v>
      </c>
      <c r="AZ268" s="60" t="n">
        <f aca="false">2*SQRT(MAX(-AT268,0)/3)</f>
        <v>0.595784626668918</v>
      </c>
      <c r="BA268" s="60" t="n">
        <f aca="false">ACOS(IF(AZ268=0,0,MAX(-1,MIN(1,3*AU268/(AT268*AZ268)))))</f>
        <v>0</v>
      </c>
      <c r="BB268" s="60" t="n">
        <f aca="false">AZ268*COS(BA268/3)</f>
        <v>0.595784626668918</v>
      </c>
      <c r="BC268" s="60" t="n">
        <f aca="false">IF(AV268&lt;0,BB268,AY268)-AQ268/3</f>
        <v>0.91158844983184</v>
      </c>
      <c r="BD268" s="60" t="n">
        <f aca="false">IFERROR((((BC268+AQ268)*BC268+AR268)*BC268+AS268)/((3*BC268+2*AQ268)*BC268+AR268),0)</f>
        <v>0</v>
      </c>
      <c r="BE268" s="60" t="n">
        <f aca="false">IF(ABS(BD268)&lt;0.1*ABS(BC268),BC268-BD268,BC268)</f>
        <v>0.91158844983184</v>
      </c>
      <c r="BF268" s="60" t="n">
        <f aca="false">IFERROR((((BE268+AQ268)*BE268+AR268)*BE268+AS268)/((3*BE268+2*AQ268)*BE268+AR268),0)</f>
        <v>0</v>
      </c>
      <c r="BG268" s="60" t="n">
        <f aca="false">IF(ABS(BF268)&lt;0.1*ABS(BE268),BE268-BF268,BE268)</f>
        <v>0.91158844983184</v>
      </c>
      <c r="BH268" s="60" t="n">
        <f aca="false">-AS268/BG268</f>
        <v>0.0118376711504565</v>
      </c>
      <c r="BI268" s="60" t="n">
        <f aca="false">(AR268-BH268)/BG268</f>
        <v>-0.00347297415783941</v>
      </c>
      <c r="BJ268" s="60" t="n">
        <f aca="false">BI268^2-4*BH268</f>
        <v>-0.0473386230523248</v>
      </c>
      <c r="BK268" s="60" t="n">
        <f aca="false">IF(BJ268&gt;=0,(BI268+IF(BI268&gt;=0,1,-1)*SQRT(BJ268))/2,0)</f>
        <v>0</v>
      </c>
      <c r="BL268" s="60" t="n">
        <f aca="false">IF(AND(BJ268&gt;=0,BK268&lt;&gt;0),MIN(BK268,BH268/BK268),-1)</f>
        <v>-1</v>
      </c>
      <c r="BM268" s="60" t="n">
        <f aca="false">AND(BJ268&gt;=0,BL268&gt;AP268,ABS(BG268-BL268)&gt;=0.00005*MAX(BG268,BL268))</f>
        <v>0</v>
      </c>
      <c r="BN268" s="60" t="n">
        <f aca="false">IF(BM268,IFERROR((((BL268+AQ268)*BL268+AR268)*BL268+AS268)/((3*BL268+2*AQ268)*BL268+AR268),0),0)</f>
        <v>0</v>
      </c>
      <c r="BO268" s="60" t="n">
        <f aca="false">IF(ABS(BN268)&lt;0.1*ABS(BL268),BL268-BN268,BL268)</f>
        <v>-1</v>
      </c>
      <c r="BP268" s="60" t="n">
        <f aca="false">IF(BM268,IFERROR((((BO268+AQ268)*BO268+AR268)*BO268+AS268)/((3*BO268+2*AQ268)*BO268+AR268),0),0)</f>
        <v>0</v>
      </c>
      <c r="BQ268" s="60" t="n">
        <f aca="false">IF(ABS(BP268)&lt;0.1*ABS(BO268),BO268-BP268,BO268)</f>
        <v>-1</v>
      </c>
      <c r="BR268" s="60" t="n">
        <f aca="false">IF(BM268,MAX(BG268,BQ268),BG268)</f>
        <v>0.91158844983184</v>
      </c>
      <c r="BS268" s="60" t="n">
        <f aca="false">IF(BM268,MIN(BG268,BQ268),-1)</f>
        <v>-1</v>
      </c>
      <c r="BT268" s="60" t="n">
        <f aca="false">CHOOSE($C$7,AO268/BR268,AO268/AP268*LN(1+AP268/BR268),AO268/(2*SQRT(2)*AP268)*LN((BR268+(1+SQRT(2))*AP268)/(BR268+(1-SQRT(2))*AP268)))</f>
        <v>0.218240791233887</v>
      </c>
      <c r="BU268" s="60" t="n">
        <f aca="false">BR268-1-LN(BR268-AP268)-BT268</f>
        <v>-0.107840271021729</v>
      </c>
      <c r="BV268" s="60" t="n">
        <f aca="false">IF(BM268,CHOOSE($C$7,AO268/BS268,AO268/AP268*LN(1+AP268/BS268),AO268/(2*SQRT(2)*AP268)*LN((BS268+(1+SQRT(2))*AP268)/(BS268+(1-SQRT(2))*AP268))),0)</f>
        <v>0</v>
      </c>
      <c r="BW268" s="60" t="n">
        <f aca="false">IF(BM268,BS268-1-LN(BS268-AP268)-BV268,0)</f>
        <v>0</v>
      </c>
      <c r="BX268" s="60" t="n">
        <f aca="false">AND(BM268,BW268&lt;BU268)</f>
        <v>0</v>
      </c>
      <c r="BY268" s="60" t="n">
        <f aca="false">IF(BX268,BS268,BR268)</f>
        <v>0.91158844983184</v>
      </c>
      <c r="BZ268" s="60" t="n">
        <f aca="false">IF(BX268,BV268,BT268)</f>
        <v>0.218240791233887</v>
      </c>
      <c r="CA268" s="60" t="n">
        <f aca="false">LN(BY268-AP268)</f>
        <v>-0.198812070380318</v>
      </c>
      <c r="CB268" s="60" t="n">
        <f aca="false">$E$27/AN268*(BY268-1)-CA268-BZ268*(2*AA268/AM268-$E$27/AN268)</f>
        <v>-0.107840271021729</v>
      </c>
      <c r="CC268" s="60" t="n">
        <f aca="false">$F$27/AN268*(BY268-1)-CA268-BZ268*(2*AB268/AM268-$F$27/AN268)</f>
        <v>0.198812070380318</v>
      </c>
      <c r="CD268" s="60" t="n">
        <f aca="false">$G$27/AN268*(BY268-1)-CA268-BZ268*(2*AC268/AM268-$G$27/AN268)</f>
        <v>0.198812070380318</v>
      </c>
      <c r="CE268" s="60" t="n">
        <f aca="false">$H$27/AN268*(BY268-1)-CA268-BZ268*(2*AD268/AM268-$H$27/AN268)</f>
        <v>0.198812070380318</v>
      </c>
      <c r="CF268" s="60" t="n">
        <f aca="false">$I$27/AN268*(BY268-1)-CA268-BZ268*(2*AE268/AM268-$I$27/AN268)</f>
        <v>0.198812070380318</v>
      </c>
      <c r="CG268" s="60" t="n">
        <f aca="false">$J$27/AN268*(BY268-1)-CA268-BZ268*(2*AF268/AM268-$J$27/AN268)</f>
        <v>0.198812070380318</v>
      </c>
      <c r="CH268" s="60" t="n">
        <f aca="false">$K$27/AN268*(BY268-1)-CA268-BZ268*(2*AG268/AM268-$K$27/AN268)</f>
        <v>0.198812070380318</v>
      </c>
      <c r="CI268" s="60" t="n">
        <f aca="false">$L$27/AN268*(BY268-1)-CA268-BZ268*(2*AH268/AM268-$L$27/AN268)</f>
        <v>0.198812070380318</v>
      </c>
      <c r="CJ268" s="60" t="n">
        <f aca="false">$M$27/AN268*(BY268-1)-CA268-BZ268*(2*AI268/AM268-$M$27/AN268)</f>
        <v>0.198812070380318</v>
      </c>
      <c r="CK268" s="60" t="n">
        <f aca="false">$N$27/AN268*(BY268-1)-CA268-BZ268*(2*AJ268/AM268-$N$27/AN268)</f>
        <v>0.198812070380318</v>
      </c>
      <c r="CL268" s="60" t="n">
        <f aca="false">$O$27/AN268*(BY268-1)-CA268-BZ268*(2*AK268/AM268-$O$27/AN268)</f>
        <v>0.198812070380318</v>
      </c>
      <c r="CM268" s="60" t="n">
        <f aca="false">$P$27/AN268*(BY268-1)-CA268-BZ268*(2*AL268/AM268-$P$27/AN268)</f>
        <v>0.198812070380318</v>
      </c>
      <c r="CN268" s="60" t="n">
        <f aca="false">AP268/BY268&gt;$C$22</f>
        <v>0</v>
      </c>
      <c r="CO268" s="60" t="n">
        <f aca="false">1-N268+SUMPRODUCT(B268:M268,CB268:CM268)-SUMPRODUCT(B268:M268,CB267:CM267)</f>
        <v>0</v>
      </c>
      <c r="CP268" s="60" t="n">
        <f aca="false">SUMXMY2(O268:Z268,$E$13:$P$13)</f>
        <v>0</v>
      </c>
    </row>
    <row r="269" customFormat="false" ht="15" hidden="false" customHeight="false" outlineLevel="0" collapsed="false">
      <c r="A269" s="59" t="n">
        <v>16</v>
      </c>
      <c r="B269" s="60" t="n">
        <f aca="false">$E$13*EXP(MAX(-700,MIN(700,$E$86-CB268)))</f>
        <v>1</v>
      </c>
      <c r="C269" s="60" t="n">
        <f aca="false">$F$13*EXP(MAX(-700,MIN(700,$F$86-CC268)))</f>
        <v>0</v>
      </c>
      <c r="D269" s="60" t="n">
        <f aca="false">$G$13*EXP(MAX(-700,MIN(700,$G$86-CD268)))</f>
        <v>0</v>
      </c>
      <c r="E269" s="60" t="n">
        <f aca="false">$H$13*EXP(MAX(-700,MIN(700,$H$86-CE268)))</f>
        <v>0</v>
      </c>
      <c r="F269" s="60" t="n">
        <f aca="false">$I$13*EXP(MAX(-700,MIN(700,$I$86-CF268)))</f>
        <v>0</v>
      </c>
      <c r="G269" s="60" t="n">
        <f aca="false">$J$13*EXP(MAX(-700,MIN(700,$J$86-CG268)))</f>
        <v>0</v>
      </c>
      <c r="H269" s="60" t="n">
        <f aca="false">$K$13*EXP(MAX(-700,MIN(700,$K$86-CH268)))</f>
        <v>0</v>
      </c>
      <c r="I269" s="60" t="n">
        <f aca="false">$L$13*EXP(MAX(-700,MIN(700,$L$86-CI268)))</f>
        <v>0</v>
      </c>
      <c r="J269" s="60" t="n">
        <f aca="false">$M$13*EXP(MAX(-700,MIN(700,$M$86-CJ268)))</f>
        <v>0</v>
      </c>
      <c r="K269" s="60" t="n">
        <f aca="false">$N$13*EXP(MAX(-700,MIN(700,$N$86-CK268)))</f>
        <v>0</v>
      </c>
      <c r="L269" s="60" t="n">
        <f aca="false">$O$13*EXP(MAX(-700,MIN(700,$O$86-CL268)))</f>
        <v>0</v>
      </c>
      <c r="M269" s="60" t="n">
        <f aca="false">$P$13*EXP(MAX(-700,MIN(700,$P$86-CM268)))</f>
        <v>0</v>
      </c>
      <c r="N269" s="60" t="n">
        <f aca="false">SUM(B269:M269)</f>
        <v>1</v>
      </c>
      <c r="O269" s="60" t="n">
        <f aca="false">B269/N269</f>
        <v>1</v>
      </c>
      <c r="P269" s="60" t="n">
        <f aca="false">C269/N269</f>
        <v>0</v>
      </c>
      <c r="Q269" s="60" t="n">
        <f aca="false">D269/N269</f>
        <v>0</v>
      </c>
      <c r="R269" s="60" t="n">
        <f aca="false">E269/N269</f>
        <v>0</v>
      </c>
      <c r="S269" s="60" t="n">
        <f aca="false">F269/N269</f>
        <v>0</v>
      </c>
      <c r="T269" s="60" t="n">
        <f aca="false">G269/N269</f>
        <v>0</v>
      </c>
      <c r="U269" s="60" t="n">
        <f aca="false">H269/N269</f>
        <v>0</v>
      </c>
      <c r="V269" s="60" t="n">
        <f aca="false">I269/N269</f>
        <v>0</v>
      </c>
      <c r="W269" s="60" t="n">
        <f aca="false">J269/N269</f>
        <v>0</v>
      </c>
      <c r="X269" s="60" t="n">
        <f aca="false">K269/N269</f>
        <v>0</v>
      </c>
      <c r="Y269" s="60" t="n">
        <f aca="false">L269/N269</f>
        <v>0</v>
      </c>
      <c r="Z269" s="60" t="n">
        <f aca="false">M269/N269</f>
        <v>0</v>
      </c>
      <c r="AA269" s="60" t="n">
        <f aca="false">$E$28*SUMPRODUCT($E$31:$P$31,O269:Z269,$E$28:$P$28)</f>
        <v>0.184416866619846</v>
      </c>
      <c r="AB269" s="60" t="n">
        <f aca="false">$F$28*SUMPRODUCT($E$32:$P$32,O269:Z269,$E$28:$P$28)</f>
        <v>0</v>
      </c>
      <c r="AC269" s="60" t="n">
        <f aca="false">$G$28*SUMPRODUCT($E$33:$P$33,O269:Z269,$E$28:$P$28)</f>
        <v>0</v>
      </c>
      <c r="AD269" s="60" t="n">
        <f aca="false">$H$28*SUMPRODUCT($E$34:$P$34,O269:Z269,$E$28:$P$28)</f>
        <v>0</v>
      </c>
      <c r="AE269" s="60" t="n">
        <f aca="false">$I$28*SUMPRODUCT($E$35:$P$35,O269:Z269,$E$28:$P$28)</f>
        <v>0</v>
      </c>
      <c r="AF269" s="60" t="n">
        <f aca="false">$J$28*SUMPRODUCT($E$36:$P$36,O269:Z269,$E$28:$P$28)</f>
        <v>0</v>
      </c>
      <c r="AG269" s="60" t="n">
        <f aca="false">$K$28*SUMPRODUCT($E$37:$P$37,O269:Z269,$E$28:$P$28)</f>
        <v>0</v>
      </c>
      <c r="AH269" s="60" t="n">
        <f aca="false">$L$28*SUMPRODUCT($E$38:$P$38,O269:Z269,$E$28:$P$28)</f>
        <v>0</v>
      </c>
      <c r="AI269" s="60" t="n">
        <f aca="false">$M$28*SUMPRODUCT($E$39:$P$39,O269:Z269,$E$28:$P$28)</f>
        <v>0</v>
      </c>
      <c r="AJ269" s="60" t="n">
        <f aca="false">$N$28*SUMPRODUCT($E$40:$P$40,O269:Z269,$E$28:$P$28)</f>
        <v>0</v>
      </c>
      <c r="AK269" s="60" t="n">
        <f aca="false">$O$28*SUMPRODUCT($E$41:$P$41,O269:Z269,$E$28:$P$28)</f>
        <v>0</v>
      </c>
      <c r="AL269" s="60" t="n">
        <f aca="false">$P$28*SUMPRODUCT($E$42:$P$42,O269:Z269,$E$28:$P$28)</f>
        <v>0</v>
      </c>
      <c r="AM269" s="60" t="n">
        <f aca="false">SUMPRODUCT(O269:Z269,AA269:AL269)</f>
        <v>0.184416866619846</v>
      </c>
      <c r="AN269" s="60" t="n">
        <f aca="false">SUMPRODUCT(O269:Z269,$E$27:$P$27)</f>
        <v>2.67389635063809E-005</v>
      </c>
      <c r="AO269" s="60" t="n">
        <f aca="false">AM269*$C$9/($C$10*$C$8)^2</f>
        <v>0.21776909410545</v>
      </c>
      <c r="AP269" s="60" t="n">
        <f aca="false">AN269*$C$9/($C$10*$C$8)</f>
        <v>0.0918845243259994</v>
      </c>
      <c r="AQ269" s="60" t="n">
        <f aca="false">CHOOSE($C$7,-(1+AP269),-1,-(1-AP269))</f>
        <v>-0.908115475674001</v>
      </c>
      <c r="AR269" s="60" t="n">
        <f aca="false">CHOOSE($C$7,AO269,AO269-AP269-AP269^2,AO269-3*AP269^2-2*AP269)</f>
        <v>0.00867174802160559</v>
      </c>
      <c r="AS269" s="60" t="n">
        <f aca="false">CHOOSE($C$7,-AO269*AP269,-AO269*AP269,-(AO269*AP269-AP269^2-AP269^3))</f>
        <v>-0.0107910842936637</v>
      </c>
      <c r="AT269" s="60" t="n">
        <f aca="false">AR269-AQ269^2/3</f>
        <v>-0.266219491031267</v>
      </c>
      <c r="AU269" s="60" t="n">
        <f aca="false">2*AQ269^3/27-AQ269*AR269/3+AS269</f>
        <v>-0.0636400988362784</v>
      </c>
      <c r="AV269" s="60" t="n">
        <f aca="false">AU269^2/4+AT269^3/27</f>
        <v>0.000313710901361829</v>
      </c>
      <c r="AW269" s="60" t="n">
        <f aca="false">-AU269/2-IF(AU269&gt;=0,1,-1)*SQRT(MAX(AV269,0))</f>
        <v>0.0495319352963236</v>
      </c>
      <c r="AX269" s="60" t="n">
        <f aca="false">SIGN(AW269)*ABS(AW269)^(1/3)</f>
        <v>0.367249967174439</v>
      </c>
      <c r="AY269" s="60" t="n">
        <f aca="false">IF(AX269=0,0,AX269-AT269/(3*AX269))</f>
        <v>0.60888329127384</v>
      </c>
      <c r="AZ269" s="60" t="n">
        <f aca="false">2*SQRT(MAX(-AT269,0)/3)</f>
        <v>0.595784626668918</v>
      </c>
      <c r="BA269" s="60" t="n">
        <f aca="false">ACOS(IF(AZ269=0,0,MAX(-1,MIN(1,3*AU269/(AT269*AZ269)))))</f>
        <v>0</v>
      </c>
      <c r="BB269" s="60" t="n">
        <f aca="false">AZ269*COS(BA269/3)</f>
        <v>0.595784626668918</v>
      </c>
      <c r="BC269" s="60" t="n">
        <f aca="false">IF(AV269&lt;0,BB269,AY269)-AQ269/3</f>
        <v>0.91158844983184</v>
      </c>
      <c r="BD269" s="60" t="n">
        <f aca="false">IFERROR((((BC269+AQ269)*BC269+AR269)*BC269+AS269)/((3*BC269+2*AQ269)*BC269+AR269),0)</f>
        <v>0</v>
      </c>
      <c r="BE269" s="60" t="n">
        <f aca="false">IF(ABS(BD269)&lt;0.1*ABS(BC269),BC269-BD269,BC269)</f>
        <v>0.91158844983184</v>
      </c>
      <c r="BF269" s="60" t="n">
        <f aca="false">IFERROR((((BE269+AQ269)*BE269+AR269)*BE269+AS269)/((3*BE269+2*AQ269)*BE269+AR269),0)</f>
        <v>0</v>
      </c>
      <c r="BG269" s="60" t="n">
        <f aca="false">IF(ABS(BF269)&lt;0.1*ABS(BE269),BE269-BF269,BE269)</f>
        <v>0.91158844983184</v>
      </c>
      <c r="BH269" s="60" t="n">
        <f aca="false">-AS269/BG269</f>
        <v>0.0118376711504565</v>
      </c>
      <c r="BI269" s="60" t="n">
        <f aca="false">(AR269-BH269)/BG269</f>
        <v>-0.00347297415783941</v>
      </c>
      <c r="BJ269" s="60" t="n">
        <f aca="false">BI269^2-4*BH269</f>
        <v>-0.0473386230523248</v>
      </c>
      <c r="BK269" s="60" t="n">
        <f aca="false">IF(BJ269&gt;=0,(BI269+IF(BI269&gt;=0,1,-1)*SQRT(BJ269))/2,0)</f>
        <v>0</v>
      </c>
      <c r="BL269" s="60" t="n">
        <f aca="false">IF(AND(BJ269&gt;=0,BK269&lt;&gt;0),MIN(BK269,BH269/BK269),-1)</f>
        <v>-1</v>
      </c>
      <c r="BM269" s="60" t="n">
        <f aca="false">AND(BJ269&gt;=0,BL269&gt;AP269,ABS(BG269-BL269)&gt;=0.00005*MAX(BG269,BL269))</f>
        <v>0</v>
      </c>
      <c r="BN269" s="60" t="n">
        <f aca="false">IF(BM269,IFERROR((((BL269+AQ269)*BL269+AR269)*BL269+AS269)/((3*BL269+2*AQ269)*BL269+AR269),0),0)</f>
        <v>0</v>
      </c>
      <c r="BO269" s="60" t="n">
        <f aca="false">IF(ABS(BN269)&lt;0.1*ABS(BL269),BL269-BN269,BL269)</f>
        <v>-1</v>
      </c>
      <c r="BP269" s="60" t="n">
        <f aca="false">IF(BM269,IFERROR((((BO269+AQ269)*BO269+AR269)*BO269+AS269)/((3*BO269+2*AQ269)*BO269+AR269),0),0)</f>
        <v>0</v>
      </c>
      <c r="BQ269" s="60" t="n">
        <f aca="false">IF(ABS(BP269)&lt;0.1*ABS(BO269),BO269-BP269,BO269)</f>
        <v>-1</v>
      </c>
      <c r="BR269" s="60" t="n">
        <f aca="false">IF(BM269,MAX(BG269,BQ269),BG269)</f>
        <v>0.91158844983184</v>
      </c>
      <c r="BS269" s="60" t="n">
        <f aca="false">IF(BM269,MIN(BG269,BQ269),-1)</f>
        <v>-1</v>
      </c>
      <c r="BT269" s="60" t="n">
        <f aca="false">CHOOSE($C$7,AO269/BR269,AO269/AP269*LN(1+AP269/BR269),AO269/(2*SQRT(2)*AP269)*LN((BR269+(1+SQRT(2))*AP269)/(BR269+(1-SQRT(2))*AP269)))</f>
        <v>0.218240791233887</v>
      </c>
      <c r="BU269" s="60" t="n">
        <f aca="false">BR269-1-LN(BR269-AP269)-BT269</f>
        <v>-0.107840271021729</v>
      </c>
      <c r="BV269" s="60" t="n">
        <f aca="false">IF(BM269,CHOOSE($C$7,AO269/BS269,AO269/AP269*LN(1+AP269/BS269),AO269/(2*SQRT(2)*AP269)*LN((BS269+(1+SQRT(2))*AP269)/(BS269+(1-SQRT(2))*AP269))),0)</f>
        <v>0</v>
      </c>
      <c r="BW269" s="60" t="n">
        <f aca="false">IF(BM269,BS269-1-LN(BS269-AP269)-BV269,0)</f>
        <v>0</v>
      </c>
      <c r="BX269" s="60" t="n">
        <f aca="false">AND(BM269,BW269&lt;BU269)</f>
        <v>0</v>
      </c>
      <c r="BY269" s="60" t="n">
        <f aca="false">IF(BX269,BS269,BR269)</f>
        <v>0.91158844983184</v>
      </c>
      <c r="BZ269" s="60" t="n">
        <f aca="false">IF(BX269,BV269,BT269)</f>
        <v>0.218240791233887</v>
      </c>
      <c r="CA269" s="60" t="n">
        <f aca="false">LN(BY269-AP269)</f>
        <v>-0.198812070380318</v>
      </c>
      <c r="CB269" s="60" t="n">
        <f aca="false">$E$27/AN269*(BY269-1)-CA269-BZ269*(2*AA269/AM269-$E$27/AN269)</f>
        <v>-0.107840271021729</v>
      </c>
      <c r="CC269" s="60" t="n">
        <f aca="false">$F$27/AN269*(BY269-1)-CA269-BZ269*(2*AB269/AM269-$F$27/AN269)</f>
        <v>0.198812070380318</v>
      </c>
      <c r="CD269" s="60" t="n">
        <f aca="false">$G$27/AN269*(BY269-1)-CA269-BZ269*(2*AC269/AM269-$G$27/AN269)</f>
        <v>0.198812070380318</v>
      </c>
      <c r="CE269" s="60" t="n">
        <f aca="false">$H$27/AN269*(BY269-1)-CA269-BZ269*(2*AD269/AM269-$H$27/AN269)</f>
        <v>0.198812070380318</v>
      </c>
      <c r="CF269" s="60" t="n">
        <f aca="false">$I$27/AN269*(BY269-1)-CA269-BZ269*(2*AE269/AM269-$I$27/AN269)</f>
        <v>0.198812070380318</v>
      </c>
      <c r="CG269" s="60" t="n">
        <f aca="false">$J$27/AN269*(BY269-1)-CA269-BZ269*(2*AF269/AM269-$J$27/AN269)</f>
        <v>0.198812070380318</v>
      </c>
      <c r="CH269" s="60" t="n">
        <f aca="false">$K$27/AN269*(BY269-1)-CA269-BZ269*(2*AG269/AM269-$K$27/AN269)</f>
        <v>0.198812070380318</v>
      </c>
      <c r="CI269" s="60" t="n">
        <f aca="false">$L$27/AN269*(BY269-1)-CA269-BZ269*(2*AH269/AM269-$L$27/AN269)</f>
        <v>0.198812070380318</v>
      </c>
      <c r="CJ269" s="60" t="n">
        <f aca="false">$M$27/AN269*(BY269-1)-CA269-BZ269*(2*AI269/AM269-$M$27/AN269)</f>
        <v>0.198812070380318</v>
      </c>
      <c r="CK269" s="60" t="n">
        <f aca="false">$N$27/AN269*(BY269-1)-CA269-BZ269*(2*AJ269/AM269-$N$27/AN269)</f>
        <v>0.198812070380318</v>
      </c>
      <c r="CL269" s="60" t="n">
        <f aca="false">$O$27/AN269*(BY269-1)-CA269-BZ269*(2*AK269/AM269-$O$27/AN269)</f>
        <v>0.198812070380318</v>
      </c>
      <c r="CM269" s="60" t="n">
        <f aca="false">$P$27/AN269*(BY269-1)-CA269-BZ269*(2*AL269/AM269-$P$27/AN269)</f>
        <v>0.198812070380318</v>
      </c>
      <c r="CN269" s="60" t="n">
        <f aca="false">AP269/BY269&gt;$C$22</f>
        <v>0</v>
      </c>
      <c r="CO269" s="60" t="n">
        <f aca="false">1-N269+SUMPRODUCT(B269:M269,CB269:CM269)-SUMPRODUCT(B269:M269,CB268:CM268)</f>
        <v>0</v>
      </c>
      <c r="CP269" s="60" t="n">
        <f aca="false">SUMXMY2(O269:Z269,$E$13:$P$13)</f>
        <v>0</v>
      </c>
    </row>
    <row r="270" customFormat="false" ht="15" hidden="false" customHeight="false" outlineLevel="0" collapsed="false">
      <c r="A270" s="59" t="n">
        <v>17</v>
      </c>
      <c r="B270" s="60" t="n">
        <f aca="false">$E$13*EXP(MAX(-700,MIN(700,$E$86-CB269)))</f>
        <v>1</v>
      </c>
      <c r="C270" s="60" t="n">
        <f aca="false">$F$13*EXP(MAX(-700,MIN(700,$F$86-CC269)))</f>
        <v>0</v>
      </c>
      <c r="D270" s="60" t="n">
        <f aca="false">$G$13*EXP(MAX(-700,MIN(700,$G$86-CD269)))</f>
        <v>0</v>
      </c>
      <c r="E270" s="60" t="n">
        <f aca="false">$H$13*EXP(MAX(-700,MIN(700,$H$86-CE269)))</f>
        <v>0</v>
      </c>
      <c r="F270" s="60" t="n">
        <f aca="false">$I$13*EXP(MAX(-700,MIN(700,$I$86-CF269)))</f>
        <v>0</v>
      </c>
      <c r="G270" s="60" t="n">
        <f aca="false">$J$13*EXP(MAX(-700,MIN(700,$J$86-CG269)))</f>
        <v>0</v>
      </c>
      <c r="H270" s="60" t="n">
        <f aca="false">$K$13*EXP(MAX(-700,MIN(700,$K$86-CH269)))</f>
        <v>0</v>
      </c>
      <c r="I270" s="60" t="n">
        <f aca="false">$L$13*EXP(MAX(-700,MIN(700,$L$86-CI269)))</f>
        <v>0</v>
      </c>
      <c r="J270" s="60" t="n">
        <f aca="false">$M$13*EXP(MAX(-700,MIN(700,$M$86-CJ269)))</f>
        <v>0</v>
      </c>
      <c r="K270" s="60" t="n">
        <f aca="false">$N$13*EXP(MAX(-700,MIN(700,$N$86-CK269)))</f>
        <v>0</v>
      </c>
      <c r="L270" s="60" t="n">
        <f aca="false">$O$13*EXP(MAX(-700,MIN(700,$O$86-CL269)))</f>
        <v>0</v>
      </c>
      <c r="M270" s="60" t="n">
        <f aca="false">$P$13*EXP(MAX(-700,MIN(700,$P$86-CM269)))</f>
        <v>0</v>
      </c>
      <c r="N270" s="60" t="n">
        <f aca="false">SUM(B270:M270)</f>
        <v>1</v>
      </c>
      <c r="O270" s="60" t="n">
        <f aca="false">B270/N270</f>
        <v>1</v>
      </c>
      <c r="P270" s="60" t="n">
        <f aca="false">C270/N270</f>
        <v>0</v>
      </c>
      <c r="Q270" s="60" t="n">
        <f aca="false">D270/N270</f>
        <v>0</v>
      </c>
      <c r="R270" s="60" t="n">
        <f aca="false">E270/N270</f>
        <v>0</v>
      </c>
      <c r="S270" s="60" t="n">
        <f aca="false">F270/N270</f>
        <v>0</v>
      </c>
      <c r="T270" s="60" t="n">
        <f aca="false">G270/N270</f>
        <v>0</v>
      </c>
      <c r="U270" s="60" t="n">
        <f aca="false">H270/N270</f>
        <v>0</v>
      </c>
      <c r="V270" s="60" t="n">
        <f aca="false">I270/N270</f>
        <v>0</v>
      </c>
      <c r="W270" s="60" t="n">
        <f aca="false">J270/N270</f>
        <v>0</v>
      </c>
      <c r="X270" s="60" t="n">
        <f aca="false">K270/N270</f>
        <v>0</v>
      </c>
      <c r="Y270" s="60" t="n">
        <f aca="false">L270/N270</f>
        <v>0</v>
      </c>
      <c r="Z270" s="60" t="n">
        <f aca="false">M270/N270</f>
        <v>0</v>
      </c>
      <c r="AA270" s="60" t="n">
        <f aca="false">$E$28*SUMPRODUCT($E$31:$P$31,O270:Z270,$E$28:$P$28)</f>
        <v>0.184416866619846</v>
      </c>
      <c r="AB270" s="60" t="n">
        <f aca="false">$F$28*SUMPRODUCT($E$32:$P$32,O270:Z270,$E$28:$P$28)</f>
        <v>0</v>
      </c>
      <c r="AC270" s="60" t="n">
        <f aca="false">$G$28*SUMPRODUCT($E$33:$P$33,O270:Z270,$E$28:$P$28)</f>
        <v>0</v>
      </c>
      <c r="AD270" s="60" t="n">
        <f aca="false">$H$28*SUMPRODUCT($E$34:$P$34,O270:Z270,$E$28:$P$28)</f>
        <v>0</v>
      </c>
      <c r="AE270" s="60" t="n">
        <f aca="false">$I$28*SUMPRODUCT($E$35:$P$35,O270:Z270,$E$28:$P$28)</f>
        <v>0</v>
      </c>
      <c r="AF270" s="60" t="n">
        <f aca="false">$J$28*SUMPRODUCT($E$36:$P$36,O270:Z270,$E$28:$P$28)</f>
        <v>0</v>
      </c>
      <c r="AG270" s="60" t="n">
        <f aca="false">$K$28*SUMPRODUCT($E$37:$P$37,O270:Z270,$E$28:$P$28)</f>
        <v>0</v>
      </c>
      <c r="AH270" s="60" t="n">
        <f aca="false">$L$28*SUMPRODUCT($E$38:$P$38,O270:Z270,$E$28:$P$28)</f>
        <v>0</v>
      </c>
      <c r="AI270" s="60" t="n">
        <f aca="false">$M$28*SUMPRODUCT($E$39:$P$39,O270:Z270,$E$28:$P$28)</f>
        <v>0</v>
      </c>
      <c r="AJ270" s="60" t="n">
        <f aca="false">$N$28*SUMPRODUCT($E$40:$P$40,O270:Z270,$E$28:$P$28)</f>
        <v>0</v>
      </c>
      <c r="AK270" s="60" t="n">
        <f aca="false">$O$28*SUMPRODUCT($E$41:$P$41,O270:Z270,$E$28:$P$28)</f>
        <v>0</v>
      </c>
      <c r="AL270" s="60" t="n">
        <f aca="false">$P$28*SUMPRODUCT($E$42:$P$42,O270:Z270,$E$28:$P$28)</f>
        <v>0</v>
      </c>
      <c r="AM270" s="60" t="n">
        <f aca="false">SUMPRODUCT(O270:Z270,AA270:AL270)</f>
        <v>0.184416866619846</v>
      </c>
      <c r="AN270" s="60" t="n">
        <f aca="false">SUMPRODUCT(O270:Z270,$E$27:$P$27)</f>
        <v>2.67389635063809E-005</v>
      </c>
      <c r="AO270" s="60" t="n">
        <f aca="false">AM270*$C$9/($C$10*$C$8)^2</f>
        <v>0.21776909410545</v>
      </c>
      <c r="AP270" s="60" t="n">
        <f aca="false">AN270*$C$9/($C$10*$C$8)</f>
        <v>0.0918845243259994</v>
      </c>
      <c r="AQ270" s="60" t="n">
        <f aca="false">CHOOSE($C$7,-(1+AP270),-1,-(1-AP270))</f>
        <v>-0.908115475674001</v>
      </c>
      <c r="AR270" s="60" t="n">
        <f aca="false">CHOOSE($C$7,AO270,AO270-AP270-AP270^2,AO270-3*AP270^2-2*AP270)</f>
        <v>0.00867174802160559</v>
      </c>
      <c r="AS270" s="60" t="n">
        <f aca="false">CHOOSE($C$7,-AO270*AP270,-AO270*AP270,-(AO270*AP270-AP270^2-AP270^3))</f>
        <v>-0.0107910842936637</v>
      </c>
      <c r="AT270" s="60" t="n">
        <f aca="false">AR270-AQ270^2/3</f>
        <v>-0.266219491031267</v>
      </c>
      <c r="AU270" s="60" t="n">
        <f aca="false">2*AQ270^3/27-AQ270*AR270/3+AS270</f>
        <v>-0.0636400988362784</v>
      </c>
      <c r="AV270" s="60" t="n">
        <f aca="false">AU270^2/4+AT270^3/27</f>
        <v>0.000313710901361829</v>
      </c>
      <c r="AW270" s="60" t="n">
        <f aca="false">-AU270/2-IF(AU270&gt;=0,1,-1)*SQRT(MAX(AV270,0))</f>
        <v>0.0495319352963236</v>
      </c>
      <c r="AX270" s="60" t="n">
        <f aca="false">SIGN(AW270)*ABS(AW270)^(1/3)</f>
        <v>0.367249967174439</v>
      </c>
      <c r="AY270" s="60" t="n">
        <f aca="false">IF(AX270=0,0,AX270-AT270/(3*AX270))</f>
        <v>0.60888329127384</v>
      </c>
      <c r="AZ270" s="60" t="n">
        <f aca="false">2*SQRT(MAX(-AT270,0)/3)</f>
        <v>0.595784626668918</v>
      </c>
      <c r="BA270" s="60" t="n">
        <f aca="false">ACOS(IF(AZ270=0,0,MAX(-1,MIN(1,3*AU270/(AT270*AZ270)))))</f>
        <v>0</v>
      </c>
      <c r="BB270" s="60" t="n">
        <f aca="false">AZ270*COS(BA270/3)</f>
        <v>0.595784626668918</v>
      </c>
      <c r="BC270" s="60" t="n">
        <f aca="false">IF(AV270&lt;0,BB270,AY270)-AQ270/3</f>
        <v>0.91158844983184</v>
      </c>
      <c r="BD270" s="60" t="n">
        <f aca="false">IFERROR((((BC270+AQ270)*BC270+AR270)*BC270+AS270)/((3*BC270+2*AQ270)*BC270+AR270),0)</f>
        <v>0</v>
      </c>
      <c r="BE270" s="60" t="n">
        <f aca="false">IF(ABS(BD270)&lt;0.1*ABS(BC270),BC270-BD270,BC270)</f>
        <v>0.91158844983184</v>
      </c>
      <c r="BF270" s="60" t="n">
        <f aca="false">IFERROR((((BE270+AQ270)*BE270+AR270)*BE270+AS270)/((3*BE270+2*AQ270)*BE270+AR270),0)</f>
        <v>0</v>
      </c>
      <c r="BG270" s="60" t="n">
        <f aca="false">IF(ABS(BF270)&lt;0.1*ABS(BE270),BE270-BF270,BE270)</f>
        <v>0.91158844983184</v>
      </c>
      <c r="BH270" s="60" t="n">
        <f aca="false">-AS270/BG270</f>
        <v>0.0118376711504565</v>
      </c>
      <c r="BI270" s="60" t="n">
        <f aca="false">(AR270-BH270)/BG270</f>
        <v>-0.00347297415783941</v>
      </c>
      <c r="BJ270" s="60" t="n">
        <f aca="false">BI270^2-4*BH270</f>
        <v>-0.0473386230523248</v>
      </c>
      <c r="BK270" s="60" t="n">
        <f aca="false">IF(BJ270&gt;=0,(BI270+IF(BI270&gt;=0,1,-1)*SQRT(BJ270))/2,0)</f>
        <v>0</v>
      </c>
      <c r="BL270" s="60" t="n">
        <f aca="false">IF(AND(BJ270&gt;=0,BK270&lt;&gt;0),MIN(BK270,BH270/BK270),-1)</f>
        <v>-1</v>
      </c>
      <c r="BM270" s="60" t="n">
        <f aca="false">AND(BJ270&gt;=0,BL270&gt;AP270,ABS(BG270-BL270)&gt;=0.00005*MAX(BG270,BL270))</f>
        <v>0</v>
      </c>
      <c r="BN270" s="60" t="n">
        <f aca="false">IF(BM270,IFERROR((((BL270+AQ270)*BL270+AR270)*BL270+AS270)/((3*BL270+2*AQ270)*BL270+AR270),0),0)</f>
        <v>0</v>
      </c>
      <c r="BO270" s="60" t="n">
        <f aca="false">IF(ABS(BN270)&lt;0.1*ABS(BL270),BL270-BN270,BL270)</f>
        <v>-1</v>
      </c>
      <c r="BP270" s="60" t="n">
        <f aca="false">IF(BM270,IFERROR((((BO270+AQ270)*BO270+AR270)*BO270+AS270)/((3*BO270+2*AQ270)*BO270+AR270),0),0)</f>
        <v>0</v>
      </c>
      <c r="BQ270" s="60" t="n">
        <f aca="false">IF(ABS(BP270)&lt;0.1*ABS(BO270),BO270-BP270,BO270)</f>
        <v>-1</v>
      </c>
      <c r="BR270" s="60" t="n">
        <f aca="false">IF(BM270,MAX(BG270,BQ270),BG270)</f>
        <v>0.91158844983184</v>
      </c>
      <c r="BS270" s="60" t="n">
        <f aca="false">IF(BM270,MIN(BG270,BQ270),-1)</f>
        <v>-1</v>
      </c>
      <c r="BT270" s="60" t="n">
        <f aca="false">CHOOSE($C$7,AO270/BR270,AO270/AP270*LN(1+AP270/BR270),AO270/(2*SQRT(2)*AP270)*LN((BR270+(1+SQRT(2))*AP270)/(BR270+(1-SQRT(2))*AP270)))</f>
        <v>0.218240791233887</v>
      </c>
      <c r="BU270" s="60" t="n">
        <f aca="false">BR270-1-LN(BR270-AP270)-BT270</f>
        <v>-0.107840271021729</v>
      </c>
      <c r="BV270" s="60" t="n">
        <f aca="false">IF(BM270,CHOOSE($C$7,AO270/BS270,AO270/AP270*LN(1+AP270/BS270),AO270/(2*SQRT(2)*AP270)*LN((BS270+(1+SQRT(2))*AP270)/(BS270+(1-SQRT(2))*AP270))),0)</f>
        <v>0</v>
      </c>
      <c r="BW270" s="60" t="n">
        <f aca="false">IF(BM270,BS270-1-LN(BS270-AP270)-BV270,0)</f>
        <v>0</v>
      </c>
      <c r="BX270" s="60" t="n">
        <f aca="false">AND(BM270,BW270&lt;BU270)</f>
        <v>0</v>
      </c>
      <c r="BY270" s="60" t="n">
        <f aca="false">IF(BX270,BS270,BR270)</f>
        <v>0.91158844983184</v>
      </c>
      <c r="BZ270" s="60" t="n">
        <f aca="false">IF(BX270,BV270,BT270)</f>
        <v>0.218240791233887</v>
      </c>
      <c r="CA270" s="60" t="n">
        <f aca="false">LN(BY270-AP270)</f>
        <v>-0.198812070380318</v>
      </c>
      <c r="CB270" s="60" t="n">
        <f aca="false">$E$27/AN270*(BY270-1)-CA270-BZ270*(2*AA270/AM270-$E$27/AN270)</f>
        <v>-0.107840271021729</v>
      </c>
      <c r="CC270" s="60" t="n">
        <f aca="false">$F$27/AN270*(BY270-1)-CA270-BZ270*(2*AB270/AM270-$F$27/AN270)</f>
        <v>0.198812070380318</v>
      </c>
      <c r="CD270" s="60" t="n">
        <f aca="false">$G$27/AN270*(BY270-1)-CA270-BZ270*(2*AC270/AM270-$G$27/AN270)</f>
        <v>0.198812070380318</v>
      </c>
      <c r="CE270" s="60" t="n">
        <f aca="false">$H$27/AN270*(BY270-1)-CA270-BZ270*(2*AD270/AM270-$H$27/AN270)</f>
        <v>0.198812070380318</v>
      </c>
      <c r="CF270" s="60" t="n">
        <f aca="false">$I$27/AN270*(BY270-1)-CA270-BZ270*(2*AE270/AM270-$I$27/AN270)</f>
        <v>0.198812070380318</v>
      </c>
      <c r="CG270" s="60" t="n">
        <f aca="false">$J$27/AN270*(BY270-1)-CA270-BZ270*(2*AF270/AM270-$J$27/AN270)</f>
        <v>0.198812070380318</v>
      </c>
      <c r="CH270" s="60" t="n">
        <f aca="false">$K$27/AN270*(BY270-1)-CA270-BZ270*(2*AG270/AM270-$K$27/AN270)</f>
        <v>0.198812070380318</v>
      </c>
      <c r="CI270" s="60" t="n">
        <f aca="false">$L$27/AN270*(BY270-1)-CA270-BZ270*(2*AH270/AM270-$L$27/AN270)</f>
        <v>0.198812070380318</v>
      </c>
      <c r="CJ270" s="60" t="n">
        <f aca="false">$M$27/AN270*(BY270-1)-CA270-BZ270*(2*AI270/AM270-$M$27/AN270)</f>
        <v>0.198812070380318</v>
      </c>
      <c r="CK270" s="60" t="n">
        <f aca="false">$N$27/AN270*(BY270-1)-CA270-BZ270*(2*AJ270/AM270-$N$27/AN270)</f>
        <v>0.198812070380318</v>
      </c>
      <c r="CL270" s="60" t="n">
        <f aca="false">$O$27/AN270*(BY270-1)-CA270-BZ270*(2*AK270/AM270-$O$27/AN270)</f>
        <v>0.198812070380318</v>
      </c>
      <c r="CM270" s="60" t="n">
        <f aca="false">$P$27/AN270*(BY270-1)-CA270-BZ270*(2*AL270/AM270-$P$27/AN270)</f>
        <v>0.198812070380318</v>
      </c>
      <c r="CN270" s="60" t="n">
        <f aca="false">AP270/BY270&gt;$C$22</f>
        <v>0</v>
      </c>
      <c r="CO270" s="60" t="n">
        <f aca="false">1-N270+SUMPRODUCT(B270:M270,CB270:CM270)-SUMPRODUCT(B270:M270,CB269:CM269)</f>
        <v>0</v>
      </c>
      <c r="CP270" s="60" t="n">
        <f aca="false">SUMXMY2(O270:Z270,$E$13:$P$13)</f>
        <v>0</v>
      </c>
    </row>
    <row r="271" customFormat="false" ht="15" hidden="false" customHeight="false" outlineLevel="0" collapsed="false">
      <c r="A271" s="59" t="n">
        <v>18</v>
      </c>
      <c r="B271" s="60" t="n">
        <f aca="false">$E$13*EXP(MAX(-700,MIN(700,$E$86-CB270)))</f>
        <v>1</v>
      </c>
      <c r="C271" s="60" t="n">
        <f aca="false">$F$13*EXP(MAX(-700,MIN(700,$F$86-CC270)))</f>
        <v>0</v>
      </c>
      <c r="D271" s="60" t="n">
        <f aca="false">$G$13*EXP(MAX(-700,MIN(700,$G$86-CD270)))</f>
        <v>0</v>
      </c>
      <c r="E271" s="60" t="n">
        <f aca="false">$H$13*EXP(MAX(-700,MIN(700,$H$86-CE270)))</f>
        <v>0</v>
      </c>
      <c r="F271" s="60" t="n">
        <f aca="false">$I$13*EXP(MAX(-700,MIN(700,$I$86-CF270)))</f>
        <v>0</v>
      </c>
      <c r="G271" s="60" t="n">
        <f aca="false">$J$13*EXP(MAX(-700,MIN(700,$J$86-CG270)))</f>
        <v>0</v>
      </c>
      <c r="H271" s="60" t="n">
        <f aca="false">$K$13*EXP(MAX(-700,MIN(700,$K$86-CH270)))</f>
        <v>0</v>
      </c>
      <c r="I271" s="60" t="n">
        <f aca="false">$L$13*EXP(MAX(-700,MIN(700,$L$86-CI270)))</f>
        <v>0</v>
      </c>
      <c r="J271" s="60" t="n">
        <f aca="false">$M$13*EXP(MAX(-700,MIN(700,$M$86-CJ270)))</f>
        <v>0</v>
      </c>
      <c r="K271" s="60" t="n">
        <f aca="false">$N$13*EXP(MAX(-700,MIN(700,$N$86-CK270)))</f>
        <v>0</v>
      </c>
      <c r="L271" s="60" t="n">
        <f aca="false">$O$13*EXP(MAX(-700,MIN(700,$O$86-CL270)))</f>
        <v>0</v>
      </c>
      <c r="M271" s="60" t="n">
        <f aca="false">$P$13*EXP(MAX(-700,MIN(700,$P$86-CM270)))</f>
        <v>0</v>
      </c>
      <c r="N271" s="60" t="n">
        <f aca="false">SUM(B271:M271)</f>
        <v>1</v>
      </c>
      <c r="O271" s="60" t="n">
        <f aca="false">B271/N271</f>
        <v>1</v>
      </c>
      <c r="P271" s="60" t="n">
        <f aca="false">C271/N271</f>
        <v>0</v>
      </c>
      <c r="Q271" s="60" t="n">
        <f aca="false">D271/N271</f>
        <v>0</v>
      </c>
      <c r="R271" s="60" t="n">
        <f aca="false">E271/N271</f>
        <v>0</v>
      </c>
      <c r="S271" s="60" t="n">
        <f aca="false">F271/N271</f>
        <v>0</v>
      </c>
      <c r="T271" s="60" t="n">
        <f aca="false">G271/N271</f>
        <v>0</v>
      </c>
      <c r="U271" s="60" t="n">
        <f aca="false">H271/N271</f>
        <v>0</v>
      </c>
      <c r="V271" s="60" t="n">
        <f aca="false">I271/N271</f>
        <v>0</v>
      </c>
      <c r="W271" s="60" t="n">
        <f aca="false">J271/N271</f>
        <v>0</v>
      </c>
      <c r="X271" s="60" t="n">
        <f aca="false">K271/N271</f>
        <v>0</v>
      </c>
      <c r="Y271" s="60" t="n">
        <f aca="false">L271/N271</f>
        <v>0</v>
      </c>
      <c r="Z271" s="60" t="n">
        <f aca="false">M271/N271</f>
        <v>0</v>
      </c>
      <c r="AA271" s="60" t="n">
        <f aca="false">$E$28*SUMPRODUCT($E$31:$P$31,O271:Z271,$E$28:$P$28)</f>
        <v>0.184416866619846</v>
      </c>
      <c r="AB271" s="60" t="n">
        <f aca="false">$F$28*SUMPRODUCT($E$32:$P$32,O271:Z271,$E$28:$P$28)</f>
        <v>0</v>
      </c>
      <c r="AC271" s="60" t="n">
        <f aca="false">$G$28*SUMPRODUCT($E$33:$P$33,O271:Z271,$E$28:$P$28)</f>
        <v>0</v>
      </c>
      <c r="AD271" s="60" t="n">
        <f aca="false">$H$28*SUMPRODUCT($E$34:$P$34,O271:Z271,$E$28:$P$28)</f>
        <v>0</v>
      </c>
      <c r="AE271" s="60" t="n">
        <f aca="false">$I$28*SUMPRODUCT($E$35:$P$35,O271:Z271,$E$28:$P$28)</f>
        <v>0</v>
      </c>
      <c r="AF271" s="60" t="n">
        <f aca="false">$J$28*SUMPRODUCT($E$36:$P$36,O271:Z271,$E$28:$P$28)</f>
        <v>0</v>
      </c>
      <c r="AG271" s="60" t="n">
        <f aca="false">$K$28*SUMPRODUCT($E$37:$P$37,O271:Z271,$E$28:$P$28)</f>
        <v>0</v>
      </c>
      <c r="AH271" s="60" t="n">
        <f aca="false">$L$28*SUMPRODUCT($E$38:$P$38,O271:Z271,$E$28:$P$28)</f>
        <v>0</v>
      </c>
      <c r="AI271" s="60" t="n">
        <f aca="false">$M$28*SUMPRODUCT($E$39:$P$39,O271:Z271,$E$28:$P$28)</f>
        <v>0</v>
      </c>
      <c r="AJ271" s="60" t="n">
        <f aca="false">$N$28*SUMPRODUCT($E$40:$P$40,O271:Z271,$E$28:$P$28)</f>
        <v>0</v>
      </c>
      <c r="AK271" s="60" t="n">
        <f aca="false">$O$28*SUMPRODUCT($E$41:$P$41,O271:Z271,$E$28:$P$28)</f>
        <v>0</v>
      </c>
      <c r="AL271" s="60" t="n">
        <f aca="false">$P$28*SUMPRODUCT($E$42:$P$42,O271:Z271,$E$28:$P$28)</f>
        <v>0</v>
      </c>
      <c r="AM271" s="60" t="n">
        <f aca="false">SUMPRODUCT(O271:Z271,AA271:AL271)</f>
        <v>0.184416866619846</v>
      </c>
      <c r="AN271" s="60" t="n">
        <f aca="false">SUMPRODUCT(O271:Z271,$E$27:$P$27)</f>
        <v>2.67389635063809E-005</v>
      </c>
      <c r="AO271" s="60" t="n">
        <f aca="false">AM271*$C$9/($C$10*$C$8)^2</f>
        <v>0.21776909410545</v>
      </c>
      <c r="AP271" s="60" t="n">
        <f aca="false">AN271*$C$9/($C$10*$C$8)</f>
        <v>0.0918845243259994</v>
      </c>
      <c r="AQ271" s="60" t="n">
        <f aca="false">CHOOSE($C$7,-(1+AP271),-1,-(1-AP271))</f>
        <v>-0.908115475674001</v>
      </c>
      <c r="AR271" s="60" t="n">
        <f aca="false">CHOOSE($C$7,AO271,AO271-AP271-AP271^2,AO271-3*AP271^2-2*AP271)</f>
        <v>0.00867174802160559</v>
      </c>
      <c r="AS271" s="60" t="n">
        <f aca="false">CHOOSE($C$7,-AO271*AP271,-AO271*AP271,-(AO271*AP271-AP271^2-AP271^3))</f>
        <v>-0.0107910842936637</v>
      </c>
      <c r="AT271" s="60" t="n">
        <f aca="false">AR271-AQ271^2/3</f>
        <v>-0.266219491031267</v>
      </c>
      <c r="AU271" s="60" t="n">
        <f aca="false">2*AQ271^3/27-AQ271*AR271/3+AS271</f>
        <v>-0.0636400988362784</v>
      </c>
      <c r="AV271" s="60" t="n">
        <f aca="false">AU271^2/4+AT271^3/27</f>
        <v>0.000313710901361829</v>
      </c>
      <c r="AW271" s="60" t="n">
        <f aca="false">-AU271/2-IF(AU271&gt;=0,1,-1)*SQRT(MAX(AV271,0))</f>
        <v>0.0495319352963236</v>
      </c>
      <c r="AX271" s="60" t="n">
        <f aca="false">SIGN(AW271)*ABS(AW271)^(1/3)</f>
        <v>0.367249967174439</v>
      </c>
      <c r="AY271" s="60" t="n">
        <f aca="false">IF(AX271=0,0,AX271-AT271/(3*AX271))</f>
        <v>0.60888329127384</v>
      </c>
      <c r="AZ271" s="60" t="n">
        <f aca="false">2*SQRT(MAX(-AT271,0)/3)</f>
        <v>0.595784626668918</v>
      </c>
      <c r="BA271" s="60" t="n">
        <f aca="false">ACOS(IF(AZ271=0,0,MAX(-1,MIN(1,3*AU271/(AT271*AZ271)))))</f>
        <v>0</v>
      </c>
      <c r="BB271" s="60" t="n">
        <f aca="false">AZ271*COS(BA271/3)</f>
        <v>0.595784626668918</v>
      </c>
      <c r="BC271" s="60" t="n">
        <f aca="false">IF(AV271&lt;0,BB271,AY271)-AQ271/3</f>
        <v>0.91158844983184</v>
      </c>
      <c r="BD271" s="60" t="n">
        <f aca="false">IFERROR((((BC271+AQ271)*BC271+AR271)*BC271+AS271)/((3*BC271+2*AQ271)*BC271+AR271),0)</f>
        <v>0</v>
      </c>
      <c r="BE271" s="60" t="n">
        <f aca="false">IF(ABS(BD271)&lt;0.1*ABS(BC271),BC271-BD271,BC271)</f>
        <v>0.91158844983184</v>
      </c>
      <c r="BF271" s="60" t="n">
        <f aca="false">IFERROR((((BE271+AQ271)*BE271+AR271)*BE271+AS271)/((3*BE271+2*AQ271)*BE271+AR271),0)</f>
        <v>0</v>
      </c>
      <c r="BG271" s="60" t="n">
        <f aca="false">IF(ABS(BF271)&lt;0.1*ABS(BE271),BE271-BF271,BE271)</f>
        <v>0.91158844983184</v>
      </c>
      <c r="BH271" s="60" t="n">
        <f aca="false">-AS271/BG271</f>
        <v>0.0118376711504565</v>
      </c>
      <c r="BI271" s="60" t="n">
        <f aca="false">(AR271-BH271)/BG271</f>
        <v>-0.00347297415783941</v>
      </c>
      <c r="BJ271" s="60" t="n">
        <f aca="false">BI271^2-4*BH271</f>
        <v>-0.0473386230523248</v>
      </c>
      <c r="BK271" s="60" t="n">
        <f aca="false">IF(BJ271&gt;=0,(BI271+IF(BI271&gt;=0,1,-1)*SQRT(BJ271))/2,0)</f>
        <v>0</v>
      </c>
      <c r="BL271" s="60" t="n">
        <f aca="false">IF(AND(BJ271&gt;=0,BK271&lt;&gt;0),MIN(BK271,BH271/BK271),-1)</f>
        <v>-1</v>
      </c>
      <c r="BM271" s="60" t="n">
        <f aca="false">AND(BJ271&gt;=0,BL271&gt;AP271,ABS(BG271-BL271)&gt;=0.00005*MAX(BG271,BL271))</f>
        <v>0</v>
      </c>
      <c r="BN271" s="60" t="n">
        <f aca="false">IF(BM271,IFERROR((((BL271+AQ271)*BL271+AR271)*BL271+AS271)/((3*BL271+2*AQ271)*BL271+AR271),0),0)</f>
        <v>0</v>
      </c>
      <c r="BO271" s="60" t="n">
        <f aca="false">IF(ABS(BN271)&lt;0.1*ABS(BL271),BL271-BN271,BL271)</f>
        <v>-1</v>
      </c>
      <c r="BP271" s="60" t="n">
        <f aca="false">IF(BM271,IFERROR((((BO271+AQ271)*BO271+AR271)*BO271+AS271)/((3*BO271+2*AQ271)*BO271+AR271),0),0)</f>
        <v>0</v>
      </c>
      <c r="BQ271" s="60" t="n">
        <f aca="false">IF(ABS(BP271)&lt;0.1*ABS(BO271),BO271-BP271,BO271)</f>
        <v>-1</v>
      </c>
      <c r="BR271" s="60" t="n">
        <f aca="false">IF(BM271,MAX(BG271,BQ271),BG271)</f>
        <v>0.91158844983184</v>
      </c>
      <c r="BS271" s="60" t="n">
        <f aca="false">IF(BM271,MIN(BG271,BQ271),-1)</f>
        <v>-1</v>
      </c>
      <c r="BT271" s="60" t="n">
        <f aca="false">CHOOSE($C$7,AO271/BR271,AO271/AP271*LN(1+AP271/BR271),AO271/(2*SQRT(2)*AP271)*LN((BR271+(1+SQRT(2))*AP271)/(BR271+(1-SQRT(2))*AP271)))</f>
        <v>0.218240791233887</v>
      </c>
      <c r="BU271" s="60" t="n">
        <f aca="false">BR271-1-LN(BR271-AP271)-BT271</f>
        <v>-0.107840271021729</v>
      </c>
      <c r="BV271" s="60" t="n">
        <f aca="false">IF(BM271,CHOOSE($C$7,AO271/BS271,AO271/AP271*LN(1+AP271/BS271),AO271/(2*SQRT(2)*AP271)*LN((BS271+(1+SQRT(2))*AP271)/(BS271+(1-SQRT(2))*AP271))),0)</f>
        <v>0</v>
      </c>
      <c r="BW271" s="60" t="n">
        <f aca="false">IF(BM271,BS271-1-LN(BS271-AP271)-BV271,0)</f>
        <v>0</v>
      </c>
      <c r="BX271" s="60" t="n">
        <f aca="false">AND(BM271,BW271&lt;BU271)</f>
        <v>0</v>
      </c>
      <c r="BY271" s="60" t="n">
        <f aca="false">IF(BX271,BS271,BR271)</f>
        <v>0.91158844983184</v>
      </c>
      <c r="BZ271" s="60" t="n">
        <f aca="false">IF(BX271,BV271,BT271)</f>
        <v>0.218240791233887</v>
      </c>
      <c r="CA271" s="60" t="n">
        <f aca="false">LN(BY271-AP271)</f>
        <v>-0.198812070380318</v>
      </c>
      <c r="CB271" s="60" t="n">
        <f aca="false">$E$27/AN271*(BY271-1)-CA271-BZ271*(2*AA271/AM271-$E$27/AN271)</f>
        <v>-0.107840271021729</v>
      </c>
      <c r="CC271" s="60" t="n">
        <f aca="false">$F$27/AN271*(BY271-1)-CA271-BZ271*(2*AB271/AM271-$F$27/AN271)</f>
        <v>0.198812070380318</v>
      </c>
      <c r="CD271" s="60" t="n">
        <f aca="false">$G$27/AN271*(BY271-1)-CA271-BZ271*(2*AC271/AM271-$G$27/AN271)</f>
        <v>0.198812070380318</v>
      </c>
      <c r="CE271" s="60" t="n">
        <f aca="false">$H$27/AN271*(BY271-1)-CA271-BZ271*(2*AD271/AM271-$H$27/AN271)</f>
        <v>0.198812070380318</v>
      </c>
      <c r="CF271" s="60" t="n">
        <f aca="false">$I$27/AN271*(BY271-1)-CA271-BZ271*(2*AE271/AM271-$I$27/AN271)</f>
        <v>0.198812070380318</v>
      </c>
      <c r="CG271" s="60" t="n">
        <f aca="false">$J$27/AN271*(BY271-1)-CA271-BZ271*(2*AF271/AM271-$J$27/AN271)</f>
        <v>0.198812070380318</v>
      </c>
      <c r="CH271" s="60" t="n">
        <f aca="false">$K$27/AN271*(BY271-1)-CA271-BZ271*(2*AG271/AM271-$K$27/AN271)</f>
        <v>0.198812070380318</v>
      </c>
      <c r="CI271" s="60" t="n">
        <f aca="false">$L$27/AN271*(BY271-1)-CA271-BZ271*(2*AH271/AM271-$L$27/AN271)</f>
        <v>0.198812070380318</v>
      </c>
      <c r="CJ271" s="60" t="n">
        <f aca="false">$M$27/AN271*(BY271-1)-CA271-BZ271*(2*AI271/AM271-$M$27/AN271)</f>
        <v>0.198812070380318</v>
      </c>
      <c r="CK271" s="60" t="n">
        <f aca="false">$N$27/AN271*(BY271-1)-CA271-BZ271*(2*AJ271/AM271-$N$27/AN271)</f>
        <v>0.198812070380318</v>
      </c>
      <c r="CL271" s="60" t="n">
        <f aca="false">$O$27/AN271*(BY271-1)-CA271-BZ271*(2*AK271/AM271-$O$27/AN271)</f>
        <v>0.198812070380318</v>
      </c>
      <c r="CM271" s="60" t="n">
        <f aca="false">$P$27/AN271*(BY271-1)-CA271-BZ271*(2*AL271/AM271-$P$27/AN271)</f>
        <v>0.198812070380318</v>
      </c>
      <c r="CN271" s="60" t="n">
        <f aca="false">AP271/BY271&gt;$C$22</f>
        <v>0</v>
      </c>
      <c r="CO271" s="60" t="n">
        <f aca="false">1-N271+SUMPRODUCT(B271:M271,CB271:CM271)-SUMPRODUCT(B271:M271,CB270:CM270)</f>
        <v>0</v>
      </c>
      <c r="CP271" s="60" t="n">
        <f aca="false">SUMXMY2(O271:Z271,$E$13:$P$13)</f>
        <v>0</v>
      </c>
    </row>
    <row r="272" customFormat="false" ht="15" hidden="false" customHeight="false" outlineLevel="0" collapsed="false">
      <c r="A272" s="59" t="n">
        <v>19</v>
      </c>
      <c r="B272" s="60" t="n">
        <f aca="false">$E$13*EXP(MAX(-700,MIN(700,$E$86-CB271)))</f>
        <v>1</v>
      </c>
      <c r="C272" s="60" t="n">
        <f aca="false">$F$13*EXP(MAX(-700,MIN(700,$F$86-CC271)))</f>
        <v>0</v>
      </c>
      <c r="D272" s="60" t="n">
        <f aca="false">$G$13*EXP(MAX(-700,MIN(700,$G$86-CD271)))</f>
        <v>0</v>
      </c>
      <c r="E272" s="60" t="n">
        <f aca="false">$H$13*EXP(MAX(-700,MIN(700,$H$86-CE271)))</f>
        <v>0</v>
      </c>
      <c r="F272" s="60" t="n">
        <f aca="false">$I$13*EXP(MAX(-700,MIN(700,$I$86-CF271)))</f>
        <v>0</v>
      </c>
      <c r="G272" s="60" t="n">
        <f aca="false">$J$13*EXP(MAX(-700,MIN(700,$J$86-CG271)))</f>
        <v>0</v>
      </c>
      <c r="H272" s="60" t="n">
        <f aca="false">$K$13*EXP(MAX(-700,MIN(700,$K$86-CH271)))</f>
        <v>0</v>
      </c>
      <c r="I272" s="60" t="n">
        <f aca="false">$L$13*EXP(MAX(-700,MIN(700,$L$86-CI271)))</f>
        <v>0</v>
      </c>
      <c r="J272" s="60" t="n">
        <f aca="false">$M$13*EXP(MAX(-700,MIN(700,$M$86-CJ271)))</f>
        <v>0</v>
      </c>
      <c r="K272" s="60" t="n">
        <f aca="false">$N$13*EXP(MAX(-700,MIN(700,$N$86-CK271)))</f>
        <v>0</v>
      </c>
      <c r="L272" s="60" t="n">
        <f aca="false">$O$13*EXP(MAX(-700,MIN(700,$O$86-CL271)))</f>
        <v>0</v>
      </c>
      <c r="M272" s="60" t="n">
        <f aca="false">$P$13*EXP(MAX(-700,MIN(700,$P$86-CM271)))</f>
        <v>0</v>
      </c>
      <c r="N272" s="60" t="n">
        <f aca="false">SUM(B272:M272)</f>
        <v>1</v>
      </c>
      <c r="O272" s="60" t="n">
        <f aca="false">B272/N272</f>
        <v>1</v>
      </c>
      <c r="P272" s="60" t="n">
        <f aca="false">C272/N272</f>
        <v>0</v>
      </c>
      <c r="Q272" s="60" t="n">
        <f aca="false">D272/N272</f>
        <v>0</v>
      </c>
      <c r="R272" s="60" t="n">
        <f aca="false">E272/N272</f>
        <v>0</v>
      </c>
      <c r="S272" s="60" t="n">
        <f aca="false">F272/N272</f>
        <v>0</v>
      </c>
      <c r="T272" s="60" t="n">
        <f aca="false">G272/N272</f>
        <v>0</v>
      </c>
      <c r="U272" s="60" t="n">
        <f aca="false">H272/N272</f>
        <v>0</v>
      </c>
      <c r="V272" s="60" t="n">
        <f aca="false">I272/N272</f>
        <v>0</v>
      </c>
      <c r="W272" s="60" t="n">
        <f aca="false">J272/N272</f>
        <v>0</v>
      </c>
      <c r="X272" s="60" t="n">
        <f aca="false">K272/N272</f>
        <v>0</v>
      </c>
      <c r="Y272" s="60" t="n">
        <f aca="false">L272/N272</f>
        <v>0</v>
      </c>
      <c r="Z272" s="60" t="n">
        <f aca="false">M272/N272</f>
        <v>0</v>
      </c>
      <c r="AA272" s="60" t="n">
        <f aca="false">$E$28*SUMPRODUCT($E$31:$P$31,O272:Z272,$E$28:$P$28)</f>
        <v>0.184416866619846</v>
      </c>
      <c r="AB272" s="60" t="n">
        <f aca="false">$F$28*SUMPRODUCT($E$32:$P$32,O272:Z272,$E$28:$P$28)</f>
        <v>0</v>
      </c>
      <c r="AC272" s="60" t="n">
        <f aca="false">$G$28*SUMPRODUCT($E$33:$P$33,O272:Z272,$E$28:$P$28)</f>
        <v>0</v>
      </c>
      <c r="AD272" s="60" t="n">
        <f aca="false">$H$28*SUMPRODUCT($E$34:$P$34,O272:Z272,$E$28:$P$28)</f>
        <v>0</v>
      </c>
      <c r="AE272" s="60" t="n">
        <f aca="false">$I$28*SUMPRODUCT($E$35:$P$35,O272:Z272,$E$28:$P$28)</f>
        <v>0</v>
      </c>
      <c r="AF272" s="60" t="n">
        <f aca="false">$J$28*SUMPRODUCT($E$36:$P$36,O272:Z272,$E$28:$P$28)</f>
        <v>0</v>
      </c>
      <c r="AG272" s="60" t="n">
        <f aca="false">$K$28*SUMPRODUCT($E$37:$P$37,O272:Z272,$E$28:$P$28)</f>
        <v>0</v>
      </c>
      <c r="AH272" s="60" t="n">
        <f aca="false">$L$28*SUMPRODUCT($E$38:$P$38,O272:Z272,$E$28:$P$28)</f>
        <v>0</v>
      </c>
      <c r="AI272" s="60" t="n">
        <f aca="false">$M$28*SUMPRODUCT($E$39:$P$39,O272:Z272,$E$28:$P$28)</f>
        <v>0</v>
      </c>
      <c r="AJ272" s="60" t="n">
        <f aca="false">$N$28*SUMPRODUCT($E$40:$P$40,O272:Z272,$E$28:$P$28)</f>
        <v>0</v>
      </c>
      <c r="AK272" s="60" t="n">
        <f aca="false">$O$28*SUMPRODUCT($E$41:$P$41,O272:Z272,$E$28:$P$28)</f>
        <v>0</v>
      </c>
      <c r="AL272" s="60" t="n">
        <f aca="false">$P$28*SUMPRODUCT($E$42:$P$42,O272:Z272,$E$28:$P$28)</f>
        <v>0</v>
      </c>
      <c r="AM272" s="60" t="n">
        <f aca="false">SUMPRODUCT(O272:Z272,AA272:AL272)</f>
        <v>0.184416866619846</v>
      </c>
      <c r="AN272" s="60" t="n">
        <f aca="false">SUMPRODUCT(O272:Z272,$E$27:$P$27)</f>
        <v>2.67389635063809E-005</v>
      </c>
      <c r="AO272" s="60" t="n">
        <f aca="false">AM272*$C$9/($C$10*$C$8)^2</f>
        <v>0.21776909410545</v>
      </c>
      <c r="AP272" s="60" t="n">
        <f aca="false">AN272*$C$9/($C$10*$C$8)</f>
        <v>0.0918845243259994</v>
      </c>
      <c r="AQ272" s="60" t="n">
        <f aca="false">CHOOSE($C$7,-(1+AP272),-1,-(1-AP272))</f>
        <v>-0.908115475674001</v>
      </c>
      <c r="AR272" s="60" t="n">
        <f aca="false">CHOOSE($C$7,AO272,AO272-AP272-AP272^2,AO272-3*AP272^2-2*AP272)</f>
        <v>0.00867174802160559</v>
      </c>
      <c r="AS272" s="60" t="n">
        <f aca="false">CHOOSE($C$7,-AO272*AP272,-AO272*AP272,-(AO272*AP272-AP272^2-AP272^3))</f>
        <v>-0.0107910842936637</v>
      </c>
      <c r="AT272" s="60" t="n">
        <f aca="false">AR272-AQ272^2/3</f>
        <v>-0.266219491031267</v>
      </c>
      <c r="AU272" s="60" t="n">
        <f aca="false">2*AQ272^3/27-AQ272*AR272/3+AS272</f>
        <v>-0.0636400988362784</v>
      </c>
      <c r="AV272" s="60" t="n">
        <f aca="false">AU272^2/4+AT272^3/27</f>
        <v>0.000313710901361829</v>
      </c>
      <c r="AW272" s="60" t="n">
        <f aca="false">-AU272/2-IF(AU272&gt;=0,1,-1)*SQRT(MAX(AV272,0))</f>
        <v>0.0495319352963236</v>
      </c>
      <c r="AX272" s="60" t="n">
        <f aca="false">SIGN(AW272)*ABS(AW272)^(1/3)</f>
        <v>0.367249967174439</v>
      </c>
      <c r="AY272" s="60" t="n">
        <f aca="false">IF(AX272=0,0,AX272-AT272/(3*AX272))</f>
        <v>0.60888329127384</v>
      </c>
      <c r="AZ272" s="60" t="n">
        <f aca="false">2*SQRT(MAX(-AT272,0)/3)</f>
        <v>0.595784626668918</v>
      </c>
      <c r="BA272" s="60" t="n">
        <f aca="false">ACOS(IF(AZ272=0,0,MAX(-1,MIN(1,3*AU272/(AT272*AZ272)))))</f>
        <v>0</v>
      </c>
      <c r="BB272" s="60" t="n">
        <f aca="false">AZ272*COS(BA272/3)</f>
        <v>0.595784626668918</v>
      </c>
      <c r="BC272" s="60" t="n">
        <f aca="false">IF(AV272&lt;0,BB272,AY272)-AQ272/3</f>
        <v>0.91158844983184</v>
      </c>
      <c r="BD272" s="60" t="n">
        <f aca="false">IFERROR((((BC272+AQ272)*BC272+AR272)*BC272+AS272)/((3*BC272+2*AQ272)*BC272+AR272),0)</f>
        <v>0</v>
      </c>
      <c r="BE272" s="60" t="n">
        <f aca="false">IF(ABS(BD272)&lt;0.1*ABS(BC272),BC272-BD272,BC272)</f>
        <v>0.91158844983184</v>
      </c>
      <c r="BF272" s="60" t="n">
        <f aca="false">IFERROR((((BE272+AQ272)*BE272+AR272)*BE272+AS272)/((3*BE272+2*AQ272)*BE272+AR272),0)</f>
        <v>0</v>
      </c>
      <c r="BG272" s="60" t="n">
        <f aca="false">IF(ABS(BF272)&lt;0.1*ABS(BE272),BE272-BF272,BE272)</f>
        <v>0.91158844983184</v>
      </c>
      <c r="BH272" s="60" t="n">
        <f aca="false">-AS272/BG272</f>
        <v>0.0118376711504565</v>
      </c>
      <c r="BI272" s="60" t="n">
        <f aca="false">(AR272-BH272)/BG272</f>
        <v>-0.00347297415783941</v>
      </c>
      <c r="BJ272" s="60" t="n">
        <f aca="false">BI272^2-4*BH272</f>
        <v>-0.0473386230523248</v>
      </c>
      <c r="BK272" s="60" t="n">
        <f aca="false">IF(BJ272&gt;=0,(BI272+IF(BI272&gt;=0,1,-1)*SQRT(BJ272))/2,0)</f>
        <v>0</v>
      </c>
      <c r="BL272" s="60" t="n">
        <f aca="false">IF(AND(BJ272&gt;=0,BK272&lt;&gt;0),MIN(BK272,BH272/BK272),-1)</f>
        <v>-1</v>
      </c>
      <c r="BM272" s="60" t="n">
        <f aca="false">AND(BJ272&gt;=0,BL272&gt;AP272,ABS(BG272-BL272)&gt;=0.00005*MAX(BG272,BL272))</f>
        <v>0</v>
      </c>
      <c r="BN272" s="60" t="n">
        <f aca="false">IF(BM272,IFERROR((((BL272+AQ272)*BL272+AR272)*BL272+AS272)/((3*BL272+2*AQ272)*BL272+AR272),0),0)</f>
        <v>0</v>
      </c>
      <c r="BO272" s="60" t="n">
        <f aca="false">IF(ABS(BN272)&lt;0.1*ABS(BL272),BL272-BN272,BL272)</f>
        <v>-1</v>
      </c>
      <c r="BP272" s="60" t="n">
        <f aca="false">IF(BM272,IFERROR((((BO272+AQ272)*BO272+AR272)*BO272+AS272)/((3*BO272+2*AQ272)*BO272+AR272),0),0)</f>
        <v>0</v>
      </c>
      <c r="BQ272" s="60" t="n">
        <f aca="false">IF(ABS(BP272)&lt;0.1*ABS(BO272),BO272-BP272,BO272)</f>
        <v>-1</v>
      </c>
      <c r="BR272" s="60" t="n">
        <f aca="false">IF(BM272,MAX(BG272,BQ272),BG272)</f>
        <v>0.91158844983184</v>
      </c>
      <c r="BS272" s="60" t="n">
        <f aca="false">IF(BM272,MIN(BG272,BQ272),-1)</f>
        <v>-1</v>
      </c>
      <c r="BT272" s="60" t="n">
        <f aca="false">CHOOSE($C$7,AO272/BR272,AO272/AP272*LN(1+AP272/BR272),AO272/(2*SQRT(2)*AP272)*LN((BR272+(1+SQRT(2))*AP272)/(BR272+(1-SQRT(2))*AP272)))</f>
        <v>0.218240791233887</v>
      </c>
      <c r="BU272" s="60" t="n">
        <f aca="false">BR272-1-LN(BR272-AP272)-BT272</f>
        <v>-0.107840271021729</v>
      </c>
      <c r="BV272" s="60" t="n">
        <f aca="false">IF(BM272,CHOOSE($C$7,AO272/BS272,AO272/AP272*LN(1+AP272/BS272),AO272/(2*SQRT(2)*AP272)*LN((BS272+(1+SQRT(2))*AP272)/(BS272+(1-SQRT(2))*AP272))),0)</f>
        <v>0</v>
      </c>
      <c r="BW272" s="60" t="n">
        <f aca="false">IF(BM272,BS272-1-LN(BS272-AP272)-BV272,0)</f>
        <v>0</v>
      </c>
      <c r="BX272" s="60" t="n">
        <f aca="false">AND(BM272,BW272&lt;BU272)</f>
        <v>0</v>
      </c>
      <c r="BY272" s="60" t="n">
        <f aca="false">IF(BX272,BS272,BR272)</f>
        <v>0.91158844983184</v>
      </c>
      <c r="BZ272" s="60" t="n">
        <f aca="false">IF(BX272,BV272,BT272)</f>
        <v>0.218240791233887</v>
      </c>
      <c r="CA272" s="60" t="n">
        <f aca="false">LN(BY272-AP272)</f>
        <v>-0.198812070380318</v>
      </c>
      <c r="CB272" s="60" t="n">
        <f aca="false">$E$27/AN272*(BY272-1)-CA272-BZ272*(2*AA272/AM272-$E$27/AN272)</f>
        <v>-0.107840271021729</v>
      </c>
      <c r="CC272" s="60" t="n">
        <f aca="false">$F$27/AN272*(BY272-1)-CA272-BZ272*(2*AB272/AM272-$F$27/AN272)</f>
        <v>0.198812070380318</v>
      </c>
      <c r="CD272" s="60" t="n">
        <f aca="false">$G$27/AN272*(BY272-1)-CA272-BZ272*(2*AC272/AM272-$G$27/AN272)</f>
        <v>0.198812070380318</v>
      </c>
      <c r="CE272" s="60" t="n">
        <f aca="false">$H$27/AN272*(BY272-1)-CA272-BZ272*(2*AD272/AM272-$H$27/AN272)</f>
        <v>0.198812070380318</v>
      </c>
      <c r="CF272" s="60" t="n">
        <f aca="false">$I$27/AN272*(BY272-1)-CA272-BZ272*(2*AE272/AM272-$I$27/AN272)</f>
        <v>0.198812070380318</v>
      </c>
      <c r="CG272" s="60" t="n">
        <f aca="false">$J$27/AN272*(BY272-1)-CA272-BZ272*(2*AF272/AM272-$J$27/AN272)</f>
        <v>0.198812070380318</v>
      </c>
      <c r="CH272" s="60" t="n">
        <f aca="false">$K$27/AN272*(BY272-1)-CA272-BZ272*(2*AG272/AM272-$K$27/AN272)</f>
        <v>0.198812070380318</v>
      </c>
      <c r="CI272" s="60" t="n">
        <f aca="false">$L$27/AN272*(BY272-1)-CA272-BZ272*(2*AH272/AM272-$L$27/AN272)</f>
        <v>0.198812070380318</v>
      </c>
      <c r="CJ272" s="60" t="n">
        <f aca="false">$M$27/AN272*(BY272-1)-CA272-BZ272*(2*AI272/AM272-$M$27/AN272)</f>
        <v>0.198812070380318</v>
      </c>
      <c r="CK272" s="60" t="n">
        <f aca="false">$N$27/AN272*(BY272-1)-CA272-BZ272*(2*AJ272/AM272-$N$27/AN272)</f>
        <v>0.198812070380318</v>
      </c>
      <c r="CL272" s="60" t="n">
        <f aca="false">$O$27/AN272*(BY272-1)-CA272-BZ272*(2*AK272/AM272-$O$27/AN272)</f>
        <v>0.198812070380318</v>
      </c>
      <c r="CM272" s="60" t="n">
        <f aca="false">$P$27/AN272*(BY272-1)-CA272-BZ272*(2*AL272/AM272-$P$27/AN272)</f>
        <v>0.198812070380318</v>
      </c>
      <c r="CN272" s="60" t="n">
        <f aca="false">AP272/BY272&gt;$C$22</f>
        <v>0</v>
      </c>
      <c r="CO272" s="60" t="n">
        <f aca="false">1-N272+SUMPRODUCT(B272:M272,CB272:CM272)-SUMPRODUCT(B272:M272,CB271:CM271)</f>
        <v>0</v>
      </c>
      <c r="CP272" s="60" t="n">
        <f aca="false">SUMXMY2(O272:Z272,$E$13:$P$13)</f>
        <v>0</v>
      </c>
    </row>
    <row r="273" customFormat="false" ht="15" hidden="false" customHeight="false" outlineLevel="0" collapsed="false">
      <c r="A273" s="59" t="n">
        <v>20</v>
      </c>
      <c r="B273" s="60" t="n">
        <f aca="false">$E$13*EXP(MAX(-700,MIN(700,$E$86-CB272)))</f>
        <v>1</v>
      </c>
      <c r="C273" s="60" t="n">
        <f aca="false">$F$13*EXP(MAX(-700,MIN(700,$F$86-CC272)))</f>
        <v>0</v>
      </c>
      <c r="D273" s="60" t="n">
        <f aca="false">$G$13*EXP(MAX(-700,MIN(700,$G$86-CD272)))</f>
        <v>0</v>
      </c>
      <c r="E273" s="60" t="n">
        <f aca="false">$H$13*EXP(MAX(-700,MIN(700,$H$86-CE272)))</f>
        <v>0</v>
      </c>
      <c r="F273" s="60" t="n">
        <f aca="false">$I$13*EXP(MAX(-700,MIN(700,$I$86-CF272)))</f>
        <v>0</v>
      </c>
      <c r="G273" s="60" t="n">
        <f aca="false">$J$13*EXP(MAX(-700,MIN(700,$J$86-CG272)))</f>
        <v>0</v>
      </c>
      <c r="H273" s="60" t="n">
        <f aca="false">$K$13*EXP(MAX(-700,MIN(700,$K$86-CH272)))</f>
        <v>0</v>
      </c>
      <c r="I273" s="60" t="n">
        <f aca="false">$L$13*EXP(MAX(-700,MIN(700,$L$86-CI272)))</f>
        <v>0</v>
      </c>
      <c r="J273" s="60" t="n">
        <f aca="false">$M$13*EXP(MAX(-700,MIN(700,$M$86-CJ272)))</f>
        <v>0</v>
      </c>
      <c r="K273" s="60" t="n">
        <f aca="false">$N$13*EXP(MAX(-700,MIN(700,$N$86-CK272)))</f>
        <v>0</v>
      </c>
      <c r="L273" s="60" t="n">
        <f aca="false">$O$13*EXP(MAX(-700,MIN(700,$O$86-CL272)))</f>
        <v>0</v>
      </c>
      <c r="M273" s="60" t="n">
        <f aca="false">$P$13*EXP(MAX(-700,MIN(700,$P$86-CM272)))</f>
        <v>0</v>
      </c>
      <c r="N273" s="60" t="n">
        <f aca="false">SUM(B273:M273)</f>
        <v>1</v>
      </c>
      <c r="O273" s="60" t="n">
        <f aca="false">B273/N273</f>
        <v>1</v>
      </c>
      <c r="P273" s="60" t="n">
        <f aca="false">C273/N273</f>
        <v>0</v>
      </c>
      <c r="Q273" s="60" t="n">
        <f aca="false">D273/N273</f>
        <v>0</v>
      </c>
      <c r="R273" s="60" t="n">
        <f aca="false">E273/N273</f>
        <v>0</v>
      </c>
      <c r="S273" s="60" t="n">
        <f aca="false">F273/N273</f>
        <v>0</v>
      </c>
      <c r="T273" s="60" t="n">
        <f aca="false">G273/N273</f>
        <v>0</v>
      </c>
      <c r="U273" s="60" t="n">
        <f aca="false">H273/N273</f>
        <v>0</v>
      </c>
      <c r="V273" s="60" t="n">
        <f aca="false">I273/N273</f>
        <v>0</v>
      </c>
      <c r="W273" s="60" t="n">
        <f aca="false">J273/N273</f>
        <v>0</v>
      </c>
      <c r="X273" s="60" t="n">
        <f aca="false">K273/N273</f>
        <v>0</v>
      </c>
      <c r="Y273" s="60" t="n">
        <f aca="false">L273/N273</f>
        <v>0</v>
      </c>
      <c r="Z273" s="60" t="n">
        <f aca="false">M273/N273</f>
        <v>0</v>
      </c>
      <c r="AA273" s="60" t="n">
        <f aca="false">$E$28*SUMPRODUCT($E$31:$P$31,O273:Z273,$E$28:$P$28)</f>
        <v>0.184416866619846</v>
      </c>
      <c r="AB273" s="60" t="n">
        <f aca="false">$F$28*SUMPRODUCT($E$32:$P$32,O273:Z273,$E$28:$P$28)</f>
        <v>0</v>
      </c>
      <c r="AC273" s="60" t="n">
        <f aca="false">$G$28*SUMPRODUCT($E$33:$P$33,O273:Z273,$E$28:$P$28)</f>
        <v>0</v>
      </c>
      <c r="AD273" s="60" t="n">
        <f aca="false">$H$28*SUMPRODUCT($E$34:$P$34,O273:Z273,$E$28:$P$28)</f>
        <v>0</v>
      </c>
      <c r="AE273" s="60" t="n">
        <f aca="false">$I$28*SUMPRODUCT($E$35:$P$35,O273:Z273,$E$28:$P$28)</f>
        <v>0</v>
      </c>
      <c r="AF273" s="60" t="n">
        <f aca="false">$J$28*SUMPRODUCT($E$36:$P$36,O273:Z273,$E$28:$P$28)</f>
        <v>0</v>
      </c>
      <c r="AG273" s="60" t="n">
        <f aca="false">$K$28*SUMPRODUCT($E$37:$P$37,O273:Z273,$E$28:$P$28)</f>
        <v>0</v>
      </c>
      <c r="AH273" s="60" t="n">
        <f aca="false">$L$28*SUMPRODUCT($E$38:$P$38,O273:Z273,$E$28:$P$28)</f>
        <v>0</v>
      </c>
      <c r="AI273" s="60" t="n">
        <f aca="false">$M$28*SUMPRODUCT($E$39:$P$39,O273:Z273,$E$28:$P$28)</f>
        <v>0</v>
      </c>
      <c r="AJ273" s="60" t="n">
        <f aca="false">$N$28*SUMPRODUCT($E$40:$P$40,O273:Z273,$E$28:$P$28)</f>
        <v>0</v>
      </c>
      <c r="AK273" s="60" t="n">
        <f aca="false">$O$28*SUMPRODUCT($E$41:$P$41,O273:Z273,$E$28:$P$28)</f>
        <v>0</v>
      </c>
      <c r="AL273" s="60" t="n">
        <f aca="false">$P$28*SUMPRODUCT($E$42:$P$42,O273:Z273,$E$28:$P$28)</f>
        <v>0</v>
      </c>
      <c r="AM273" s="60" t="n">
        <f aca="false">SUMPRODUCT(O273:Z273,AA273:AL273)</f>
        <v>0.184416866619846</v>
      </c>
      <c r="AN273" s="60" t="n">
        <f aca="false">SUMPRODUCT(O273:Z273,$E$27:$P$27)</f>
        <v>2.67389635063809E-005</v>
      </c>
      <c r="AO273" s="60" t="n">
        <f aca="false">AM273*$C$9/($C$10*$C$8)^2</f>
        <v>0.21776909410545</v>
      </c>
      <c r="AP273" s="60" t="n">
        <f aca="false">AN273*$C$9/($C$10*$C$8)</f>
        <v>0.0918845243259994</v>
      </c>
      <c r="AQ273" s="60" t="n">
        <f aca="false">CHOOSE($C$7,-(1+AP273),-1,-(1-AP273))</f>
        <v>-0.908115475674001</v>
      </c>
      <c r="AR273" s="60" t="n">
        <f aca="false">CHOOSE($C$7,AO273,AO273-AP273-AP273^2,AO273-3*AP273^2-2*AP273)</f>
        <v>0.00867174802160559</v>
      </c>
      <c r="AS273" s="60" t="n">
        <f aca="false">CHOOSE($C$7,-AO273*AP273,-AO273*AP273,-(AO273*AP273-AP273^2-AP273^3))</f>
        <v>-0.0107910842936637</v>
      </c>
      <c r="AT273" s="60" t="n">
        <f aca="false">AR273-AQ273^2/3</f>
        <v>-0.266219491031267</v>
      </c>
      <c r="AU273" s="60" t="n">
        <f aca="false">2*AQ273^3/27-AQ273*AR273/3+AS273</f>
        <v>-0.0636400988362784</v>
      </c>
      <c r="AV273" s="60" t="n">
        <f aca="false">AU273^2/4+AT273^3/27</f>
        <v>0.000313710901361829</v>
      </c>
      <c r="AW273" s="60" t="n">
        <f aca="false">-AU273/2-IF(AU273&gt;=0,1,-1)*SQRT(MAX(AV273,0))</f>
        <v>0.0495319352963236</v>
      </c>
      <c r="AX273" s="60" t="n">
        <f aca="false">SIGN(AW273)*ABS(AW273)^(1/3)</f>
        <v>0.367249967174439</v>
      </c>
      <c r="AY273" s="60" t="n">
        <f aca="false">IF(AX273=0,0,AX273-AT273/(3*AX273))</f>
        <v>0.60888329127384</v>
      </c>
      <c r="AZ273" s="60" t="n">
        <f aca="false">2*SQRT(MAX(-AT273,0)/3)</f>
        <v>0.595784626668918</v>
      </c>
      <c r="BA273" s="60" t="n">
        <f aca="false">ACOS(IF(AZ273=0,0,MAX(-1,MIN(1,3*AU273/(AT273*AZ273)))))</f>
        <v>0</v>
      </c>
      <c r="BB273" s="60" t="n">
        <f aca="false">AZ273*COS(BA273/3)</f>
        <v>0.595784626668918</v>
      </c>
      <c r="BC273" s="60" t="n">
        <f aca="false">IF(AV273&lt;0,BB273,AY273)-AQ273/3</f>
        <v>0.91158844983184</v>
      </c>
      <c r="BD273" s="60" t="n">
        <f aca="false">IFERROR((((BC273+AQ273)*BC273+AR273)*BC273+AS273)/((3*BC273+2*AQ273)*BC273+AR273),0)</f>
        <v>0</v>
      </c>
      <c r="BE273" s="60" t="n">
        <f aca="false">IF(ABS(BD273)&lt;0.1*ABS(BC273),BC273-BD273,BC273)</f>
        <v>0.91158844983184</v>
      </c>
      <c r="BF273" s="60" t="n">
        <f aca="false">IFERROR((((BE273+AQ273)*BE273+AR273)*BE273+AS273)/((3*BE273+2*AQ273)*BE273+AR273),0)</f>
        <v>0</v>
      </c>
      <c r="BG273" s="60" t="n">
        <f aca="false">IF(ABS(BF273)&lt;0.1*ABS(BE273),BE273-BF273,BE273)</f>
        <v>0.91158844983184</v>
      </c>
      <c r="BH273" s="60" t="n">
        <f aca="false">-AS273/BG273</f>
        <v>0.0118376711504565</v>
      </c>
      <c r="BI273" s="60" t="n">
        <f aca="false">(AR273-BH273)/BG273</f>
        <v>-0.00347297415783941</v>
      </c>
      <c r="BJ273" s="60" t="n">
        <f aca="false">BI273^2-4*BH273</f>
        <v>-0.0473386230523248</v>
      </c>
      <c r="BK273" s="60" t="n">
        <f aca="false">IF(BJ273&gt;=0,(BI273+IF(BI273&gt;=0,1,-1)*SQRT(BJ273))/2,0)</f>
        <v>0</v>
      </c>
      <c r="BL273" s="60" t="n">
        <f aca="false">IF(AND(BJ273&gt;=0,BK273&lt;&gt;0),MIN(BK273,BH273/BK273),-1)</f>
        <v>-1</v>
      </c>
      <c r="BM273" s="60" t="n">
        <f aca="false">AND(BJ273&gt;=0,BL273&gt;AP273,ABS(BG273-BL273)&gt;=0.00005*MAX(BG273,BL273))</f>
        <v>0</v>
      </c>
      <c r="BN273" s="60" t="n">
        <f aca="false">IF(BM273,IFERROR((((BL273+AQ273)*BL273+AR273)*BL273+AS273)/((3*BL273+2*AQ273)*BL273+AR273),0),0)</f>
        <v>0</v>
      </c>
      <c r="BO273" s="60" t="n">
        <f aca="false">IF(ABS(BN273)&lt;0.1*ABS(BL273),BL273-BN273,BL273)</f>
        <v>-1</v>
      </c>
      <c r="BP273" s="60" t="n">
        <f aca="false">IF(BM273,IFERROR((((BO273+AQ273)*BO273+AR273)*BO273+AS273)/((3*BO273+2*AQ273)*BO273+AR273),0),0)</f>
        <v>0</v>
      </c>
      <c r="BQ273" s="60" t="n">
        <f aca="false">IF(ABS(BP273)&lt;0.1*ABS(BO273),BO273-BP273,BO273)</f>
        <v>-1</v>
      </c>
      <c r="BR273" s="60" t="n">
        <f aca="false">IF(BM273,MAX(BG273,BQ273),BG273)</f>
        <v>0.91158844983184</v>
      </c>
      <c r="BS273" s="60" t="n">
        <f aca="false">IF(BM273,MIN(BG273,BQ273),-1)</f>
        <v>-1</v>
      </c>
      <c r="BT273" s="60" t="n">
        <f aca="false">CHOOSE($C$7,AO273/BR273,AO273/AP273*LN(1+AP273/BR273),AO273/(2*SQRT(2)*AP273)*LN((BR273+(1+SQRT(2))*AP273)/(BR273+(1-SQRT(2))*AP273)))</f>
        <v>0.218240791233887</v>
      </c>
      <c r="BU273" s="60" t="n">
        <f aca="false">BR273-1-LN(BR273-AP273)-BT273</f>
        <v>-0.107840271021729</v>
      </c>
      <c r="BV273" s="60" t="n">
        <f aca="false">IF(BM273,CHOOSE($C$7,AO273/BS273,AO273/AP273*LN(1+AP273/BS273),AO273/(2*SQRT(2)*AP273)*LN((BS273+(1+SQRT(2))*AP273)/(BS273+(1-SQRT(2))*AP273))),0)</f>
        <v>0</v>
      </c>
      <c r="BW273" s="60" t="n">
        <f aca="false">IF(BM273,BS273-1-LN(BS273-AP273)-BV273,0)</f>
        <v>0</v>
      </c>
      <c r="BX273" s="60" t="n">
        <f aca="false">AND(BM273,BW273&lt;BU273)</f>
        <v>0</v>
      </c>
      <c r="BY273" s="60" t="n">
        <f aca="false">IF(BX273,BS273,BR273)</f>
        <v>0.91158844983184</v>
      </c>
      <c r="BZ273" s="60" t="n">
        <f aca="false">IF(BX273,BV273,BT273)</f>
        <v>0.218240791233887</v>
      </c>
      <c r="CA273" s="60" t="n">
        <f aca="false">LN(BY273-AP273)</f>
        <v>-0.198812070380318</v>
      </c>
      <c r="CB273" s="60" t="n">
        <f aca="false">$E$27/AN273*(BY273-1)-CA273-BZ273*(2*AA273/AM273-$E$27/AN273)</f>
        <v>-0.107840271021729</v>
      </c>
      <c r="CC273" s="60" t="n">
        <f aca="false">$F$27/AN273*(BY273-1)-CA273-BZ273*(2*AB273/AM273-$F$27/AN273)</f>
        <v>0.198812070380318</v>
      </c>
      <c r="CD273" s="60" t="n">
        <f aca="false">$G$27/AN273*(BY273-1)-CA273-BZ273*(2*AC273/AM273-$G$27/AN273)</f>
        <v>0.198812070380318</v>
      </c>
      <c r="CE273" s="60" t="n">
        <f aca="false">$H$27/AN273*(BY273-1)-CA273-BZ273*(2*AD273/AM273-$H$27/AN273)</f>
        <v>0.198812070380318</v>
      </c>
      <c r="CF273" s="60" t="n">
        <f aca="false">$I$27/AN273*(BY273-1)-CA273-BZ273*(2*AE273/AM273-$I$27/AN273)</f>
        <v>0.198812070380318</v>
      </c>
      <c r="CG273" s="60" t="n">
        <f aca="false">$J$27/AN273*(BY273-1)-CA273-BZ273*(2*AF273/AM273-$J$27/AN273)</f>
        <v>0.198812070380318</v>
      </c>
      <c r="CH273" s="60" t="n">
        <f aca="false">$K$27/AN273*(BY273-1)-CA273-BZ273*(2*AG273/AM273-$K$27/AN273)</f>
        <v>0.198812070380318</v>
      </c>
      <c r="CI273" s="60" t="n">
        <f aca="false">$L$27/AN273*(BY273-1)-CA273-BZ273*(2*AH273/AM273-$L$27/AN273)</f>
        <v>0.198812070380318</v>
      </c>
      <c r="CJ273" s="60" t="n">
        <f aca="false">$M$27/AN273*(BY273-1)-CA273-BZ273*(2*AI273/AM273-$M$27/AN273)</f>
        <v>0.198812070380318</v>
      </c>
      <c r="CK273" s="60" t="n">
        <f aca="false">$N$27/AN273*(BY273-1)-CA273-BZ273*(2*AJ273/AM273-$N$27/AN273)</f>
        <v>0.198812070380318</v>
      </c>
      <c r="CL273" s="60" t="n">
        <f aca="false">$O$27/AN273*(BY273-1)-CA273-BZ273*(2*AK273/AM273-$O$27/AN273)</f>
        <v>0.198812070380318</v>
      </c>
      <c r="CM273" s="60" t="n">
        <f aca="false">$P$27/AN273*(BY273-1)-CA273-BZ273*(2*AL273/AM273-$P$27/AN273)</f>
        <v>0.198812070380318</v>
      </c>
      <c r="CN273" s="60" t="n">
        <f aca="false">AP273/BY273&gt;$C$22</f>
        <v>0</v>
      </c>
      <c r="CO273" s="60" t="n">
        <f aca="false">1-N273+SUMPRODUCT(B273:M273,CB273:CM273)-SUMPRODUCT(B273:M273,CB272:CM272)</f>
        <v>0</v>
      </c>
      <c r="CP273" s="60" t="n">
        <f aca="false">SUMXMY2(O273:Z273,$E$13:$P$13)</f>
        <v>0</v>
      </c>
    </row>
    <row r="274" customFormat="false" ht="15" hidden="false" customHeight="false" outlineLevel="0" collapsed="false">
      <c r="A274" s="59" t="n">
        <v>21</v>
      </c>
      <c r="B274" s="60" t="n">
        <f aca="false">$E$13*EXP(MAX(-700,MIN(700,$E$86-CB273)))</f>
        <v>1</v>
      </c>
      <c r="C274" s="60" t="n">
        <f aca="false">$F$13*EXP(MAX(-700,MIN(700,$F$86-CC273)))</f>
        <v>0</v>
      </c>
      <c r="D274" s="60" t="n">
        <f aca="false">$G$13*EXP(MAX(-700,MIN(700,$G$86-CD273)))</f>
        <v>0</v>
      </c>
      <c r="E274" s="60" t="n">
        <f aca="false">$H$13*EXP(MAX(-700,MIN(700,$H$86-CE273)))</f>
        <v>0</v>
      </c>
      <c r="F274" s="60" t="n">
        <f aca="false">$I$13*EXP(MAX(-700,MIN(700,$I$86-CF273)))</f>
        <v>0</v>
      </c>
      <c r="G274" s="60" t="n">
        <f aca="false">$J$13*EXP(MAX(-700,MIN(700,$J$86-CG273)))</f>
        <v>0</v>
      </c>
      <c r="H274" s="60" t="n">
        <f aca="false">$K$13*EXP(MAX(-700,MIN(700,$K$86-CH273)))</f>
        <v>0</v>
      </c>
      <c r="I274" s="60" t="n">
        <f aca="false">$L$13*EXP(MAX(-700,MIN(700,$L$86-CI273)))</f>
        <v>0</v>
      </c>
      <c r="J274" s="60" t="n">
        <f aca="false">$M$13*EXP(MAX(-700,MIN(700,$M$86-CJ273)))</f>
        <v>0</v>
      </c>
      <c r="K274" s="60" t="n">
        <f aca="false">$N$13*EXP(MAX(-700,MIN(700,$N$86-CK273)))</f>
        <v>0</v>
      </c>
      <c r="L274" s="60" t="n">
        <f aca="false">$O$13*EXP(MAX(-700,MIN(700,$O$86-CL273)))</f>
        <v>0</v>
      </c>
      <c r="M274" s="60" t="n">
        <f aca="false">$P$13*EXP(MAX(-700,MIN(700,$P$86-CM273)))</f>
        <v>0</v>
      </c>
      <c r="N274" s="60" t="n">
        <f aca="false">SUM(B274:M274)</f>
        <v>1</v>
      </c>
      <c r="O274" s="60" t="n">
        <f aca="false">B274/N274</f>
        <v>1</v>
      </c>
      <c r="P274" s="60" t="n">
        <f aca="false">C274/N274</f>
        <v>0</v>
      </c>
      <c r="Q274" s="60" t="n">
        <f aca="false">D274/N274</f>
        <v>0</v>
      </c>
      <c r="R274" s="60" t="n">
        <f aca="false">E274/N274</f>
        <v>0</v>
      </c>
      <c r="S274" s="60" t="n">
        <f aca="false">F274/N274</f>
        <v>0</v>
      </c>
      <c r="T274" s="60" t="n">
        <f aca="false">G274/N274</f>
        <v>0</v>
      </c>
      <c r="U274" s="60" t="n">
        <f aca="false">H274/N274</f>
        <v>0</v>
      </c>
      <c r="V274" s="60" t="n">
        <f aca="false">I274/N274</f>
        <v>0</v>
      </c>
      <c r="W274" s="60" t="n">
        <f aca="false">J274/N274</f>
        <v>0</v>
      </c>
      <c r="X274" s="60" t="n">
        <f aca="false">K274/N274</f>
        <v>0</v>
      </c>
      <c r="Y274" s="60" t="n">
        <f aca="false">L274/N274</f>
        <v>0</v>
      </c>
      <c r="Z274" s="60" t="n">
        <f aca="false">M274/N274</f>
        <v>0</v>
      </c>
      <c r="AA274" s="60" t="n">
        <f aca="false">$E$28*SUMPRODUCT($E$31:$P$31,O274:Z274,$E$28:$P$28)</f>
        <v>0.184416866619846</v>
      </c>
      <c r="AB274" s="60" t="n">
        <f aca="false">$F$28*SUMPRODUCT($E$32:$P$32,O274:Z274,$E$28:$P$28)</f>
        <v>0</v>
      </c>
      <c r="AC274" s="60" t="n">
        <f aca="false">$G$28*SUMPRODUCT($E$33:$P$33,O274:Z274,$E$28:$P$28)</f>
        <v>0</v>
      </c>
      <c r="AD274" s="60" t="n">
        <f aca="false">$H$28*SUMPRODUCT($E$34:$P$34,O274:Z274,$E$28:$P$28)</f>
        <v>0</v>
      </c>
      <c r="AE274" s="60" t="n">
        <f aca="false">$I$28*SUMPRODUCT($E$35:$P$35,O274:Z274,$E$28:$P$28)</f>
        <v>0</v>
      </c>
      <c r="AF274" s="60" t="n">
        <f aca="false">$J$28*SUMPRODUCT($E$36:$P$36,O274:Z274,$E$28:$P$28)</f>
        <v>0</v>
      </c>
      <c r="AG274" s="60" t="n">
        <f aca="false">$K$28*SUMPRODUCT($E$37:$P$37,O274:Z274,$E$28:$P$28)</f>
        <v>0</v>
      </c>
      <c r="AH274" s="60" t="n">
        <f aca="false">$L$28*SUMPRODUCT($E$38:$P$38,O274:Z274,$E$28:$P$28)</f>
        <v>0</v>
      </c>
      <c r="AI274" s="60" t="n">
        <f aca="false">$M$28*SUMPRODUCT($E$39:$P$39,O274:Z274,$E$28:$P$28)</f>
        <v>0</v>
      </c>
      <c r="AJ274" s="60" t="n">
        <f aca="false">$N$28*SUMPRODUCT($E$40:$P$40,O274:Z274,$E$28:$P$28)</f>
        <v>0</v>
      </c>
      <c r="AK274" s="60" t="n">
        <f aca="false">$O$28*SUMPRODUCT($E$41:$P$41,O274:Z274,$E$28:$P$28)</f>
        <v>0</v>
      </c>
      <c r="AL274" s="60" t="n">
        <f aca="false">$P$28*SUMPRODUCT($E$42:$P$42,O274:Z274,$E$28:$P$28)</f>
        <v>0</v>
      </c>
      <c r="AM274" s="60" t="n">
        <f aca="false">SUMPRODUCT(O274:Z274,AA274:AL274)</f>
        <v>0.184416866619846</v>
      </c>
      <c r="AN274" s="60" t="n">
        <f aca="false">SUMPRODUCT(O274:Z274,$E$27:$P$27)</f>
        <v>2.67389635063809E-005</v>
      </c>
      <c r="AO274" s="60" t="n">
        <f aca="false">AM274*$C$9/($C$10*$C$8)^2</f>
        <v>0.21776909410545</v>
      </c>
      <c r="AP274" s="60" t="n">
        <f aca="false">AN274*$C$9/($C$10*$C$8)</f>
        <v>0.0918845243259994</v>
      </c>
      <c r="AQ274" s="60" t="n">
        <f aca="false">CHOOSE($C$7,-(1+AP274),-1,-(1-AP274))</f>
        <v>-0.908115475674001</v>
      </c>
      <c r="AR274" s="60" t="n">
        <f aca="false">CHOOSE($C$7,AO274,AO274-AP274-AP274^2,AO274-3*AP274^2-2*AP274)</f>
        <v>0.00867174802160559</v>
      </c>
      <c r="AS274" s="60" t="n">
        <f aca="false">CHOOSE($C$7,-AO274*AP274,-AO274*AP274,-(AO274*AP274-AP274^2-AP274^3))</f>
        <v>-0.0107910842936637</v>
      </c>
      <c r="AT274" s="60" t="n">
        <f aca="false">AR274-AQ274^2/3</f>
        <v>-0.266219491031267</v>
      </c>
      <c r="AU274" s="60" t="n">
        <f aca="false">2*AQ274^3/27-AQ274*AR274/3+AS274</f>
        <v>-0.0636400988362784</v>
      </c>
      <c r="AV274" s="60" t="n">
        <f aca="false">AU274^2/4+AT274^3/27</f>
        <v>0.000313710901361829</v>
      </c>
      <c r="AW274" s="60" t="n">
        <f aca="false">-AU274/2-IF(AU274&gt;=0,1,-1)*SQRT(MAX(AV274,0))</f>
        <v>0.0495319352963236</v>
      </c>
      <c r="AX274" s="60" t="n">
        <f aca="false">SIGN(AW274)*ABS(AW274)^(1/3)</f>
        <v>0.367249967174439</v>
      </c>
      <c r="AY274" s="60" t="n">
        <f aca="false">IF(AX274=0,0,AX274-AT274/(3*AX274))</f>
        <v>0.60888329127384</v>
      </c>
      <c r="AZ274" s="60" t="n">
        <f aca="false">2*SQRT(MAX(-AT274,0)/3)</f>
        <v>0.595784626668918</v>
      </c>
      <c r="BA274" s="60" t="n">
        <f aca="false">ACOS(IF(AZ274=0,0,MAX(-1,MIN(1,3*AU274/(AT274*AZ274)))))</f>
        <v>0</v>
      </c>
      <c r="BB274" s="60" t="n">
        <f aca="false">AZ274*COS(BA274/3)</f>
        <v>0.595784626668918</v>
      </c>
      <c r="BC274" s="60" t="n">
        <f aca="false">IF(AV274&lt;0,BB274,AY274)-AQ274/3</f>
        <v>0.91158844983184</v>
      </c>
      <c r="BD274" s="60" t="n">
        <f aca="false">IFERROR((((BC274+AQ274)*BC274+AR274)*BC274+AS274)/((3*BC274+2*AQ274)*BC274+AR274),0)</f>
        <v>0</v>
      </c>
      <c r="BE274" s="60" t="n">
        <f aca="false">IF(ABS(BD274)&lt;0.1*ABS(BC274),BC274-BD274,BC274)</f>
        <v>0.91158844983184</v>
      </c>
      <c r="BF274" s="60" t="n">
        <f aca="false">IFERROR((((BE274+AQ274)*BE274+AR274)*BE274+AS274)/((3*BE274+2*AQ274)*BE274+AR274),0)</f>
        <v>0</v>
      </c>
      <c r="BG274" s="60" t="n">
        <f aca="false">IF(ABS(BF274)&lt;0.1*ABS(BE274),BE274-BF274,BE274)</f>
        <v>0.91158844983184</v>
      </c>
      <c r="BH274" s="60" t="n">
        <f aca="false">-AS274/BG274</f>
        <v>0.0118376711504565</v>
      </c>
      <c r="BI274" s="60" t="n">
        <f aca="false">(AR274-BH274)/BG274</f>
        <v>-0.00347297415783941</v>
      </c>
      <c r="BJ274" s="60" t="n">
        <f aca="false">BI274^2-4*BH274</f>
        <v>-0.0473386230523248</v>
      </c>
      <c r="BK274" s="60" t="n">
        <f aca="false">IF(BJ274&gt;=0,(BI274+IF(BI274&gt;=0,1,-1)*SQRT(BJ274))/2,0)</f>
        <v>0</v>
      </c>
      <c r="BL274" s="60" t="n">
        <f aca="false">IF(AND(BJ274&gt;=0,BK274&lt;&gt;0),MIN(BK274,BH274/BK274),-1)</f>
        <v>-1</v>
      </c>
      <c r="BM274" s="60" t="n">
        <f aca="false">AND(BJ274&gt;=0,BL274&gt;AP274,ABS(BG274-BL274)&gt;=0.00005*MAX(BG274,BL274))</f>
        <v>0</v>
      </c>
      <c r="BN274" s="60" t="n">
        <f aca="false">IF(BM274,IFERROR((((BL274+AQ274)*BL274+AR274)*BL274+AS274)/((3*BL274+2*AQ274)*BL274+AR274),0),0)</f>
        <v>0</v>
      </c>
      <c r="BO274" s="60" t="n">
        <f aca="false">IF(ABS(BN274)&lt;0.1*ABS(BL274),BL274-BN274,BL274)</f>
        <v>-1</v>
      </c>
      <c r="BP274" s="60" t="n">
        <f aca="false">IF(BM274,IFERROR((((BO274+AQ274)*BO274+AR274)*BO274+AS274)/((3*BO274+2*AQ274)*BO274+AR274),0),0)</f>
        <v>0</v>
      </c>
      <c r="BQ274" s="60" t="n">
        <f aca="false">IF(ABS(BP274)&lt;0.1*ABS(BO274),BO274-BP274,BO274)</f>
        <v>-1</v>
      </c>
      <c r="BR274" s="60" t="n">
        <f aca="false">IF(BM274,MAX(BG274,BQ274),BG274)</f>
        <v>0.91158844983184</v>
      </c>
      <c r="BS274" s="60" t="n">
        <f aca="false">IF(BM274,MIN(BG274,BQ274),-1)</f>
        <v>-1</v>
      </c>
      <c r="BT274" s="60" t="n">
        <f aca="false">CHOOSE($C$7,AO274/BR274,AO274/AP274*LN(1+AP274/BR274),AO274/(2*SQRT(2)*AP274)*LN((BR274+(1+SQRT(2))*AP274)/(BR274+(1-SQRT(2))*AP274)))</f>
        <v>0.218240791233887</v>
      </c>
      <c r="BU274" s="60" t="n">
        <f aca="false">BR274-1-LN(BR274-AP274)-BT274</f>
        <v>-0.107840271021729</v>
      </c>
      <c r="BV274" s="60" t="n">
        <f aca="false">IF(BM274,CHOOSE($C$7,AO274/BS274,AO274/AP274*LN(1+AP274/BS274),AO274/(2*SQRT(2)*AP274)*LN((BS274+(1+SQRT(2))*AP274)/(BS274+(1-SQRT(2))*AP274))),0)</f>
        <v>0</v>
      </c>
      <c r="BW274" s="60" t="n">
        <f aca="false">IF(BM274,BS274-1-LN(BS274-AP274)-BV274,0)</f>
        <v>0</v>
      </c>
      <c r="BX274" s="60" t="n">
        <f aca="false">AND(BM274,BW274&lt;BU274)</f>
        <v>0</v>
      </c>
      <c r="BY274" s="60" t="n">
        <f aca="false">IF(BX274,BS274,BR274)</f>
        <v>0.91158844983184</v>
      </c>
      <c r="BZ274" s="60" t="n">
        <f aca="false">IF(BX274,BV274,BT274)</f>
        <v>0.218240791233887</v>
      </c>
      <c r="CA274" s="60" t="n">
        <f aca="false">LN(BY274-AP274)</f>
        <v>-0.198812070380318</v>
      </c>
      <c r="CB274" s="60" t="n">
        <f aca="false">$E$27/AN274*(BY274-1)-CA274-BZ274*(2*AA274/AM274-$E$27/AN274)</f>
        <v>-0.107840271021729</v>
      </c>
      <c r="CC274" s="60" t="n">
        <f aca="false">$F$27/AN274*(BY274-1)-CA274-BZ274*(2*AB274/AM274-$F$27/AN274)</f>
        <v>0.198812070380318</v>
      </c>
      <c r="CD274" s="60" t="n">
        <f aca="false">$G$27/AN274*(BY274-1)-CA274-BZ274*(2*AC274/AM274-$G$27/AN274)</f>
        <v>0.198812070380318</v>
      </c>
      <c r="CE274" s="60" t="n">
        <f aca="false">$H$27/AN274*(BY274-1)-CA274-BZ274*(2*AD274/AM274-$H$27/AN274)</f>
        <v>0.198812070380318</v>
      </c>
      <c r="CF274" s="60" t="n">
        <f aca="false">$I$27/AN274*(BY274-1)-CA274-BZ274*(2*AE274/AM274-$I$27/AN274)</f>
        <v>0.198812070380318</v>
      </c>
      <c r="CG274" s="60" t="n">
        <f aca="false">$J$27/AN274*(BY274-1)-CA274-BZ274*(2*AF274/AM274-$J$27/AN274)</f>
        <v>0.198812070380318</v>
      </c>
      <c r="CH274" s="60" t="n">
        <f aca="false">$K$27/AN274*(BY274-1)-CA274-BZ274*(2*AG274/AM274-$K$27/AN274)</f>
        <v>0.198812070380318</v>
      </c>
      <c r="CI274" s="60" t="n">
        <f aca="false">$L$27/AN274*(BY274-1)-CA274-BZ274*(2*AH274/AM274-$L$27/AN274)</f>
        <v>0.198812070380318</v>
      </c>
      <c r="CJ274" s="60" t="n">
        <f aca="false">$M$27/AN274*(BY274-1)-CA274-BZ274*(2*AI274/AM274-$M$27/AN274)</f>
        <v>0.198812070380318</v>
      </c>
      <c r="CK274" s="60" t="n">
        <f aca="false">$N$27/AN274*(BY274-1)-CA274-BZ274*(2*AJ274/AM274-$N$27/AN274)</f>
        <v>0.198812070380318</v>
      </c>
      <c r="CL274" s="60" t="n">
        <f aca="false">$O$27/AN274*(BY274-1)-CA274-BZ274*(2*AK274/AM274-$O$27/AN274)</f>
        <v>0.198812070380318</v>
      </c>
      <c r="CM274" s="60" t="n">
        <f aca="false">$P$27/AN274*(BY274-1)-CA274-BZ274*(2*AL274/AM274-$P$27/AN274)</f>
        <v>0.198812070380318</v>
      </c>
      <c r="CN274" s="60" t="n">
        <f aca="false">AP274/BY274&gt;$C$22</f>
        <v>0</v>
      </c>
      <c r="CO274" s="60" t="n">
        <f aca="false">1-N274+SUMPRODUCT(B274:M274,CB274:CM274)-SUMPRODUCT(B274:M274,CB273:CM273)</f>
        <v>0</v>
      </c>
      <c r="CP274" s="60" t="n">
        <f aca="false">SUMXMY2(O274:Z274,$E$13:$P$13)</f>
        <v>0</v>
      </c>
    </row>
    <row r="275" customFormat="false" ht="15" hidden="false" customHeight="false" outlineLevel="0" collapsed="false">
      <c r="A275" s="59" t="n">
        <v>22</v>
      </c>
      <c r="B275" s="60" t="n">
        <f aca="false">$E$13*EXP(MAX(-700,MIN(700,$E$86-CB274)))</f>
        <v>1</v>
      </c>
      <c r="C275" s="60" t="n">
        <f aca="false">$F$13*EXP(MAX(-700,MIN(700,$F$86-CC274)))</f>
        <v>0</v>
      </c>
      <c r="D275" s="60" t="n">
        <f aca="false">$G$13*EXP(MAX(-700,MIN(700,$G$86-CD274)))</f>
        <v>0</v>
      </c>
      <c r="E275" s="60" t="n">
        <f aca="false">$H$13*EXP(MAX(-700,MIN(700,$H$86-CE274)))</f>
        <v>0</v>
      </c>
      <c r="F275" s="60" t="n">
        <f aca="false">$I$13*EXP(MAX(-700,MIN(700,$I$86-CF274)))</f>
        <v>0</v>
      </c>
      <c r="G275" s="60" t="n">
        <f aca="false">$J$13*EXP(MAX(-700,MIN(700,$J$86-CG274)))</f>
        <v>0</v>
      </c>
      <c r="H275" s="60" t="n">
        <f aca="false">$K$13*EXP(MAX(-700,MIN(700,$K$86-CH274)))</f>
        <v>0</v>
      </c>
      <c r="I275" s="60" t="n">
        <f aca="false">$L$13*EXP(MAX(-700,MIN(700,$L$86-CI274)))</f>
        <v>0</v>
      </c>
      <c r="J275" s="60" t="n">
        <f aca="false">$M$13*EXP(MAX(-700,MIN(700,$M$86-CJ274)))</f>
        <v>0</v>
      </c>
      <c r="K275" s="60" t="n">
        <f aca="false">$N$13*EXP(MAX(-700,MIN(700,$N$86-CK274)))</f>
        <v>0</v>
      </c>
      <c r="L275" s="60" t="n">
        <f aca="false">$O$13*EXP(MAX(-700,MIN(700,$O$86-CL274)))</f>
        <v>0</v>
      </c>
      <c r="M275" s="60" t="n">
        <f aca="false">$P$13*EXP(MAX(-700,MIN(700,$P$86-CM274)))</f>
        <v>0</v>
      </c>
      <c r="N275" s="60" t="n">
        <f aca="false">SUM(B275:M275)</f>
        <v>1</v>
      </c>
      <c r="O275" s="60" t="n">
        <f aca="false">B275/N275</f>
        <v>1</v>
      </c>
      <c r="P275" s="60" t="n">
        <f aca="false">C275/N275</f>
        <v>0</v>
      </c>
      <c r="Q275" s="60" t="n">
        <f aca="false">D275/N275</f>
        <v>0</v>
      </c>
      <c r="R275" s="60" t="n">
        <f aca="false">E275/N275</f>
        <v>0</v>
      </c>
      <c r="S275" s="60" t="n">
        <f aca="false">F275/N275</f>
        <v>0</v>
      </c>
      <c r="T275" s="60" t="n">
        <f aca="false">G275/N275</f>
        <v>0</v>
      </c>
      <c r="U275" s="60" t="n">
        <f aca="false">H275/N275</f>
        <v>0</v>
      </c>
      <c r="V275" s="60" t="n">
        <f aca="false">I275/N275</f>
        <v>0</v>
      </c>
      <c r="W275" s="60" t="n">
        <f aca="false">J275/N275</f>
        <v>0</v>
      </c>
      <c r="X275" s="60" t="n">
        <f aca="false">K275/N275</f>
        <v>0</v>
      </c>
      <c r="Y275" s="60" t="n">
        <f aca="false">L275/N275</f>
        <v>0</v>
      </c>
      <c r="Z275" s="60" t="n">
        <f aca="false">M275/N275</f>
        <v>0</v>
      </c>
      <c r="AA275" s="60" t="n">
        <f aca="false">$E$28*SUMPRODUCT($E$31:$P$31,O275:Z275,$E$28:$P$28)</f>
        <v>0.184416866619846</v>
      </c>
      <c r="AB275" s="60" t="n">
        <f aca="false">$F$28*SUMPRODUCT($E$32:$P$32,O275:Z275,$E$28:$P$28)</f>
        <v>0</v>
      </c>
      <c r="AC275" s="60" t="n">
        <f aca="false">$G$28*SUMPRODUCT($E$33:$P$33,O275:Z275,$E$28:$P$28)</f>
        <v>0</v>
      </c>
      <c r="AD275" s="60" t="n">
        <f aca="false">$H$28*SUMPRODUCT($E$34:$P$34,O275:Z275,$E$28:$P$28)</f>
        <v>0</v>
      </c>
      <c r="AE275" s="60" t="n">
        <f aca="false">$I$28*SUMPRODUCT($E$35:$P$35,O275:Z275,$E$28:$P$28)</f>
        <v>0</v>
      </c>
      <c r="AF275" s="60" t="n">
        <f aca="false">$J$28*SUMPRODUCT($E$36:$P$36,O275:Z275,$E$28:$P$28)</f>
        <v>0</v>
      </c>
      <c r="AG275" s="60" t="n">
        <f aca="false">$K$28*SUMPRODUCT($E$37:$P$37,O275:Z275,$E$28:$P$28)</f>
        <v>0</v>
      </c>
      <c r="AH275" s="60" t="n">
        <f aca="false">$L$28*SUMPRODUCT($E$38:$P$38,O275:Z275,$E$28:$P$28)</f>
        <v>0</v>
      </c>
      <c r="AI275" s="60" t="n">
        <f aca="false">$M$28*SUMPRODUCT($E$39:$P$39,O275:Z275,$E$28:$P$28)</f>
        <v>0</v>
      </c>
      <c r="AJ275" s="60" t="n">
        <f aca="false">$N$28*SUMPRODUCT($E$40:$P$40,O275:Z275,$E$28:$P$28)</f>
        <v>0</v>
      </c>
      <c r="AK275" s="60" t="n">
        <f aca="false">$O$28*SUMPRODUCT($E$41:$P$41,O275:Z275,$E$28:$P$28)</f>
        <v>0</v>
      </c>
      <c r="AL275" s="60" t="n">
        <f aca="false">$P$28*SUMPRODUCT($E$42:$P$42,O275:Z275,$E$28:$P$28)</f>
        <v>0</v>
      </c>
      <c r="AM275" s="60" t="n">
        <f aca="false">SUMPRODUCT(O275:Z275,AA275:AL275)</f>
        <v>0.184416866619846</v>
      </c>
      <c r="AN275" s="60" t="n">
        <f aca="false">SUMPRODUCT(O275:Z275,$E$27:$P$27)</f>
        <v>2.67389635063809E-005</v>
      </c>
      <c r="AO275" s="60" t="n">
        <f aca="false">AM275*$C$9/($C$10*$C$8)^2</f>
        <v>0.21776909410545</v>
      </c>
      <c r="AP275" s="60" t="n">
        <f aca="false">AN275*$C$9/($C$10*$C$8)</f>
        <v>0.0918845243259994</v>
      </c>
      <c r="AQ275" s="60" t="n">
        <f aca="false">CHOOSE($C$7,-(1+AP275),-1,-(1-AP275))</f>
        <v>-0.908115475674001</v>
      </c>
      <c r="AR275" s="60" t="n">
        <f aca="false">CHOOSE($C$7,AO275,AO275-AP275-AP275^2,AO275-3*AP275^2-2*AP275)</f>
        <v>0.00867174802160559</v>
      </c>
      <c r="AS275" s="60" t="n">
        <f aca="false">CHOOSE($C$7,-AO275*AP275,-AO275*AP275,-(AO275*AP275-AP275^2-AP275^3))</f>
        <v>-0.0107910842936637</v>
      </c>
      <c r="AT275" s="60" t="n">
        <f aca="false">AR275-AQ275^2/3</f>
        <v>-0.266219491031267</v>
      </c>
      <c r="AU275" s="60" t="n">
        <f aca="false">2*AQ275^3/27-AQ275*AR275/3+AS275</f>
        <v>-0.0636400988362784</v>
      </c>
      <c r="AV275" s="60" t="n">
        <f aca="false">AU275^2/4+AT275^3/27</f>
        <v>0.000313710901361829</v>
      </c>
      <c r="AW275" s="60" t="n">
        <f aca="false">-AU275/2-IF(AU275&gt;=0,1,-1)*SQRT(MAX(AV275,0))</f>
        <v>0.0495319352963236</v>
      </c>
      <c r="AX275" s="60" t="n">
        <f aca="false">SIGN(AW275)*ABS(AW275)^(1/3)</f>
        <v>0.367249967174439</v>
      </c>
      <c r="AY275" s="60" t="n">
        <f aca="false">IF(AX275=0,0,AX275-AT275/(3*AX275))</f>
        <v>0.60888329127384</v>
      </c>
      <c r="AZ275" s="60" t="n">
        <f aca="false">2*SQRT(MAX(-AT275,0)/3)</f>
        <v>0.595784626668918</v>
      </c>
      <c r="BA275" s="60" t="n">
        <f aca="false">ACOS(IF(AZ275=0,0,MAX(-1,MIN(1,3*AU275/(AT275*AZ275)))))</f>
        <v>0</v>
      </c>
      <c r="BB275" s="60" t="n">
        <f aca="false">AZ275*COS(BA275/3)</f>
        <v>0.595784626668918</v>
      </c>
      <c r="BC275" s="60" t="n">
        <f aca="false">IF(AV275&lt;0,BB275,AY275)-AQ275/3</f>
        <v>0.91158844983184</v>
      </c>
      <c r="BD275" s="60" t="n">
        <f aca="false">IFERROR((((BC275+AQ275)*BC275+AR275)*BC275+AS275)/((3*BC275+2*AQ275)*BC275+AR275),0)</f>
        <v>0</v>
      </c>
      <c r="BE275" s="60" t="n">
        <f aca="false">IF(ABS(BD275)&lt;0.1*ABS(BC275),BC275-BD275,BC275)</f>
        <v>0.91158844983184</v>
      </c>
      <c r="BF275" s="60" t="n">
        <f aca="false">IFERROR((((BE275+AQ275)*BE275+AR275)*BE275+AS275)/((3*BE275+2*AQ275)*BE275+AR275),0)</f>
        <v>0</v>
      </c>
      <c r="BG275" s="60" t="n">
        <f aca="false">IF(ABS(BF275)&lt;0.1*ABS(BE275),BE275-BF275,BE275)</f>
        <v>0.91158844983184</v>
      </c>
      <c r="BH275" s="60" t="n">
        <f aca="false">-AS275/BG275</f>
        <v>0.0118376711504565</v>
      </c>
      <c r="BI275" s="60" t="n">
        <f aca="false">(AR275-BH275)/BG275</f>
        <v>-0.00347297415783941</v>
      </c>
      <c r="BJ275" s="60" t="n">
        <f aca="false">BI275^2-4*BH275</f>
        <v>-0.0473386230523248</v>
      </c>
      <c r="BK275" s="60" t="n">
        <f aca="false">IF(BJ275&gt;=0,(BI275+IF(BI275&gt;=0,1,-1)*SQRT(BJ275))/2,0)</f>
        <v>0</v>
      </c>
      <c r="BL275" s="60" t="n">
        <f aca="false">IF(AND(BJ275&gt;=0,BK275&lt;&gt;0),MIN(BK275,BH275/BK275),-1)</f>
        <v>-1</v>
      </c>
      <c r="BM275" s="60" t="n">
        <f aca="false">AND(BJ275&gt;=0,BL275&gt;AP275,ABS(BG275-BL275)&gt;=0.00005*MAX(BG275,BL275))</f>
        <v>0</v>
      </c>
      <c r="BN275" s="60" t="n">
        <f aca="false">IF(BM275,IFERROR((((BL275+AQ275)*BL275+AR275)*BL275+AS275)/((3*BL275+2*AQ275)*BL275+AR275),0),0)</f>
        <v>0</v>
      </c>
      <c r="BO275" s="60" t="n">
        <f aca="false">IF(ABS(BN275)&lt;0.1*ABS(BL275),BL275-BN275,BL275)</f>
        <v>-1</v>
      </c>
      <c r="BP275" s="60" t="n">
        <f aca="false">IF(BM275,IFERROR((((BO275+AQ275)*BO275+AR275)*BO275+AS275)/((3*BO275+2*AQ275)*BO275+AR275),0),0)</f>
        <v>0</v>
      </c>
      <c r="BQ275" s="60" t="n">
        <f aca="false">IF(ABS(BP275)&lt;0.1*ABS(BO275),BO275-BP275,BO275)</f>
        <v>-1</v>
      </c>
      <c r="BR275" s="60" t="n">
        <f aca="false">IF(BM275,MAX(BG275,BQ275),BG275)</f>
        <v>0.91158844983184</v>
      </c>
      <c r="BS275" s="60" t="n">
        <f aca="false">IF(BM275,MIN(BG275,BQ275),-1)</f>
        <v>-1</v>
      </c>
      <c r="BT275" s="60" t="n">
        <f aca="false">CHOOSE($C$7,AO275/BR275,AO275/AP275*LN(1+AP275/BR275),AO275/(2*SQRT(2)*AP275)*LN((BR275+(1+SQRT(2))*AP275)/(BR275+(1-SQRT(2))*AP275)))</f>
        <v>0.218240791233887</v>
      </c>
      <c r="BU275" s="60" t="n">
        <f aca="false">BR275-1-LN(BR275-AP275)-BT275</f>
        <v>-0.107840271021729</v>
      </c>
      <c r="BV275" s="60" t="n">
        <f aca="false">IF(BM275,CHOOSE($C$7,AO275/BS275,AO275/AP275*LN(1+AP275/BS275),AO275/(2*SQRT(2)*AP275)*LN((BS275+(1+SQRT(2))*AP275)/(BS275+(1-SQRT(2))*AP275))),0)</f>
        <v>0</v>
      </c>
      <c r="BW275" s="60" t="n">
        <f aca="false">IF(BM275,BS275-1-LN(BS275-AP275)-BV275,0)</f>
        <v>0</v>
      </c>
      <c r="BX275" s="60" t="n">
        <f aca="false">AND(BM275,BW275&lt;BU275)</f>
        <v>0</v>
      </c>
      <c r="BY275" s="60" t="n">
        <f aca="false">IF(BX275,BS275,BR275)</f>
        <v>0.91158844983184</v>
      </c>
      <c r="BZ275" s="60" t="n">
        <f aca="false">IF(BX275,BV275,BT275)</f>
        <v>0.218240791233887</v>
      </c>
      <c r="CA275" s="60" t="n">
        <f aca="false">LN(BY275-AP275)</f>
        <v>-0.198812070380318</v>
      </c>
      <c r="CB275" s="60" t="n">
        <f aca="false">$E$27/AN275*(BY275-1)-CA275-BZ275*(2*AA275/AM275-$E$27/AN275)</f>
        <v>-0.107840271021729</v>
      </c>
      <c r="CC275" s="60" t="n">
        <f aca="false">$F$27/AN275*(BY275-1)-CA275-BZ275*(2*AB275/AM275-$F$27/AN275)</f>
        <v>0.198812070380318</v>
      </c>
      <c r="CD275" s="60" t="n">
        <f aca="false">$G$27/AN275*(BY275-1)-CA275-BZ275*(2*AC275/AM275-$G$27/AN275)</f>
        <v>0.198812070380318</v>
      </c>
      <c r="CE275" s="60" t="n">
        <f aca="false">$H$27/AN275*(BY275-1)-CA275-BZ275*(2*AD275/AM275-$H$27/AN275)</f>
        <v>0.198812070380318</v>
      </c>
      <c r="CF275" s="60" t="n">
        <f aca="false">$I$27/AN275*(BY275-1)-CA275-BZ275*(2*AE275/AM275-$I$27/AN275)</f>
        <v>0.198812070380318</v>
      </c>
      <c r="CG275" s="60" t="n">
        <f aca="false">$J$27/AN275*(BY275-1)-CA275-BZ275*(2*AF275/AM275-$J$27/AN275)</f>
        <v>0.198812070380318</v>
      </c>
      <c r="CH275" s="60" t="n">
        <f aca="false">$K$27/AN275*(BY275-1)-CA275-BZ275*(2*AG275/AM275-$K$27/AN275)</f>
        <v>0.198812070380318</v>
      </c>
      <c r="CI275" s="60" t="n">
        <f aca="false">$L$27/AN275*(BY275-1)-CA275-BZ275*(2*AH275/AM275-$L$27/AN275)</f>
        <v>0.198812070380318</v>
      </c>
      <c r="CJ275" s="60" t="n">
        <f aca="false">$M$27/AN275*(BY275-1)-CA275-BZ275*(2*AI275/AM275-$M$27/AN275)</f>
        <v>0.198812070380318</v>
      </c>
      <c r="CK275" s="60" t="n">
        <f aca="false">$N$27/AN275*(BY275-1)-CA275-BZ275*(2*AJ275/AM275-$N$27/AN275)</f>
        <v>0.198812070380318</v>
      </c>
      <c r="CL275" s="60" t="n">
        <f aca="false">$O$27/AN275*(BY275-1)-CA275-BZ275*(2*AK275/AM275-$O$27/AN275)</f>
        <v>0.198812070380318</v>
      </c>
      <c r="CM275" s="60" t="n">
        <f aca="false">$P$27/AN275*(BY275-1)-CA275-BZ275*(2*AL275/AM275-$P$27/AN275)</f>
        <v>0.198812070380318</v>
      </c>
      <c r="CN275" s="60" t="n">
        <f aca="false">AP275/BY275&gt;$C$22</f>
        <v>0</v>
      </c>
      <c r="CO275" s="60" t="n">
        <f aca="false">1-N275+SUMPRODUCT(B275:M275,CB275:CM275)-SUMPRODUCT(B275:M275,CB274:CM274)</f>
        <v>0</v>
      </c>
      <c r="CP275" s="60" t="n">
        <f aca="false">SUMXMY2(O275:Z275,$E$13:$P$13)</f>
        <v>0</v>
      </c>
    </row>
    <row r="276" customFormat="false" ht="15" hidden="false" customHeight="false" outlineLevel="0" collapsed="false">
      <c r="A276" s="59" t="n">
        <v>23</v>
      </c>
      <c r="B276" s="60" t="n">
        <f aca="false">$E$13*EXP(MAX(-700,MIN(700,$E$86-CB275)))</f>
        <v>1</v>
      </c>
      <c r="C276" s="60" t="n">
        <f aca="false">$F$13*EXP(MAX(-700,MIN(700,$F$86-CC275)))</f>
        <v>0</v>
      </c>
      <c r="D276" s="60" t="n">
        <f aca="false">$G$13*EXP(MAX(-700,MIN(700,$G$86-CD275)))</f>
        <v>0</v>
      </c>
      <c r="E276" s="60" t="n">
        <f aca="false">$H$13*EXP(MAX(-700,MIN(700,$H$86-CE275)))</f>
        <v>0</v>
      </c>
      <c r="F276" s="60" t="n">
        <f aca="false">$I$13*EXP(MAX(-700,MIN(700,$I$86-CF275)))</f>
        <v>0</v>
      </c>
      <c r="G276" s="60" t="n">
        <f aca="false">$J$13*EXP(MAX(-700,MIN(700,$J$86-CG275)))</f>
        <v>0</v>
      </c>
      <c r="H276" s="60" t="n">
        <f aca="false">$K$13*EXP(MAX(-700,MIN(700,$K$86-CH275)))</f>
        <v>0</v>
      </c>
      <c r="I276" s="60" t="n">
        <f aca="false">$L$13*EXP(MAX(-700,MIN(700,$L$86-CI275)))</f>
        <v>0</v>
      </c>
      <c r="J276" s="60" t="n">
        <f aca="false">$M$13*EXP(MAX(-700,MIN(700,$M$86-CJ275)))</f>
        <v>0</v>
      </c>
      <c r="K276" s="60" t="n">
        <f aca="false">$N$13*EXP(MAX(-700,MIN(700,$N$86-CK275)))</f>
        <v>0</v>
      </c>
      <c r="L276" s="60" t="n">
        <f aca="false">$O$13*EXP(MAX(-700,MIN(700,$O$86-CL275)))</f>
        <v>0</v>
      </c>
      <c r="M276" s="60" t="n">
        <f aca="false">$P$13*EXP(MAX(-700,MIN(700,$P$86-CM275)))</f>
        <v>0</v>
      </c>
      <c r="N276" s="60" t="n">
        <f aca="false">SUM(B276:M276)</f>
        <v>1</v>
      </c>
      <c r="O276" s="60" t="n">
        <f aca="false">B276/N276</f>
        <v>1</v>
      </c>
      <c r="P276" s="60" t="n">
        <f aca="false">C276/N276</f>
        <v>0</v>
      </c>
      <c r="Q276" s="60" t="n">
        <f aca="false">D276/N276</f>
        <v>0</v>
      </c>
      <c r="R276" s="60" t="n">
        <f aca="false">E276/N276</f>
        <v>0</v>
      </c>
      <c r="S276" s="60" t="n">
        <f aca="false">F276/N276</f>
        <v>0</v>
      </c>
      <c r="T276" s="60" t="n">
        <f aca="false">G276/N276</f>
        <v>0</v>
      </c>
      <c r="U276" s="60" t="n">
        <f aca="false">H276/N276</f>
        <v>0</v>
      </c>
      <c r="V276" s="60" t="n">
        <f aca="false">I276/N276</f>
        <v>0</v>
      </c>
      <c r="W276" s="60" t="n">
        <f aca="false">J276/N276</f>
        <v>0</v>
      </c>
      <c r="X276" s="60" t="n">
        <f aca="false">K276/N276</f>
        <v>0</v>
      </c>
      <c r="Y276" s="60" t="n">
        <f aca="false">L276/N276</f>
        <v>0</v>
      </c>
      <c r="Z276" s="60" t="n">
        <f aca="false">M276/N276</f>
        <v>0</v>
      </c>
      <c r="AA276" s="60" t="n">
        <f aca="false">$E$28*SUMPRODUCT($E$31:$P$31,O276:Z276,$E$28:$P$28)</f>
        <v>0.184416866619846</v>
      </c>
      <c r="AB276" s="60" t="n">
        <f aca="false">$F$28*SUMPRODUCT($E$32:$P$32,O276:Z276,$E$28:$P$28)</f>
        <v>0</v>
      </c>
      <c r="AC276" s="60" t="n">
        <f aca="false">$G$28*SUMPRODUCT($E$33:$P$33,O276:Z276,$E$28:$P$28)</f>
        <v>0</v>
      </c>
      <c r="AD276" s="60" t="n">
        <f aca="false">$H$28*SUMPRODUCT($E$34:$P$34,O276:Z276,$E$28:$P$28)</f>
        <v>0</v>
      </c>
      <c r="AE276" s="60" t="n">
        <f aca="false">$I$28*SUMPRODUCT($E$35:$P$35,O276:Z276,$E$28:$P$28)</f>
        <v>0</v>
      </c>
      <c r="AF276" s="60" t="n">
        <f aca="false">$J$28*SUMPRODUCT($E$36:$P$36,O276:Z276,$E$28:$P$28)</f>
        <v>0</v>
      </c>
      <c r="AG276" s="60" t="n">
        <f aca="false">$K$28*SUMPRODUCT($E$37:$P$37,O276:Z276,$E$28:$P$28)</f>
        <v>0</v>
      </c>
      <c r="AH276" s="60" t="n">
        <f aca="false">$L$28*SUMPRODUCT($E$38:$P$38,O276:Z276,$E$28:$P$28)</f>
        <v>0</v>
      </c>
      <c r="AI276" s="60" t="n">
        <f aca="false">$M$28*SUMPRODUCT($E$39:$P$39,O276:Z276,$E$28:$P$28)</f>
        <v>0</v>
      </c>
      <c r="AJ276" s="60" t="n">
        <f aca="false">$N$28*SUMPRODUCT($E$40:$P$40,O276:Z276,$E$28:$P$28)</f>
        <v>0</v>
      </c>
      <c r="AK276" s="60" t="n">
        <f aca="false">$O$28*SUMPRODUCT($E$41:$P$41,O276:Z276,$E$28:$P$28)</f>
        <v>0</v>
      </c>
      <c r="AL276" s="60" t="n">
        <f aca="false">$P$28*SUMPRODUCT($E$42:$P$42,O276:Z276,$E$28:$P$28)</f>
        <v>0</v>
      </c>
      <c r="AM276" s="60" t="n">
        <f aca="false">SUMPRODUCT(O276:Z276,AA276:AL276)</f>
        <v>0.184416866619846</v>
      </c>
      <c r="AN276" s="60" t="n">
        <f aca="false">SUMPRODUCT(O276:Z276,$E$27:$P$27)</f>
        <v>2.67389635063809E-005</v>
      </c>
      <c r="AO276" s="60" t="n">
        <f aca="false">AM276*$C$9/($C$10*$C$8)^2</f>
        <v>0.21776909410545</v>
      </c>
      <c r="AP276" s="60" t="n">
        <f aca="false">AN276*$C$9/($C$10*$C$8)</f>
        <v>0.0918845243259994</v>
      </c>
      <c r="AQ276" s="60" t="n">
        <f aca="false">CHOOSE($C$7,-(1+AP276),-1,-(1-AP276))</f>
        <v>-0.908115475674001</v>
      </c>
      <c r="AR276" s="60" t="n">
        <f aca="false">CHOOSE($C$7,AO276,AO276-AP276-AP276^2,AO276-3*AP276^2-2*AP276)</f>
        <v>0.00867174802160559</v>
      </c>
      <c r="AS276" s="60" t="n">
        <f aca="false">CHOOSE($C$7,-AO276*AP276,-AO276*AP276,-(AO276*AP276-AP276^2-AP276^3))</f>
        <v>-0.0107910842936637</v>
      </c>
      <c r="AT276" s="60" t="n">
        <f aca="false">AR276-AQ276^2/3</f>
        <v>-0.266219491031267</v>
      </c>
      <c r="AU276" s="60" t="n">
        <f aca="false">2*AQ276^3/27-AQ276*AR276/3+AS276</f>
        <v>-0.0636400988362784</v>
      </c>
      <c r="AV276" s="60" t="n">
        <f aca="false">AU276^2/4+AT276^3/27</f>
        <v>0.000313710901361829</v>
      </c>
      <c r="AW276" s="60" t="n">
        <f aca="false">-AU276/2-IF(AU276&gt;=0,1,-1)*SQRT(MAX(AV276,0))</f>
        <v>0.0495319352963236</v>
      </c>
      <c r="AX276" s="60" t="n">
        <f aca="false">SIGN(AW276)*ABS(AW276)^(1/3)</f>
        <v>0.367249967174439</v>
      </c>
      <c r="AY276" s="60" t="n">
        <f aca="false">IF(AX276=0,0,AX276-AT276/(3*AX276))</f>
        <v>0.60888329127384</v>
      </c>
      <c r="AZ276" s="60" t="n">
        <f aca="false">2*SQRT(MAX(-AT276,0)/3)</f>
        <v>0.595784626668918</v>
      </c>
      <c r="BA276" s="60" t="n">
        <f aca="false">ACOS(IF(AZ276=0,0,MAX(-1,MIN(1,3*AU276/(AT276*AZ276)))))</f>
        <v>0</v>
      </c>
      <c r="BB276" s="60" t="n">
        <f aca="false">AZ276*COS(BA276/3)</f>
        <v>0.595784626668918</v>
      </c>
      <c r="BC276" s="60" t="n">
        <f aca="false">IF(AV276&lt;0,BB276,AY276)-AQ276/3</f>
        <v>0.91158844983184</v>
      </c>
      <c r="BD276" s="60" t="n">
        <f aca="false">IFERROR((((BC276+AQ276)*BC276+AR276)*BC276+AS276)/((3*BC276+2*AQ276)*BC276+AR276),0)</f>
        <v>0</v>
      </c>
      <c r="BE276" s="60" t="n">
        <f aca="false">IF(ABS(BD276)&lt;0.1*ABS(BC276),BC276-BD276,BC276)</f>
        <v>0.91158844983184</v>
      </c>
      <c r="BF276" s="60" t="n">
        <f aca="false">IFERROR((((BE276+AQ276)*BE276+AR276)*BE276+AS276)/((3*BE276+2*AQ276)*BE276+AR276),0)</f>
        <v>0</v>
      </c>
      <c r="BG276" s="60" t="n">
        <f aca="false">IF(ABS(BF276)&lt;0.1*ABS(BE276),BE276-BF276,BE276)</f>
        <v>0.91158844983184</v>
      </c>
      <c r="BH276" s="60" t="n">
        <f aca="false">-AS276/BG276</f>
        <v>0.0118376711504565</v>
      </c>
      <c r="BI276" s="60" t="n">
        <f aca="false">(AR276-BH276)/BG276</f>
        <v>-0.00347297415783941</v>
      </c>
      <c r="BJ276" s="60" t="n">
        <f aca="false">BI276^2-4*BH276</f>
        <v>-0.0473386230523248</v>
      </c>
      <c r="BK276" s="60" t="n">
        <f aca="false">IF(BJ276&gt;=0,(BI276+IF(BI276&gt;=0,1,-1)*SQRT(BJ276))/2,0)</f>
        <v>0</v>
      </c>
      <c r="BL276" s="60" t="n">
        <f aca="false">IF(AND(BJ276&gt;=0,BK276&lt;&gt;0),MIN(BK276,BH276/BK276),-1)</f>
        <v>-1</v>
      </c>
      <c r="BM276" s="60" t="n">
        <f aca="false">AND(BJ276&gt;=0,BL276&gt;AP276,ABS(BG276-BL276)&gt;=0.00005*MAX(BG276,BL276))</f>
        <v>0</v>
      </c>
      <c r="BN276" s="60" t="n">
        <f aca="false">IF(BM276,IFERROR((((BL276+AQ276)*BL276+AR276)*BL276+AS276)/((3*BL276+2*AQ276)*BL276+AR276),0),0)</f>
        <v>0</v>
      </c>
      <c r="BO276" s="60" t="n">
        <f aca="false">IF(ABS(BN276)&lt;0.1*ABS(BL276),BL276-BN276,BL276)</f>
        <v>-1</v>
      </c>
      <c r="BP276" s="60" t="n">
        <f aca="false">IF(BM276,IFERROR((((BO276+AQ276)*BO276+AR276)*BO276+AS276)/((3*BO276+2*AQ276)*BO276+AR276),0),0)</f>
        <v>0</v>
      </c>
      <c r="BQ276" s="60" t="n">
        <f aca="false">IF(ABS(BP276)&lt;0.1*ABS(BO276),BO276-BP276,BO276)</f>
        <v>-1</v>
      </c>
      <c r="BR276" s="60" t="n">
        <f aca="false">IF(BM276,MAX(BG276,BQ276),BG276)</f>
        <v>0.91158844983184</v>
      </c>
      <c r="BS276" s="60" t="n">
        <f aca="false">IF(BM276,MIN(BG276,BQ276),-1)</f>
        <v>-1</v>
      </c>
      <c r="BT276" s="60" t="n">
        <f aca="false">CHOOSE($C$7,AO276/BR276,AO276/AP276*LN(1+AP276/BR276),AO276/(2*SQRT(2)*AP276)*LN((BR276+(1+SQRT(2))*AP276)/(BR276+(1-SQRT(2))*AP276)))</f>
        <v>0.218240791233887</v>
      </c>
      <c r="BU276" s="60" t="n">
        <f aca="false">BR276-1-LN(BR276-AP276)-BT276</f>
        <v>-0.107840271021729</v>
      </c>
      <c r="BV276" s="60" t="n">
        <f aca="false">IF(BM276,CHOOSE($C$7,AO276/BS276,AO276/AP276*LN(1+AP276/BS276),AO276/(2*SQRT(2)*AP276)*LN((BS276+(1+SQRT(2))*AP276)/(BS276+(1-SQRT(2))*AP276))),0)</f>
        <v>0</v>
      </c>
      <c r="BW276" s="60" t="n">
        <f aca="false">IF(BM276,BS276-1-LN(BS276-AP276)-BV276,0)</f>
        <v>0</v>
      </c>
      <c r="BX276" s="60" t="n">
        <f aca="false">AND(BM276,BW276&lt;BU276)</f>
        <v>0</v>
      </c>
      <c r="BY276" s="60" t="n">
        <f aca="false">IF(BX276,BS276,BR276)</f>
        <v>0.91158844983184</v>
      </c>
      <c r="BZ276" s="60" t="n">
        <f aca="false">IF(BX276,BV276,BT276)</f>
        <v>0.218240791233887</v>
      </c>
      <c r="CA276" s="60" t="n">
        <f aca="false">LN(BY276-AP276)</f>
        <v>-0.198812070380318</v>
      </c>
      <c r="CB276" s="60" t="n">
        <f aca="false">$E$27/AN276*(BY276-1)-CA276-BZ276*(2*AA276/AM276-$E$27/AN276)</f>
        <v>-0.107840271021729</v>
      </c>
      <c r="CC276" s="60" t="n">
        <f aca="false">$F$27/AN276*(BY276-1)-CA276-BZ276*(2*AB276/AM276-$F$27/AN276)</f>
        <v>0.198812070380318</v>
      </c>
      <c r="CD276" s="60" t="n">
        <f aca="false">$G$27/AN276*(BY276-1)-CA276-BZ276*(2*AC276/AM276-$G$27/AN276)</f>
        <v>0.198812070380318</v>
      </c>
      <c r="CE276" s="60" t="n">
        <f aca="false">$H$27/AN276*(BY276-1)-CA276-BZ276*(2*AD276/AM276-$H$27/AN276)</f>
        <v>0.198812070380318</v>
      </c>
      <c r="CF276" s="60" t="n">
        <f aca="false">$I$27/AN276*(BY276-1)-CA276-BZ276*(2*AE276/AM276-$I$27/AN276)</f>
        <v>0.198812070380318</v>
      </c>
      <c r="CG276" s="60" t="n">
        <f aca="false">$J$27/AN276*(BY276-1)-CA276-BZ276*(2*AF276/AM276-$J$27/AN276)</f>
        <v>0.198812070380318</v>
      </c>
      <c r="CH276" s="60" t="n">
        <f aca="false">$K$27/AN276*(BY276-1)-CA276-BZ276*(2*AG276/AM276-$K$27/AN276)</f>
        <v>0.198812070380318</v>
      </c>
      <c r="CI276" s="60" t="n">
        <f aca="false">$L$27/AN276*(BY276-1)-CA276-BZ276*(2*AH276/AM276-$L$27/AN276)</f>
        <v>0.198812070380318</v>
      </c>
      <c r="CJ276" s="60" t="n">
        <f aca="false">$M$27/AN276*(BY276-1)-CA276-BZ276*(2*AI276/AM276-$M$27/AN276)</f>
        <v>0.198812070380318</v>
      </c>
      <c r="CK276" s="60" t="n">
        <f aca="false">$N$27/AN276*(BY276-1)-CA276-BZ276*(2*AJ276/AM276-$N$27/AN276)</f>
        <v>0.198812070380318</v>
      </c>
      <c r="CL276" s="60" t="n">
        <f aca="false">$O$27/AN276*(BY276-1)-CA276-BZ276*(2*AK276/AM276-$O$27/AN276)</f>
        <v>0.198812070380318</v>
      </c>
      <c r="CM276" s="60" t="n">
        <f aca="false">$P$27/AN276*(BY276-1)-CA276-BZ276*(2*AL276/AM276-$P$27/AN276)</f>
        <v>0.198812070380318</v>
      </c>
      <c r="CN276" s="60" t="n">
        <f aca="false">AP276/BY276&gt;$C$22</f>
        <v>0</v>
      </c>
      <c r="CO276" s="60" t="n">
        <f aca="false">1-N276+SUMPRODUCT(B276:M276,CB276:CM276)-SUMPRODUCT(B276:M276,CB275:CM275)</f>
        <v>0</v>
      </c>
      <c r="CP276" s="60" t="n">
        <f aca="false">SUMXMY2(O276:Z276,$E$13:$P$13)</f>
        <v>0</v>
      </c>
    </row>
    <row r="277" customFormat="false" ht="15" hidden="false" customHeight="false" outlineLevel="0" collapsed="false">
      <c r="A277" s="59" t="n">
        <v>24</v>
      </c>
      <c r="B277" s="60" t="n">
        <f aca="false">$E$13*EXP(MAX(-700,MIN(700,$E$86-CB276)))</f>
        <v>1</v>
      </c>
      <c r="C277" s="60" t="n">
        <f aca="false">$F$13*EXP(MAX(-700,MIN(700,$F$86-CC276)))</f>
        <v>0</v>
      </c>
      <c r="D277" s="60" t="n">
        <f aca="false">$G$13*EXP(MAX(-700,MIN(700,$G$86-CD276)))</f>
        <v>0</v>
      </c>
      <c r="E277" s="60" t="n">
        <f aca="false">$H$13*EXP(MAX(-700,MIN(700,$H$86-CE276)))</f>
        <v>0</v>
      </c>
      <c r="F277" s="60" t="n">
        <f aca="false">$I$13*EXP(MAX(-700,MIN(700,$I$86-CF276)))</f>
        <v>0</v>
      </c>
      <c r="G277" s="60" t="n">
        <f aca="false">$J$13*EXP(MAX(-700,MIN(700,$J$86-CG276)))</f>
        <v>0</v>
      </c>
      <c r="H277" s="60" t="n">
        <f aca="false">$K$13*EXP(MAX(-700,MIN(700,$K$86-CH276)))</f>
        <v>0</v>
      </c>
      <c r="I277" s="60" t="n">
        <f aca="false">$L$13*EXP(MAX(-700,MIN(700,$L$86-CI276)))</f>
        <v>0</v>
      </c>
      <c r="J277" s="60" t="n">
        <f aca="false">$M$13*EXP(MAX(-700,MIN(700,$M$86-CJ276)))</f>
        <v>0</v>
      </c>
      <c r="K277" s="60" t="n">
        <f aca="false">$N$13*EXP(MAX(-700,MIN(700,$N$86-CK276)))</f>
        <v>0</v>
      </c>
      <c r="L277" s="60" t="n">
        <f aca="false">$O$13*EXP(MAX(-700,MIN(700,$O$86-CL276)))</f>
        <v>0</v>
      </c>
      <c r="M277" s="60" t="n">
        <f aca="false">$P$13*EXP(MAX(-700,MIN(700,$P$86-CM276)))</f>
        <v>0</v>
      </c>
      <c r="N277" s="60" t="n">
        <f aca="false">SUM(B277:M277)</f>
        <v>1</v>
      </c>
      <c r="O277" s="60" t="n">
        <f aca="false">B277/N277</f>
        <v>1</v>
      </c>
      <c r="P277" s="60" t="n">
        <f aca="false">C277/N277</f>
        <v>0</v>
      </c>
      <c r="Q277" s="60" t="n">
        <f aca="false">D277/N277</f>
        <v>0</v>
      </c>
      <c r="R277" s="60" t="n">
        <f aca="false">E277/N277</f>
        <v>0</v>
      </c>
      <c r="S277" s="60" t="n">
        <f aca="false">F277/N277</f>
        <v>0</v>
      </c>
      <c r="T277" s="60" t="n">
        <f aca="false">G277/N277</f>
        <v>0</v>
      </c>
      <c r="U277" s="60" t="n">
        <f aca="false">H277/N277</f>
        <v>0</v>
      </c>
      <c r="V277" s="60" t="n">
        <f aca="false">I277/N277</f>
        <v>0</v>
      </c>
      <c r="W277" s="60" t="n">
        <f aca="false">J277/N277</f>
        <v>0</v>
      </c>
      <c r="X277" s="60" t="n">
        <f aca="false">K277/N277</f>
        <v>0</v>
      </c>
      <c r="Y277" s="60" t="n">
        <f aca="false">L277/N277</f>
        <v>0</v>
      </c>
      <c r="Z277" s="60" t="n">
        <f aca="false">M277/N277</f>
        <v>0</v>
      </c>
      <c r="AA277" s="60" t="n">
        <f aca="false">$E$28*SUMPRODUCT($E$31:$P$31,O277:Z277,$E$28:$P$28)</f>
        <v>0.184416866619846</v>
      </c>
      <c r="AB277" s="60" t="n">
        <f aca="false">$F$28*SUMPRODUCT($E$32:$P$32,O277:Z277,$E$28:$P$28)</f>
        <v>0</v>
      </c>
      <c r="AC277" s="60" t="n">
        <f aca="false">$G$28*SUMPRODUCT($E$33:$P$33,O277:Z277,$E$28:$P$28)</f>
        <v>0</v>
      </c>
      <c r="AD277" s="60" t="n">
        <f aca="false">$H$28*SUMPRODUCT($E$34:$P$34,O277:Z277,$E$28:$P$28)</f>
        <v>0</v>
      </c>
      <c r="AE277" s="60" t="n">
        <f aca="false">$I$28*SUMPRODUCT($E$35:$P$35,O277:Z277,$E$28:$P$28)</f>
        <v>0</v>
      </c>
      <c r="AF277" s="60" t="n">
        <f aca="false">$J$28*SUMPRODUCT($E$36:$P$36,O277:Z277,$E$28:$P$28)</f>
        <v>0</v>
      </c>
      <c r="AG277" s="60" t="n">
        <f aca="false">$K$28*SUMPRODUCT($E$37:$P$37,O277:Z277,$E$28:$P$28)</f>
        <v>0</v>
      </c>
      <c r="AH277" s="60" t="n">
        <f aca="false">$L$28*SUMPRODUCT($E$38:$P$38,O277:Z277,$E$28:$P$28)</f>
        <v>0</v>
      </c>
      <c r="AI277" s="60" t="n">
        <f aca="false">$M$28*SUMPRODUCT($E$39:$P$39,O277:Z277,$E$28:$P$28)</f>
        <v>0</v>
      </c>
      <c r="AJ277" s="60" t="n">
        <f aca="false">$N$28*SUMPRODUCT($E$40:$P$40,O277:Z277,$E$28:$P$28)</f>
        <v>0</v>
      </c>
      <c r="AK277" s="60" t="n">
        <f aca="false">$O$28*SUMPRODUCT($E$41:$P$41,O277:Z277,$E$28:$P$28)</f>
        <v>0</v>
      </c>
      <c r="AL277" s="60" t="n">
        <f aca="false">$P$28*SUMPRODUCT($E$42:$P$42,O277:Z277,$E$28:$P$28)</f>
        <v>0</v>
      </c>
      <c r="AM277" s="60" t="n">
        <f aca="false">SUMPRODUCT(O277:Z277,AA277:AL277)</f>
        <v>0.184416866619846</v>
      </c>
      <c r="AN277" s="60" t="n">
        <f aca="false">SUMPRODUCT(O277:Z277,$E$27:$P$27)</f>
        <v>2.67389635063809E-005</v>
      </c>
      <c r="AO277" s="60" t="n">
        <f aca="false">AM277*$C$9/($C$10*$C$8)^2</f>
        <v>0.21776909410545</v>
      </c>
      <c r="AP277" s="60" t="n">
        <f aca="false">AN277*$C$9/($C$10*$C$8)</f>
        <v>0.0918845243259994</v>
      </c>
      <c r="AQ277" s="60" t="n">
        <f aca="false">CHOOSE($C$7,-(1+AP277),-1,-(1-AP277))</f>
        <v>-0.908115475674001</v>
      </c>
      <c r="AR277" s="60" t="n">
        <f aca="false">CHOOSE($C$7,AO277,AO277-AP277-AP277^2,AO277-3*AP277^2-2*AP277)</f>
        <v>0.00867174802160559</v>
      </c>
      <c r="AS277" s="60" t="n">
        <f aca="false">CHOOSE($C$7,-AO277*AP277,-AO277*AP277,-(AO277*AP277-AP277^2-AP277^3))</f>
        <v>-0.0107910842936637</v>
      </c>
      <c r="AT277" s="60" t="n">
        <f aca="false">AR277-AQ277^2/3</f>
        <v>-0.266219491031267</v>
      </c>
      <c r="AU277" s="60" t="n">
        <f aca="false">2*AQ277^3/27-AQ277*AR277/3+AS277</f>
        <v>-0.0636400988362784</v>
      </c>
      <c r="AV277" s="60" t="n">
        <f aca="false">AU277^2/4+AT277^3/27</f>
        <v>0.000313710901361829</v>
      </c>
      <c r="AW277" s="60" t="n">
        <f aca="false">-AU277/2-IF(AU277&gt;=0,1,-1)*SQRT(MAX(AV277,0))</f>
        <v>0.0495319352963236</v>
      </c>
      <c r="AX277" s="60" t="n">
        <f aca="false">SIGN(AW277)*ABS(AW277)^(1/3)</f>
        <v>0.367249967174439</v>
      </c>
      <c r="AY277" s="60" t="n">
        <f aca="false">IF(AX277=0,0,AX277-AT277/(3*AX277))</f>
        <v>0.60888329127384</v>
      </c>
      <c r="AZ277" s="60" t="n">
        <f aca="false">2*SQRT(MAX(-AT277,0)/3)</f>
        <v>0.595784626668918</v>
      </c>
      <c r="BA277" s="60" t="n">
        <f aca="false">ACOS(IF(AZ277=0,0,MAX(-1,MIN(1,3*AU277/(AT277*AZ277)))))</f>
        <v>0</v>
      </c>
      <c r="BB277" s="60" t="n">
        <f aca="false">AZ277*COS(BA277/3)</f>
        <v>0.595784626668918</v>
      </c>
      <c r="BC277" s="60" t="n">
        <f aca="false">IF(AV277&lt;0,BB277,AY277)-AQ277/3</f>
        <v>0.91158844983184</v>
      </c>
      <c r="BD277" s="60" t="n">
        <f aca="false">IFERROR((((BC277+AQ277)*BC277+AR277)*BC277+AS277)/((3*BC277+2*AQ277)*BC277+AR277),0)</f>
        <v>0</v>
      </c>
      <c r="BE277" s="60" t="n">
        <f aca="false">IF(ABS(BD277)&lt;0.1*ABS(BC277),BC277-BD277,BC277)</f>
        <v>0.91158844983184</v>
      </c>
      <c r="BF277" s="60" t="n">
        <f aca="false">IFERROR((((BE277+AQ277)*BE277+AR277)*BE277+AS277)/((3*BE277+2*AQ277)*BE277+AR277),0)</f>
        <v>0</v>
      </c>
      <c r="BG277" s="60" t="n">
        <f aca="false">IF(ABS(BF277)&lt;0.1*ABS(BE277),BE277-BF277,BE277)</f>
        <v>0.91158844983184</v>
      </c>
      <c r="BH277" s="60" t="n">
        <f aca="false">-AS277/BG277</f>
        <v>0.0118376711504565</v>
      </c>
      <c r="BI277" s="60" t="n">
        <f aca="false">(AR277-BH277)/BG277</f>
        <v>-0.00347297415783941</v>
      </c>
      <c r="BJ277" s="60" t="n">
        <f aca="false">BI277^2-4*BH277</f>
        <v>-0.0473386230523248</v>
      </c>
      <c r="BK277" s="60" t="n">
        <f aca="false">IF(BJ277&gt;=0,(BI277+IF(BI277&gt;=0,1,-1)*SQRT(BJ277))/2,0)</f>
        <v>0</v>
      </c>
      <c r="BL277" s="60" t="n">
        <f aca="false">IF(AND(BJ277&gt;=0,BK277&lt;&gt;0),MIN(BK277,BH277/BK277),-1)</f>
        <v>-1</v>
      </c>
      <c r="BM277" s="60" t="n">
        <f aca="false">AND(BJ277&gt;=0,BL277&gt;AP277,ABS(BG277-BL277)&gt;=0.00005*MAX(BG277,BL277))</f>
        <v>0</v>
      </c>
      <c r="BN277" s="60" t="n">
        <f aca="false">IF(BM277,IFERROR((((BL277+AQ277)*BL277+AR277)*BL277+AS277)/((3*BL277+2*AQ277)*BL277+AR277),0),0)</f>
        <v>0</v>
      </c>
      <c r="BO277" s="60" t="n">
        <f aca="false">IF(ABS(BN277)&lt;0.1*ABS(BL277),BL277-BN277,BL277)</f>
        <v>-1</v>
      </c>
      <c r="BP277" s="60" t="n">
        <f aca="false">IF(BM277,IFERROR((((BO277+AQ277)*BO277+AR277)*BO277+AS277)/((3*BO277+2*AQ277)*BO277+AR277),0),0)</f>
        <v>0</v>
      </c>
      <c r="BQ277" s="60" t="n">
        <f aca="false">IF(ABS(BP277)&lt;0.1*ABS(BO277),BO277-BP277,BO277)</f>
        <v>-1</v>
      </c>
      <c r="BR277" s="60" t="n">
        <f aca="false">IF(BM277,MAX(BG277,BQ277),BG277)</f>
        <v>0.91158844983184</v>
      </c>
      <c r="BS277" s="60" t="n">
        <f aca="false">IF(BM277,MIN(BG277,BQ277),-1)</f>
        <v>-1</v>
      </c>
      <c r="BT277" s="60" t="n">
        <f aca="false">CHOOSE($C$7,AO277/BR277,AO277/AP277*LN(1+AP277/BR277),AO277/(2*SQRT(2)*AP277)*LN((BR277+(1+SQRT(2))*AP277)/(BR277+(1-SQRT(2))*AP277)))</f>
        <v>0.218240791233887</v>
      </c>
      <c r="BU277" s="60" t="n">
        <f aca="false">BR277-1-LN(BR277-AP277)-BT277</f>
        <v>-0.107840271021729</v>
      </c>
      <c r="BV277" s="60" t="n">
        <f aca="false">IF(BM277,CHOOSE($C$7,AO277/BS277,AO277/AP277*LN(1+AP277/BS277),AO277/(2*SQRT(2)*AP277)*LN((BS277+(1+SQRT(2))*AP277)/(BS277+(1-SQRT(2))*AP277))),0)</f>
        <v>0</v>
      </c>
      <c r="BW277" s="60" t="n">
        <f aca="false">IF(BM277,BS277-1-LN(BS277-AP277)-BV277,0)</f>
        <v>0</v>
      </c>
      <c r="BX277" s="60" t="n">
        <f aca="false">AND(BM277,BW277&lt;BU277)</f>
        <v>0</v>
      </c>
      <c r="BY277" s="60" t="n">
        <f aca="false">IF(BX277,BS277,BR277)</f>
        <v>0.91158844983184</v>
      </c>
      <c r="BZ277" s="60" t="n">
        <f aca="false">IF(BX277,BV277,BT277)</f>
        <v>0.218240791233887</v>
      </c>
      <c r="CA277" s="60" t="n">
        <f aca="false">LN(BY277-AP277)</f>
        <v>-0.198812070380318</v>
      </c>
      <c r="CB277" s="60" t="n">
        <f aca="false">$E$27/AN277*(BY277-1)-CA277-BZ277*(2*AA277/AM277-$E$27/AN277)</f>
        <v>-0.107840271021729</v>
      </c>
      <c r="CC277" s="60" t="n">
        <f aca="false">$F$27/AN277*(BY277-1)-CA277-BZ277*(2*AB277/AM277-$F$27/AN277)</f>
        <v>0.198812070380318</v>
      </c>
      <c r="CD277" s="60" t="n">
        <f aca="false">$G$27/AN277*(BY277-1)-CA277-BZ277*(2*AC277/AM277-$G$27/AN277)</f>
        <v>0.198812070380318</v>
      </c>
      <c r="CE277" s="60" t="n">
        <f aca="false">$H$27/AN277*(BY277-1)-CA277-BZ277*(2*AD277/AM277-$H$27/AN277)</f>
        <v>0.198812070380318</v>
      </c>
      <c r="CF277" s="60" t="n">
        <f aca="false">$I$27/AN277*(BY277-1)-CA277-BZ277*(2*AE277/AM277-$I$27/AN277)</f>
        <v>0.198812070380318</v>
      </c>
      <c r="CG277" s="60" t="n">
        <f aca="false">$J$27/AN277*(BY277-1)-CA277-BZ277*(2*AF277/AM277-$J$27/AN277)</f>
        <v>0.198812070380318</v>
      </c>
      <c r="CH277" s="60" t="n">
        <f aca="false">$K$27/AN277*(BY277-1)-CA277-BZ277*(2*AG277/AM277-$K$27/AN277)</f>
        <v>0.198812070380318</v>
      </c>
      <c r="CI277" s="60" t="n">
        <f aca="false">$L$27/AN277*(BY277-1)-CA277-BZ277*(2*AH277/AM277-$L$27/AN277)</f>
        <v>0.198812070380318</v>
      </c>
      <c r="CJ277" s="60" t="n">
        <f aca="false">$M$27/AN277*(BY277-1)-CA277-BZ277*(2*AI277/AM277-$M$27/AN277)</f>
        <v>0.198812070380318</v>
      </c>
      <c r="CK277" s="60" t="n">
        <f aca="false">$N$27/AN277*(BY277-1)-CA277-BZ277*(2*AJ277/AM277-$N$27/AN277)</f>
        <v>0.198812070380318</v>
      </c>
      <c r="CL277" s="60" t="n">
        <f aca="false">$O$27/AN277*(BY277-1)-CA277-BZ277*(2*AK277/AM277-$O$27/AN277)</f>
        <v>0.198812070380318</v>
      </c>
      <c r="CM277" s="60" t="n">
        <f aca="false">$P$27/AN277*(BY277-1)-CA277-BZ277*(2*AL277/AM277-$P$27/AN277)</f>
        <v>0.198812070380318</v>
      </c>
      <c r="CN277" s="60" t="n">
        <f aca="false">AP277/BY277&gt;$C$22</f>
        <v>0</v>
      </c>
      <c r="CO277" s="60" t="n">
        <f aca="false">1-N277+SUMPRODUCT(B277:M277,CB277:CM277)-SUMPRODUCT(B277:M277,CB276:CM276)</f>
        <v>0</v>
      </c>
      <c r="CP277" s="60" t="n">
        <f aca="false">SUMXMY2(O277:Z277,$E$13:$P$13)</f>
        <v>0</v>
      </c>
    </row>
    <row r="278" customFormat="false" ht="15" hidden="false" customHeight="false" outlineLevel="0" collapsed="false">
      <c r="A278" s="59" t="n">
        <v>25</v>
      </c>
      <c r="B278" s="60" t="n">
        <f aca="false">$E$13*EXP(MAX(-700,MIN(700,$E$86-CB277)))</f>
        <v>1</v>
      </c>
      <c r="C278" s="60" t="n">
        <f aca="false">$F$13*EXP(MAX(-700,MIN(700,$F$86-CC277)))</f>
        <v>0</v>
      </c>
      <c r="D278" s="60" t="n">
        <f aca="false">$G$13*EXP(MAX(-700,MIN(700,$G$86-CD277)))</f>
        <v>0</v>
      </c>
      <c r="E278" s="60" t="n">
        <f aca="false">$H$13*EXP(MAX(-700,MIN(700,$H$86-CE277)))</f>
        <v>0</v>
      </c>
      <c r="F278" s="60" t="n">
        <f aca="false">$I$13*EXP(MAX(-700,MIN(700,$I$86-CF277)))</f>
        <v>0</v>
      </c>
      <c r="G278" s="60" t="n">
        <f aca="false">$J$13*EXP(MAX(-700,MIN(700,$J$86-CG277)))</f>
        <v>0</v>
      </c>
      <c r="H278" s="60" t="n">
        <f aca="false">$K$13*EXP(MAX(-700,MIN(700,$K$86-CH277)))</f>
        <v>0</v>
      </c>
      <c r="I278" s="60" t="n">
        <f aca="false">$L$13*EXP(MAX(-700,MIN(700,$L$86-CI277)))</f>
        <v>0</v>
      </c>
      <c r="J278" s="60" t="n">
        <f aca="false">$M$13*EXP(MAX(-700,MIN(700,$M$86-CJ277)))</f>
        <v>0</v>
      </c>
      <c r="K278" s="60" t="n">
        <f aca="false">$N$13*EXP(MAX(-700,MIN(700,$N$86-CK277)))</f>
        <v>0</v>
      </c>
      <c r="L278" s="60" t="n">
        <f aca="false">$O$13*EXP(MAX(-700,MIN(700,$O$86-CL277)))</f>
        <v>0</v>
      </c>
      <c r="M278" s="60" t="n">
        <f aca="false">$P$13*EXP(MAX(-700,MIN(700,$P$86-CM277)))</f>
        <v>0</v>
      </c>
      <c r="N278" s="60" t="n">
        <f aca="false">SUM(B278:M278)</f>
        <v>1</v>
      </c>
      <c r="O278" s="60" t="n">
        <f aca="false">B278/N278</f>
        <v>1</v>
      </c>
      <c r="P278" s="60" t="n">
        <f aca="false">C278/N278</f>
        <v>0</v>
      </c>
      <c r="Q278" s="60" t="n">
        <f aca="false">D278/N278</f>
        <v>0</v>
      </c>
      <c r="R278" s="60" t="n">
        <f aca="false">E278/N278</f>
        <v>0</v>
      </c>
      <c r="S278" s="60" t="n">
        <f aca="false">F278/N278</f>
        <v>0</v>
      </c>
      <c r="T278" s="60" t="n">
        <f aca="false">G278/N278</f>
        <v>0</v>
      </c>
      <c r="U278" s="60" t="n">
        <f aca="false">H278/N278</f>
        <v>0</v>
      </c>
      <c r="V278" s="60" t="n">
        <f aca="false">I278/N278</f>
        <v>0</v>
      </c>
      <c r="W278" s="60" t="n">
        <f aca="false">J278/N278</f>
        <v>0</v>
      </c>
      <c r="X278" s="60" t="n">
        <f aca="false">K278/N278</f>
        <v>0</v>
      </c>
      <c r="Y278" s="60" t="n">
        <f aca="false">L278/N278</f>
        <v>0</v>
      </c>
      <c r="Z278" s="60" t="n">
        <f aca="false">M278/N278</f>
        <v>0</v>
      </c>
      <c r="AA278" s="60" t="n">
        <f aca="false">$E$28*SUMPRODUCT($E$31:$P$31,O278:Z278,$E$28:$P$28)</f>
        <v>0.184416866619846</v>
      </c>
      <c r="AB278" s="60" t="n">
        <f aca="false">$F$28*SUMPRODUCT($E$32:$P$32,O278:Z278,$E$28:$P$28)</f>
        <v>0</v>
      </c>
      <c r="AC278" s="60" t="n">
        <f aca="false">$G$28*SUMPRODUCT($E$33:$P$33,O278:Z278,$E$28:$P$28)</f>
        <v>0</v>
      </c>
      <c r="AD278" s="60" t="n">
        <f aca="false">$H$28*SUMPRODUCT($E$34:$P$34,O278:Z278,$E$28:$P$28)</f>
        <v>0</v>
      </c>
      <c r="AE278" s="60" t="n">
        <f aca="false">$I$28*SUMPRODUCT($E$35:$P$35,O278:Z278,$E$28:$P$28)</f>
        <v>0</v>
      </c>
      <c r="AF278" s="60" t="n">
        <f aca="false">$J$28*SUMPRODUCT($E$36:$P$36,O278:Z278,$E$28:$P$28)</f>
        <v>0</v>
      </c>
      <c r="AG278" s="60" t="n">
        <f aca="false">$K$28*SUMPRODUCT($E$37:$P$37,O278:Z278,$E$28:$P$28)</f>
        <v>0</v>
      </c>
      <c r="AH278" s="60" t="n">
        <f aca="false">$L$28*SUMPRODUCT($E$38:$P$38,O278:Z278,$E$28:$P$28)</f>
        <v>0</v>
      </c>
      <c r="AI278" s="60" t="n">
        <f aca="false">$M$28*SUMPRODUCT($E$39:$P$39,O278:Z278,$E$28:$P$28)</f>
        <v>0</v>
      </c>
      <c r="AJ278" s="60" t="n">
        <f aca="false">$N$28*SUMPRODUCT($E$40:$P$40,O278:Z278,$E$28:$P$28)</f>
        <v>0</v>
      </c>
      <c r="AK278" s="60" t="n">
        <f aca="false">$O$28*SUMPRODUCT($E$41:$P$41,O278:Z278,$E$28:$P$28)</f>
        <v>0</v>
      </c>
      <c r="AL278" s="60" t="n">
        <f aca="false">$P$28*SUMPRODUCT($E$42:$P$42,O278:Z278,$E$28:$P$28)</f>
        <v>0</v>
      </c>
      <c r="AM278" s="60" t="n">
        <f aca="false">SUMPRODUCT(O278:Z278,AA278:AL278)</f>
        <v>0.184416866619846</v>
      </c>
      <c r="AN278" s="60" t="n">
        <f aca="false">SUMPRODUCT(O278:Z278,$E$27:$P$27)</f>
        <v>2.67389635063809E-005</v>
      </c>
      <c r="AO278" s="60" t="n">
        <f aca="false">AM278*$C$9/($C$10*$C$8)^2</f>
        <v>0.21776909410545</v>
      </c>
      <c r="AP278" s="60" t="n">
        <f aca="false">AN278*$C$9/($C$10*$C$8)</f>
        <v>0.0918845243259994</v>
      </c>
      <c r="AQ278" s="60" t="n">
        <f aca="false">CHOOSE($C$7,-(1+AP278),-1,-(1-AP278))</f>
        <v>-0.908115475674001</v>
      </c>
      <c r="AR278" s="60" t="n">
        <f aca="false">CHOOSE($C$7,AO278,AO278-AP278-AP278^2,AO278-3*AP278^2-2*AP278)</f>
        <v>0.00867174802160559</v>
      </c>
      <c r="AS278" s="60" t="n">
        <f aca="false">CHOOSE($C$7,-AO278*AP278,-AO278*AP278,-(AO278*AP278-AP278^2-AP278^3))</f>
        <v>-0.0107910842936637</v>
      </c>
      <c r="AT278" s="60" t="n">
        <f aca="false">AR278-AQ278^2/3</f>
        <v>-0.266219491031267</v>
      </c>
      <c r="AU278" s="60" t="n">
        <f aca="false">2*AQ278^3/27-AQ278*AR278/3+AS278</f>
        <v>-0.0636400988362784</v>
      </c>
      <c r="AV278" s="60" t="n">
        <f aca="false">AU278^2/4+AT278^3/27</f>
        <v>0.000313710901361829</v>
      </c>
      <c r="AW278" s="60" t="n">
        <f aca="false">-AU278/2-IF(AU278&gt;=0,1,-1)*SQRT(MAX(AV278,0))</f>
        <v>0.0495319352963236</v>
      </c>
      <c r="AX278" s="60" t="n">
        <f aca="false">SIGN(AW278)*ABS(AW278)^(1/3)</f>
        <v>0.367249967174439</v>
      </c>
      <c r="AY278" s="60" t="n">
        <f aca="false">IF(AX278=0,0,AX278-AT278/(3*AX278))</f>
        <v>0.60888329127384</v>
      </c>
      <c r="AZ278" s="60" t="n">
        <f aca="false">2*SQRT(MAX(-AT278,0)/3)</f>
        <v>0.595784626668918</v>
      </c>
      <c r="BA278" s="60" t="n">
        <f aca="false">ACOS(IF(AZ278=0,0,MAX(-1,MIN(1,3*AU278/(AT278*AZ278)))))</f>
        <v>0</v>
      </c>
      <c r="BB278" s="60" t="n">
        <f aca="false">AZ278*COS(BA278/3)</f>
        <v>0.595784626668918</v>
      </c>
      <c r="BC278" s="60" t="n">
        <f aca="false">IF(AV278&lt;0,BB278,AY278)-AQ278/3</f>
        <v>0.91158844983184</v>
      </c>
      <c r="BD278" s="60" t="n">
        <f aca="false">IFERROR((((BC278+AQ278)*BC278+AR278)*BC278+AS278)/((3*BC278+2*AQ278)*BC278+AR278),0)</f>
        <v>0</v>
      </c>
      <c r="BE278" s="60" t="n">
        <f aca="false">IF(ABS(BD278)&lt;0.1*ABS(BC278),BC278-BD278,BC278)</f>
        <v>0.91158844983184</v>
      </c>
      <c r="BF278" s="60" t="n">
        <f aca="false">IFERROR((((BE278+AQ278)*BE278+AR278)*BE278+AS278)/((3*BE278+2*AQ278)*BE278+AR278),0)</f>
        <v>0</v>
      </c>
      <c r="BG278" s="60" t="n">
        <f aca="false">IF(ABS(BF278)&lt;0.1*ABS(BE278),BE278-BF278,BE278)</f>
        <v>0.91158844983184</v>
      </c>
      <c r="BH278" s="60" t="n">
        <f aca="false">-AS278/BG278</f>
        <v>0.0118376711504565</v>
      </c>
      <c r="BI278" s="60" t="n">
        <f aca="false">(AR278-BH278)/BG278</f>
        <v>-0.00347297415783941</v>
      </c>
      <c r="BJ278" s="60" t="n">
        <f aca="false">BI278^2-4*BH278</f>
        <v>-0.0473386230523248</v>
      </c>
      <c r="BK278" s="60" t="n">
        <f aca="false">IF(BJ278&gt;=0,(BI278+IF(BI278&gt;=0,1,-1)*SQRT(BJ278))/2,0)</f>
        <v>0</v>
      </c>
      <c r="BL278" s="60" t="n">
        <f aca="false">IF(AND(BJ278&gt;=0,BK278&lt;&gt;0),MIN(BK278,BH278/BK278),-1)</f>
        <v>-1</v>
      </c>
      <c r="BM278" s="60" t="n">
        <f aca="false">AND(BJ278&gt;=0,BL278&gt;AP278,ABS(BG278-BL278)&gt;=0.00005*MAX(BG278,BL278))</f>
        <v>0</v>
      </c>
      <c r="BN278" s="60" t="n">
        <f aca="false">IF(BM278,IFERROR((((BL278+AQ278)*BL278+AR278)*BL278+AS278)/((3*BL278+2*AQ278)*BL278+AR278),0),0)</f>
        <v>0</v>
      </c>
      <c r="BO278" s="60" t="n">
        <f aca="false">IF(ABS(BN278)&lt;0.1*ABS(BL278),BL278-BN278,BL278)</f>
        <v>-1</v>
      </c>
      <c r="BP278" s="60" t="n">
        <f aca="false">IF(BM278,IFERROR((((BO278+AQ278)*BO278+AR278)*BO278+AS278)/((3*BO278+2*AQ278)*BO278+AR278),0),0)</f>
        <v>0</v>
      </c>
      <c r="BQ278" s="60" t="n">
        <f aca="false">IF(ABS(BP278)&lt;0.1*ABS(BO278),BO278-BP278,BO278)</f>
        <v>-1</v>
      </c>
      <c r="BR278" s="60" t="n">
        <f aca="false">IF(BM278,MAX(BG278,BQ278),BG278)</f>
        <v>0.91158844983184</v>
      </c>
      <c r="BS278" s="60" t="n">
        <f aca="false">IF(BM278,MIN(BG278,BQ278),-1)</f>
        <v>-1</v>
      </c>
      <c r="BT278" s="60" t="n">
        <f aca="false">CHOOSE($C$7,AO278/BR278,AO278/AP278*LN(1+AP278/BR278),AO278/(2*SQRT(2)*AP278)*LN((BR278+(1+SQRT(2))*AP278)/(BR278+(1-SQRT(2))*AP278)))</f>
        <v>0.218240791233887</v>
      </c>
      <c r="BU278" s="60" t="n">
        <f aca="false">BR278-1-LN(BR278-AP278)-BT278</f>
        <v>-0.107840271021729</v>
      </c>
      <c r="BV278" s="60" t="n">
        <f aca="false">IF(BM278,CHOOSE($C$7,AO278/BS278,AO278/AP278*LN(1+AP278/BS278),AO278/(2*SQRT(2)*AP278)*LN((BS278+(1+SQRT(2))*AP278)/(BS278+(1-SQRT(2))*AP278))),0)</f>
        <v>0</v>
      </c>
      <c r="BW278" s="60" t="n">
        <f aca="false">IF(BM278,BS278-1-LN(BS278-AP278)-BV278,0)</f>
        <v>0</v>
      </c>
      <c r="BX278" s="60" t="n">
        <f aca="false">AND(BM278,BW278&lt;BU278)</f>
        <v>0</v>
      </c>
      <c r="BY278" s="60" t="n">
        <f aca="false">IF(BX278,BS278,BR278)</f>
        <v>0.91158844983184</v>
      </c>
      <c r="BZ278" s="60" t="n">
        <f aca="false">IF(BX278,BV278,BT278)</f>
        <v>0.218240791233887</v>
      </c>
      <c r="CA278" s="60" t="n">
        <f aca="false">LN(BY278-AP278)</f>
        <v>-0.198812070380318</v>
      </c>
      <c r="CB278" s="60" t="n">
        <f aca="false">$E$27/AN278*(BY278-1)-CA278-BZ278*(2*AA278/AM278-$E$27/AN278)</f>
        <v>-0.107840271021729</v>
      </c>
      <c r="CC278" s="60" t="n">
        <f aca="false">$F$27/AN278*(BY278-1)-CA278-BZ278*(2*AB278/AM278-$F$27/AN278)</f>
        <v>0.198812070380318</v>
      </c>
      <c r="CD278" s="60" t="n">
        <f aca="false">$G$27/AN278*(BY278-1)-CA278-BZ278*(2*AC278/AM278-$G$27/AN278)</f>
        <v>0.198812070380318</v>
      </c>
      <c r="CE278" s="60" t="n">
        <f aca="false">$H$27/AN278*(BY278-1)-CA278-BZ278*(2*AD278/AM278-$H$27/AN278)</f>
        <v>0.198812070380318</v>
      </c>
      <c r="CF278" s="60" t="n">
        <f aca="false">$I$27/AN278*(BY278-1)-CA278-BZ278*(2*AE278/AM278-$I$27/AN278)</f>
        <v>0.198812070380318</v>
      </c>
      <c r="CG278" s="60" t="n">
        <f aca="false">$J$27/AN278*(BY278-1)-CA278-BZ278*(2*AF278/AM278-$J$27/AN278)</f>
        <v>0.198812070380318</v>
      </c>
      <c r="CH278" s="60" t="n">
        <f aca="false">$K$27/AN278*(BY278-1)-CA278-BZ278*(2*AG278/AM278-$K$27/AN278)</f>
        <v>0.198812070380318</v>
      </c>
      <c r="CI278" s="60" t="n">
        <f aca="false">$L$27/AN278*(BY278-1)-CA278-BZ278*(2*AH278/AM278-$L$27/AN278)</f>
        <v>0.198812070380318</v>
      </c>
      <c r="CJ278" s="60" t="n">
        <f aca="false">$M$27/AN278*(BY278-1)-CA278-BZ278*(2*AI278/AM278-$M$27/AN278)</f>
        <v>0.198812070380318</v>
      </c>
      <c r="CK278" s="60" t="n">
        <f aca="false">$N$27/AN278*(BY278-1)-CA278-BZ278*(2*AJ278/AM278-$N$27/AN278)</f>
        <v>0.198812070380318</v>
      </c>
      <c r="CL278" s="60" t="n">
        <f aca="false">$O$27/AN278*(BY278-1)-CA278-BZ278*(2*AK278/AM278-$O$27/AN278)</f>
        <v>0.198812070380318</v>
      </c>
      <c r="CM278" s="60" t="n">
        <f aca="false">$P$27/AN278*(BY278-1)-CA278-BZ278*(2*AL278/AM278-$P$27/AN278)</f>
        <v>0.198812070380318</v>
      </c>
      <c r="CN278" s="60" t="n">
        <f aca="false">AP278/BY278&gt;$C$22</f>
        <v>0</v>
      </c>
      <c r="CO278" s="60" t="n">
        <f aca="false">1-N278+SUMPRODUCT(B278:M278,CB278:CM278)-SUMPRODUCT(B278:M278,CB277:CM277)</f>
        <v>0</v>
      </c>
      <c r="CP278" s="60" t="n">
        <f aca="false">SUMXMY2(O278:Z278,$E$13:$P$13)</f>
        <v>0</v>
      </c>
    </row>
    <row r="279" customFormat="false" ht="15" hidden="false" customHeight="false" outlineLevel="0" collapsed="false">
      <c r="A279" s="59" t="n">
        <v>26</v>
      </c>
      <c r="B279" s="60" t="n">
        <f aca="false">$E$13*EXP(MAX(-700,MIN(700,$E$86-CB278)))</f>
        <v>1</v>
      </c>
      <c r="C279" s="60" t="n">
        <f aca="false">$F$13*EXP(MAX(-700,MIN(700,$F$86-CC278)))</f>
        <v>0</v>
      </c>
      <c r="D279" s="60" t="n">
        <f aca="false">$G$13*EXP(MAX(-700,MIN(700,$G$86-CD278)))</f>
        <v>0</v>
      </c>
      <c r="E279" s="60" t="n">
        <f aca="false">$H$13*EXP(MAX(-700,MIN(700,$H$86-CE278)))</f>
        <v>0</v>
      </c>
      <c r="F279" s="60" t="n">
        <f aca="false">$I$13*EXP(MAX(-700,MIN(700,$I$86-CF278)))</f>
        <v>0</v>
      </c>
      <c r="G279" s="60" t="n">
        <f aca="false">$J$13*EXP(MAX(-700,MIN(700,$J$86-CG278)))</f>
        <v>0</v>
      </c>
      <c r="H279" s="60" t="n">
        <f aca="false">$K$13*EXP(MAX(-700,MIN(700,$K$86-CH278)))</f>
        <v>0</v>
      </c>
      <c r="I279" s="60" t="n">
        <f aca="false">$L$13*EXP(MAX(-700,MIN(700,$L$86-CI278)))</f>
        <v>0</v>
      </c>
      <c r="J279" s="60" t="n">
        <f aca="false">$M$13*EXP(MAX(-700,MIN(700,$M$86-CJ278)))</f>
        <v>0</v>
      </c>
      <c r="K279" s="60" t="n">
        <f aca="false">$N$13*EXP(MAX(-700,MIN(700,$N$86-CK278)))</f>
        <v>0</v>
      </c>
      <c r="L279" s="60" t="n">
        <f aca="false">$O$13*EXP(MAX(-700,MIN(700,$O$86-CL278)))</f>
        <v>0</v>
      </c>
      <c r="M279" s="60" t="n">
        <f aca="false">$P$13*EXP(MAX(-700,MIN(700,$P$86-CM278)))</f>
        <v>0</v>
      </c>
      <c r="N279" s="60" t="n">
        <f aca="false">SUM(B279:M279)</f>
        <v>1</v>
      </c>
      <c r="O279" s="60" t="n">
        <f aca="false">B279/N279</f>
        <v>1</v>
      </c>
      <c r="P279" s="60" t="n">
        <f aca="false">C279/N279</f>
        <v>0</v>
      </c>
      <c r="Q279" s="60" t="n">
        <f aca="false">D279/N279</f>
        <v>0</v>
      </c>
      <c r="R279" s="60" t="n">
        <f aca="false">E279/N279</f>
        <v>0</v>
      </c>
      <c r="S279" s="60" t="n">
        <f aca="false">F279/N279</f>
        <v>0</v>
      </c>
      <c r="T279" s="60" t="n">
        <f aca="false">G279/N279</f>
        <v>0</v>
      </c>
      <c r="U279" s="60" t="n">
        <f aca="false">H279/N279</f>
        <v>0</v>
      </c>
      <c r="V279" s="60" t="n">
        <f aca="false">I279/N279</f>
        <v>0</v>
      </c>
      <c r="W279" s="60" t="n">
        <f aca="false">J279/N279</f>
        <v>0</v>
      </c>
      <c r="X279" s="60" t="n">
        <f aca="false">K279/N279</f>
        <v>0</v>
      </c>
      <c r="Y279" s="60" t="n">
        <f aca="false">L279/N279</f>
        <v>0</v>
      </c>
      <c r="Z279" s="60" t="n">
        <f aca="false">M279/N279</f>
        <v>0</v>
      </c>
      <c r="AA279" s="60" t="n">
        <f aca="false">$E$28*SUMPRODUCT($E$31:$P$31,O279:Z279,$E$28:$P$28)</f>
        <v>0.184416866619846</v>
      </c>
      <c r="AB279" s="60" t="n">
        <f aca="false">$F$28*SUMPRODUCT($E$32:$P$32,O279:Z279,$E$28:$P$28)</f>
        <v>0</v>
      </c>
      <c r="AC279" s="60" t="n">
        <f aca="false">$G$28*SUMPRODUCT($E$33:$P$33,O279:Z279,$E$28:$P$28)</f>
        <v>0</v>
      </c>
      <c r="AD279" s="60" t="n">
        <f aca="false">$H$28*SUMPRODUCT($E$34:$P$34,O279:Z279,$E$28:$P$28)</f>
        <v>0</v>
      </c>
      <c r="AE279" s="60" t="n">
        <f aca="false">$I$28*SUMPRODUCT($E$35:$P$35,O279:Z279,$E$28:$P$28)</f>
        <v>0</v>
      </c>
      <c r="AF279" s="60" t="n">
        <f aca="false">$J$28*SUMPRODUCT($E$36:$P$36,O279:Z279,$E$28:$P$28)</f>
        <v>0</v>
      </c>
      <c r="AG279" s="60" t="n">
        <f aca="false">$K$28*SUMPRODUCT($E$37:$P$37,O279:Z279,$E$28:$P$28)</f>
        <v>0</v>
      </c>
      <c r="AH279" s="60" t="n">
        <f aca="false">$L$28*SUMPRODUCT($E$38:$P$38,O279:Z279,$E$28:$P$28)</f>
        <v>0</v>
      </c>
      <c r="AI279" s="60" t="n">
        <f aca="false">$M$28*SUMPRODUCT($E$39:$P$39,O279:Z279,$E$28:$P$28)</f>
        <v>0</v>
      </c>
      <c r="AJ279" s="60" t="n">
        <f aca="false">$N$28*SUMPRODUCT($E$40:$P$40,O279:Z279,$E$28:$P$28)</f>
        <v>0</v>
      </c>
      <c r="AK279" s="60" t="n">
        <f aca="false">$O$28*SUMPRODUCT($E$41:$P$41,O279:Z279,$E$28:$P$28)</f>
        <v>0</v>
      </c>
      <c r="AL279" s="60" t="n">
        <f aca="false">$P$28*SUMPRODUCT($E$42:$P$42,O279:Z279,$E$28:$P$28)</f>
        <v>0</v>
      </c>
      <c r="AM279" s="60" t="n">
        <f aca="false">SUMPRODUCT(O279:Z279,AA279:AL279)</f>
        <v>0.184416866619846</v>
      </c>
      <c r="AN279" s="60" t="n">
        <f aca="false">SUMPRODUCT(O279:Z279,$E$27:$P$27)</f>
        <v>2.67389635063809E-005</v>
      </c>
      <c r="AO279" s="60" t="n">
        <f aca="false">AM279*$C$9/($C$10*$C$8)^2</f>
        <v>0.21776909410545</v>
      </c>
      <c r="AP279" s="60" t="n">
        <f aca="false">AN279*$C$9/($C$10*$C$8)</f>
        <v>0.0918845243259994</v>
      </c>
      <c r="AQ279" s="60" t="n">
        <f aca="false">CHOOSE($C$7,-(1+AP279),-1,-(1-AP279))</f>
        <v>-0.908115475674001</v>
      </c>
      <c r="AR279" s="60" t="n">
        <f aca="false">CHOOSE($C$7,AO279,AO279-AP279-AP279^2,AO279-3*AP279^2-2*AP279)</f>
        <v>0.00867174802160559</v>
      </c>
      <c r="AS279" s="60" t="n">
        <f aca="false">CHOOSE($C$7,-AO279*AP279,-AO279*AP279,-(AO279*AP279-AP279^2-AP279^3))</f>
        <v>-0.0107910842936637</v>
      </c>
      <c r="AT279" s="60" t="n">
        <f aca="false">AR279-AQ279^2/3</f>
        <v>-0.266219491031267</v>
      </c>
      <c r="AU279" s="60" t="n">
        <f aca="false">2*AQ279^3/27-AQ279*AR279/3+AS279</f>
        <v>-0.0636400988362784</v>
      </c>
      <c r="AV279" s="60" t="n">
        <f aca="false">AU279^2/4+AT279^3/27</f>
        <v>0.000313710901361829</v>
      </c>
      <c r="AW279" s="60" t="n">
        <f aca="false">-AU279/2-IF(AU279&gt;=0,1,-1)*SQRT(MAX(AV279,0))</f>
        <v>0.0495319352963236</v>
      </c>
      <c r="AX279" s="60" t="n">
        <f aca="false">SIGN(AW279)*ABS(AW279)^(1/3)</f>
        <v>0.367249967174439</v>
      </c>
      <c r="AY279" s="60" t="n">
        <f aca="false">IF(AX279=0,0,AX279-AT279/(3*AX279))</f>
        <v>0.60888329127384</v>
      </c>
      <c r="AZ279" s="60" t="n">
        <f aca="false">2*SQRT(MAX(-AT279,0)/3)</f>
        <v>0.595784626668918</v>
      </c>
      <c r="BA279" s="60" t="n">
        <f aca="false">ACOS(IF(AZ279=0,0,MAX(-1,MIN(1,3*AU279/(AT279*AZ279)))))</f>
        <v>0</v>
      </c>
      <c r="BB279" s="60" t="n">
        <f aca="false">AZ279*COS(BA279/3)</f>
        <v>0.595784626668918</v>
      </c>
      <c r="BC279" s="60" t="n">
        <f aca="false">IF(AV279&lt;0,BB279,AY279)-AQ279/3</f>
        <v>0.91158844983184</v>
      </c>
      <c r="BD279" s="60" t="n">
        <f aca="false">IFERROR((((BC279+AQ279)*BC279+AR279)*BC279+AS279)/((3*BC279+2*AQ279)*BC279+AR279),0)</f>
        <v>0</v>
      </c>
      <c r="BE279" s="60" t="n">
        <f aca="false">IF(ABS(BD279)&lt;0.1*ABS(BC279),BC279-BD279,BC279)</f>
        <v>0.91158844983184</v>
      </c>
      <c r="BF279" s="60" t="n">
        <f aca="false">IFERROR((((BE279+AQ279)*BE279+AR279)*BE279+AS279)/((3*BE279+2*AQ279)*BE279+AR279),0)</f>
        <v>0</v>
      </c>
      <c r="BG279" s="60" t="n">
        <f aca="false">IF(ABS(BF279)&lt;0.1*ABS(BE279),BE279-BF279,BE279)</f>
        <v>0.91158844983184</v>
      </c>
      <c r="BH279" s="60" t="n">
        <f aca="false">-AS279/BG279</f>
        <v>0.0118376711504565</v>
      </c>
      <c r="BI279" s="60" t="n">
        <f aca="false">(AR279-BH279)/BG279</f>
        <v>-0.00347297415783941</v>
      </c>
      <c r="BJ279" s="60" t="n">
        <f aca="false">BI279^2-4*BH279</f>
        <v>-0.0473386230523248</v>
      </c>
      <c r="BK279" s="60" t="n">
        <f aca="false">IF(BJ279&gt;=0,(BI279+IF(BI279&gt;=0,1,-1)*SQRT(BJ279))/2,0)</f>
        <v>0</v>
      </c>
      <c r="BL279" s="60" t="n">
        <f aca="false">IF(AND(BJ279&gt;=0,BK279&lt;&gt;0),MIN(BK279,BH279/BK279),-1)</f>
        <v>-1</v>
      </c>
      <c r="BM279" s="60" t="n">
        <f aca="false">AND(BJ279&gt;=0,BL279&gt;AP279,ABS(BG279-BL279)&gt;=0.00005*MAX(BG279,BL279))</f>
        <v>0</v>
      </c>
      <c r="BN279" s="60" t="n">
        <f aca="false">IF(BM279,IFERROR((((BL279+AQ279)*BL279+AR279)*BL279+AS279)/((3*BL279+2*AQ279)*BL279+AR279),0),0)</f>
        <v>0</v>
      </c>
      <c r="BO279" s="60" t="n">
        <f aca="false">IF(ABS(BN279)&lt;0.1*ABS(BL279),BL279-BN279,BL279)</f>
        <v>-1</v>
      </c>
      <c r="BP279" s="60" t="n">
        <f aca="false">IF(BM279,IFERROR((((BO279+AQ279)*BO279+AR279)*BO279+AS279)/((3*BO279+2*AQ279)*BO279+AR279),0),0)</f>
        <v>0</v>
      </c>
      <c r="BQ279" s="60" t="n">
        <f aca="false">IF(ABS(BP279)&lt;0.1*ABS(BO279),BO279-BP279,BO279)</f>
        <v>-1</v>
      </c>
      <c r="BR279" s="60" t="n">
        <f aca="false">IF(BM279,MAX(BG279,BQ279),BG279)</f>
        <v>0.91158844983184</v>
      </c>
      <c r="BS279" s="60" t="n">
        <f aca="false">IF(BM279,MIN(BG279,BQ279),-1)</f>
        <v>-1</v>
      </c>
      <c r="BT279" s="60" t="n">
        <f aca="false">CHOOSE($C$7,AO279/BR279,AO279/AP279*LN(1+AP279/BR279),AO279/(2*SQRT(2)*AP279)*LN((BR279+(1+SQRT(2))*AP279)/(BR279+(1-SQRT(2))*AP279)))</f>
        <v>0.218240791233887</v>
      </c>
      <c r="BU279" s="60" t="n">
        <f aca="false">BR279-1-LN(BR279-AP279)-BT279</f>
        <v>-0.107840271021729</v>
      </c>
      <c r="BV279" s="60" t="n">
        <f aca="false">IF(BM279,CHOOSE($C$7,AO279/BS279,AO279/AP279*LN(1+AP279/BS279),AO279/(2*SQRT(2)*AP279)*LN((BS279+(1+SQRT(2))*AP279)/(BS279+(1-SQRT(2))*AP279))),0)</f>
        <v>0</v>
      </c>
      <c r="BW279" s="60" t="n">
        <f aca="false">IF(BM279,BS279-1-LN(BS279-AP279)-BV279,0)</f>
        <v>0</v>
      </c>
      <c r="BX279" s="60" t="n">
        <f aca="false">AND(BM279,BW279&lt;BU279)</f>
        <v>0</v>
      </c>
      <c r="BY279" s="60" t="n">
        <f aca="false">IF(BX279,BS279,BR279)</f>
        <v>0.91158844983184</v>
      </c>
      <c r="BZ279" s="60" t="n">
        <f aca="false">IF(BX279,BV279,BT279)</f>
        <v>0.218240791233887</v>
      </c>
      <c r="CA279" s="60" t="n">
        <f aca="false">LN(BY279-AP279)</f>
        <v>-0.198812070380318</v>
      </c>
      <c r="CB279" s="60" t="n">
        <f aca="false">$E$27/AN279*(BY279-1)-CA279-BZ279*(2*AA279/AM279-$E$27/AN279)</f>
        <v>-0.107840271021729</v>
      </c>
      <c r="CC279" s="60" t="n">
        <f aca="false">$F$27/AN279*(BY279-1)-CA279-BZ279*(2*AB279/AM279-$F$27/AN279)</f>
        <v>0.198812070380318</v>
      </c>
      <c r="CD279" s="60" t="n">
        <f aca="false">$G$27/AN279*(BY279-1)-CA279-BZ279*(2*AC279/AM279-$G$27/AN279)</f>
        <v>0.198812070380318</v>
      </c>
      <c r="CE279" s="60" t="n">
        <f aca="false">$H$27/AN279*(BY279-1)-CA279-BZ279*(2*AD279/AM279-$H$27/AN279)</f>
        <v>0.198812070380318</v>
      </c>
      <c r="CF279" s="60" t="n">
        <f aca="false">$I$27/AN279*(BY279-1)-CA279-BZ279*(2*AE279/AM279-$I$27/AN279)</f>
        <v>0.198812070380318</v>
      </c>
      <c r="CG279" s="60" t="n">
        <f aca="false">$J$27/AN279*(BY279-1)-CA279-BZ279*(2*AF279/AM279-$J$27/AN279)</f>
        <v>0.198812070380318</v>
      </c>
      <c r="CH279" s="60" t="n">
        <f aca="false">$K$27/AN279*(BY279-1)-CA279-BZ279*(2*AG279/AM279-$K$27/AN279)</f>
        <v>0.198812070380318</v>
      </c>
      <c r="CI279" s="60" t="n">
        <f aca="false">$L$27/AN279*(BY279-1)-CA279-BZ279*(2*AH279/AM279-$L$27/AN279)</f>
        <v>0.198812070380318</v>
      </c>
      <c r="CJ279" s="60" t="n">
        <f aca="false">$M$27/AN279*(BY279-1)-CA279-BZ279*(2*AI279/AM279-$M$27/AN279)</f>
        <v>0.198812070380318</v>
      </c>
      <c r="CK279" s="60" t="n">
        <f aca="false">$N$27/AN279*(BY279-1)-CA279-BZ279*(2*AJ279/AM279-$N$27/AN279)</f>
        <v>0.198812070380318</v>
      </c>
      <c r="CL279" s="60" t="n">
        <f aca="false">$O$27/AN279*(BY279-1)-CA279-BZ279*(2*AK279/AM279-$O$27/AN279)</f>
        <v>0.198812070380318</v>
      </c>
      <c r="CM279" s="60" t="n">
        <f aca="false">$P$27/AN279*(BY279-1)-CA279-BZ279*(2*AL279/AM279-$P$27/AN279)</f>
        <v>0.198812070380318</v>
      </c>
      <c r="CN279" s="60" t="n">
        <f aca="false">AP279/BY279&gt;$C$22</f>
        <v>0</v>
      </c>
      <c r="CO279" s="60" t="n">
        <f aca="false">1-N279+SUMPRODUCT(B279:M279,CB279:CM279)-SUMPRODUCT(B279:M279,CB278:CM278)</f>
        <v>0</v>
      </c>
      <c r="CP279" s="60" t="n">
        <f aca="false">SUMXMY2(O279:Z279,$E$13:$P$13)</f>
        <v>0</v>
      </c>
    </row>
    <row r="280" customFormat="false" ht="15" hidden="false" customHeight="false" outlineLevel="0" collapsed="false">
      <c r="A280" s="59" t="n">
        <v>27</v>
      </c>
      <c r="B280" s="60" t="n">
        <f aca="false">$E$13*EXP(MAX(-700,MIN(700,$E$86-CB279)))</f>
        <v>1</v>
      </c>
      <c r="C280" s="60" t="n">
        <f aca="false">$F$13*EXP(MAX(-700,MIN(700,$F$86-CC279)))</f>
        <v>0</v>
      </c>
      <c r="D280" s="60" t="n">
        <f aca="false">$G$13*EXP(MAX(-700,MIN(700,$G$86-CD279)))</f>
        <v>0</v>
      </c>
      <c r="E280" s="60" t="n">
        <f aca="false">$H$13*EXP(MAX(-700,MIN(700,$H$86-CE279)))</f>
        <v>0</v>
      </c>
      <c r="F280" s="60" t="n">
        <f aca="false">$I$13*EXP(MAX(-700,MIN(700,$I$86-CF279)))</f>
        <v>0</v>
      </c>
      <c r="G280" s="60" t="n">
        <f aca="false">$J$13*EXP(MAX(-700,MIN(700,$J$86-CG279)))</f>
        <v>0</v>
      </c>
      <c r="H280" s="60" t="n">
        <f aca="false">$K$13*EXP(MAX(-700,MIN(700,$K$86-CH279)))</f>
        <v>0</v>
      </c>
      <c r="I280" s="60" t="n">
        <f aca="false">$L$13*EXP(MAX(-700,MIN(700,$L$86-CI279)))</f>
        <v>0</v>
      </c>
      <c r="J280" s="60" t="n">
        <f aca="false">$M$13*EXP(MAX(-700,MIN(700,$M$86-CJ279)))</f>
        <v>0</v>
      </c>
      <c r="K280" s="60" t="n">
        <f aca="false">$N$13*EXP(MAX(-700,MIN(700,$N$86-CK279)))</f>
        <v>0</v>
      </c>
      <c r="L280" s="60" t="n">
        <f aca="false">$O$13*EXP(MAX(-700,MIN(700,$O$86-CL279)))</f>
        <v>0</v>
      </c>
      <c r="M280" s="60" t="n">
        <f aca="false">$P$13*EXP(MAX(-700,MIN(700,$P$86-CM279)))</f>
        <v>0</v>
      </c>
      <c r="N280" s="60" t="n">
        <f aca="false">SUM(B280:M280)</f>
        <v>1</v>
      </c>
      <c r="O280" s="60" t="n">
        <f aca="false">B280/N280</f>
        <v>1</v>
      </c>
      <c r="P280" s="60" t="n">
        <f aca="false">C280/N280</f>
        <v>0</v>
      </c>
      <c r="Q280" s="60" t="n">
        <f aca="false">D280/N280</f>
        <v>0</v>
      </c>
      <c r="R280" s="60" t="n">
        <f aca="false">E280/N280</f>
        <v>0</v>
      </c>
      <c r="S280" s="60" t="n">
        <f aca="false">F280/N280</f>
        <v>0</v>
      </c>
      <c r="T280" s="60" t="n">
        <f aca="false">G280/N280</f>
        <v>0</v>
      </c>
      <c r="U280" s="60" t="n">
        <f aca="false">H280/N280</f>
        <v>0</v>
      </c>
      <c r="V280" s="60" t="n">
        <f aca="false">I280/N280</f>
        <v>0</v>
      </c>
      <c r="W280" s="60" t="n">
        <f aca="false">J280/N280</f>
        <v>0</v>
      </c>
      <c r="X280" s="60" t="n">
        <f aca="false">K280/N280</f>
        <v>0</v>
      </c>
      <c r="Y280" s="60" t="n">
        <f aca="false">L280/N280</f>
        <v>0</v>
      </c>
      <c r="Z280" s="60" t="n">
        <f aca="false">M280/N280</f>
        <v>0</v>
      </c>
      <c r="AA280" s="60" t="n">
        <f aca="false">$E$28*SUMPRODUCT($E$31:$P$31,O280:Z280,$E$28:$P$28)</f>
        <v>0.184416866619846</v>
      </c>
      <c r="AB280" s="60" t="n">
        <f aca="false">$F$28*SUMPRODUCT($E$32:$P$32,O280:Z280,$E$28:$P$28)</f>
        <v>0</v>
      </c>
      <c r="AC280" s="60" t="n">
        <f aca="false">$G$28*SUMPRODUCT($E$33:$P$33,O280:Z280,$E$28:$P$28)</f>
        <v>0</v>
      </c>
      <c r="AD280" s="60" t="n">
        <f aca="false">$H$28*SUMPRODUCT($E$34:$P$34,O280:Z280,$E$28:$P$28)</f>
        <v>0</v>
      </c>
      <c r="AE280" s="60" t="n">
        <f aca="false">$I$28*SUMPRODUCT($E$35:$P$35,O280:Z280,$E$28:$P$28)</f>
        <v>0</v>
      </c>
      <c r="AF280" s="60" t="n">
        <f aca="false">$J$28*SUMPRODUCT($E$36:$P$36,O280:Z280,$E$28:$P$28)</f>
        <v>0</v>
      </c>
      <c r="AG280" s="60" t="n">
        <f aca="false">$K$28*SUMPRODUCT($E$37:$P$37,O280:Z280,$E$28:$P$28)</f>
        <v>0</v>
      </c>
      <c r="AH280" s="60" t="n">
        <f aca="false">$L$28*SUMPRODUCT($E$38:$P$38,O280:Z280,$E$28:$P$28)</f>
        <v>0</v>
      </c>
      <c r="AI280" s="60" t="n">
        <f aca="false">$M$28*SUMPRODUCT($E$39:$P$39,O280:Z280,$E$28:$P$28)</f>
        <v>0</v>
      </c>
      <c r="AJ280" s="60" t="n">
        <f aca="false">$N$28*SUMPRODUCT($E$40:$P$40,O280:Z280,$E$28:$P$28)</f>
        <v>0</v>
      </c>
      <c r="AK280" s="60" t="n">
        <f aca="false">$O$28*SUMPRODUCT($E$41:$P$41,O280:Z280,$E$28:$P$28)</f>
        <v>0</v>
      </c>
      <c r="AL280" s="60" t="n">
        <f aca="false">$P$28*SUMPRODUCT($E$42:$P$42,O280:Z280,$E$28:$P$28)</f>
        <v>0</v>
      </c>
      <c r="AM280" s="60" t="n">
        <f aca="false">SUMPRODUCT(O280:Z280,AA280:AL280)</f>
        <v>0.184416866619846</v>
      </c>
      <c r="AN280" s="60" t="n">
        <f aca="false">SUMPRODUCT(O280:Z280,$E$27:$P$27)</f>
        <v>2.67389635063809E-005</v>
      </c>
      <c r="AO280" s="60" t="n">
        <f aca="false">AM280*$C$9/($C$10*$C$8)^2</f>
        <v>0.21776909410545</v>
      </c>
      <c r="AP280" s="60" t="n">
        <f aca="false">AN280*$C$9/($C$10*$C$8)</f>
        <v>0.0918845243259994</v>
      </c>
      <c r="AQ280" s="60" t="n">
        <f aca="false">CHOOSE($C$7,-(1+AP280),-1,-(1-AP280))</f>
        <v>-0.908115475674001</v>
      </c>
      <c r="AR280" s="60" t="n">
        <f aca="false">CHOOSE($C$7,AO280,AO280-AP280-AP280^2,AO280-3*AP280^2-2*AP280)</f>
        <v>0.00867174802160559</v>
      </c>
      <c r="AS280" s="60" t="n">
        <f aca="false">CHOOSE($C$7,-AO280*AP280,-AO280*AP280,-(AO280*AP280-AP280^2-AP280^3))</f>
        <v>-0.0107910842936637</v>
      </c>
      <c r="AT280" s="60" t="n">
        <f aca="false">AR280-AQ280^2/3</f>
        <v>-0.266219491031267</v>
      </c>
      <c r="AU280" s="60" t="n">
        <f aca="false">2*AQ280^3/27-AQ280*AR280/3+AS280</f>
        <v>-0.0636400988362784</v>
      </c>
      <c r="AV280" s="60" t="n">
        <f aca="false">AU280^2/4+AT280^3/27</f>
        <v>0.000313710901361829</v>
      </c>
      <c r="AW280" s="60" t="n">
        <f aca="false">-AU280/2-IF(AU280&gt;=0,1,-1)*SQRT(MAX(AV280,0))</f>
        <v>0.0495319352963236</v>
      </c>
      <c r="AX280" s="60" t="n">
        <f aca="false">SIGN(AW280)*ABS(AW280)^(1/3)</f>
        <v>0.367249967174439</v>
      </c>
      <c r="AY280" s="60" t="n">
        <f aca="false">IF(AX280=0,0,AX280-AT280/(3*AX280))</f>
        <v>0.60888329127384</v>
      </c>
      <c r="AZ280" s="60" t="n">
        <f aca="false">2*SQRT(MAX(-AT280,0)/3)</f>
        <v>0.595784626668918</v>
      </c>
      <c r="BA280" s="60" t="n">
        <f aca="false">ACOS(IF(AZ280=0,0,MAX(-1,MIN(1,3*AU280/(AT280*AZ280)))))</f>
        <v>0</v>
      </c>
      <c r="BB280" s="60" t="n">
        <f aca="false">AZ280*COS(BA280/3)</f>
        <v>0.595784626668918</v>
      </c>
      <c r="BC280" s="60" t="n">
        <f aca="false">IF(AV280&lt;0,BB280,AY280)-AQ280/3</f>
        <v>0.91158844983184</v>
      </c>
      <c r="BD280" s="60" t="n">
        <f aca="false">IFERROR((((BC280+AQ280)*BC280+AR280)*BC280+AS280)/((3*BC280+2*AQ280)*BC280+AR280),0)</f>
        <v>0</v>
      </c>
      <c r="BE280" s="60" t="n">
        <f aca="false">IF(ABS(BD280)&lt;0.1*ABS(BC280),BC280-BD280,BC280)</f>
        <v>0.91158844983184</v>
      </c>
      <c r="BF280" s="60" t="n">
        <f aca="false">IFERROR((((BE280+AQ280)*BE280+AR280)*BE280+AS280)/((3*BE280+2*AQ280)*BE280+AR280),0)</f>
        <v>0</v>
      </c>
      <c r="BG280" s="60" t="n">
        <f aca="false">IF(ABS(BF280)&lt;0.1*ABS(BE280),BE280-BF280,BE280)</f>
        <v>0.91158844983184</v>
      </c>
      <c r="BH280" s="60" t="n">
        <f aca="false">-AS280/BG280</f>
        <v>0.0118376711504565</v>
      </c>
      <c r="BI280" s="60" t="n">
        <f aca="false">(AR280-BH280)/BG280</f>
        <v>-0.00347297415783941</v>
      </c>
      <c r="BJ280" s="60" t="n">
        <f aca="false">BI280^2-4*BH280</f>
        <v>-0.0473386230523248</v>
      </c>
      <c r="BK280" s="60" t="n">
        <f aca="false">IF(BJ280&gt;=0,(BI280+IF(BI280&gt;=0,1,-1)*SQRT(BJ280))/2,0)</f>
        <v>0</v>
      </c>
      <c r="BL280" s="60" t="n">
        <f aca="false">IF(AND(BJ280&gt;=0,BK280&lt;&gt;0),MIN(BK280,BH280/BK280),-1)</f>
        <v>-1</v>
      </c>
      <c r="BM280" s="60" t="n">
        <f aca="false">AND(BJ280&gt;=0,BL280&gt;AP280,ABS(BG280-BL280)&gt;=0.00005*MAX(BG280,BL280))</f>
        <v>0</v>
      </c>
      <c r="BN280" s="60" t="n">
        <f aca="false">IF(BM280,IFERROR((((BL280+AQ280)*BL280+AR280)*BL280+AS280)/((3*BL280+2*AQ280)*BL280+AR280),0),0)</f>
        <v>0</v>
      </c>
      <c r="BO280" s="60" t="n">
        <f aca="false">IF(ABS(BN280)&lt;0.1*ABS(BL280),BL280-BN280,BL280)</f>
        <v>-1</v>
      </c>
      <c r="BP280" s="60" t="n">
        <f aca="false">IF(BM280,IFERROR((((BO280+AQ280)*BO280+AR280)*BO280+AS280)/((3*BO280+2*AQ280)*BO280+AR280),0),0)</f>
        <v>0</v>
      </c>
      <c r="BQ280" s="60" t="n">
        <f aca="false">IF(ABS(BP280)&lt;0.1*ABS(BO280),BO280-BP280,BO280)</f>
        <v>-1</v>
      </c>
      <c r="BR280" s="60" t="n">
        <f aca="false">IF(BM280,MAX(BG280,BQ280),BG280)</f>
        <v>0.91158844983184</v>
      </c>
      <c r="BS280" s="60" t="n">
        <f aca="false">IF(BM280,MIN(BG280,BQ280),-1)</f>
        <v>-1</v>
      </c>
      <c r="BT280" s="60" t="n">
        <f aca="false">CHOOSE($C$7,AO280/BR280,AO280/AP280*LN(1+AP280/BR280),AO280/(2*SQRT(2)*AP280)*LN((BR280+(1+SQRT(2))*AP280)/(BR280+(1-SQRT(2))*AP280)))</f>
        <v>0.218240791233887</v>
      </c>
      <c r="BU280" s="60" t="n">
        <f aca="false">BR280-1-LN(BR280-AP280)-BT280</f>
        <v>-0.107840271021729</v>
      </c>
      <c r="BV280" s="60" t="n">
        <f aca="false">IF(BM280,CHOOSE($C$7,AO280/BS280,AO280/AP280*LN(1+AP280/BS280),AO280/(2*SQRT(2)*AP280)*LN((BS280+(1+SQRT(2))*AP280)/(BS280+(1-SQRT(2))*AP280))),0)</f>
        <v>0</v>
      </c>
      <c r="BW280" s="60" t="n">
        <f aca="false">IF(BM280,BS280-1-LN(BS280-AP280)-BV280,0)</f>
        <v>0</v>
      </c>
      <c r="BX280" s="60" t="n">
        <f aca="false">AND(BM280,BW280&lt;BU280)</f>
        <v>0</v>
      </c>
      <c r="BY280" s="60" t="n">
        <f aca="false">IF(BX280,BS280,BR280)</f>
        <v>0.91158844983184</v>
      </c>
      <c r="BZ280" s="60" t="n">
        <f aca="false">IF(BX280,BV280,BT280)</f>
        <v>0.218240791233887</v>
      </c>
      <c r="CA280" s="60" t="n">
        <f aca="false">LN(BY280-AP280)</f>
        <v>-0.198812070380318</v>
      </c>
      <c r="CB280" s="60" t="n">
        <f aca="false">$E$27/AN280*(BY280-1)-CA280-BZ280*(2*AA280/AM280-$E$27/AN280)</f>
        <v>-0.107840271021729</v>
      </c>
      <c r="CC280" s="60" t="n">
        <f aca="false">$F$27/AN280*(BY280-1)-CA280-BZ280*(2*AB280/AM280-$F$27/AN280)</f>
        <v>0.198812070380318</v>
      </c>
      <c r="CD280" s="60" t="n">
        <f aca="false">$G$27/AN280*(BY280-1)-CA280-BZ280*(2*AC280/AM280-$G$27/AN280)</f>
        <v>0.198812070380318</v>
      </c>
      <c r="CE280" s="60" t="n">
        <f aca="false">$H$27/AN280*(BY280-1)-CA280-BZ280*(2*AD280/AM280-$H$27/AN280)</f>
        <v>0.198812070380318</v>
      </c>
      <c r="CF280" s="60" t="n">
        <f aca="false">$I$27/AN280*(BY280-1)-CA280-BZ280*(2*AE280/AM280-$I$27/AN280)</f>
        <v>0.198812070380318</v>
      </c>
      <c r="CG280" s="60" t="n">
        <f aca="false">$J$27/AN280*(BY280-1)-CA280-BZ280*(2*AF280/AM280-$J$27/AN280)</f>
        <v>0.198812070380318</v>
      </c>
      <c r="CH280" s="60" t="n">
        <f aca="false">$K$27/AN280*(BY280-1)-CA280-BZ280*(2*AG280/AM280-$K$27/AN280)</f>
        <v>0.198812070380318</v>
      </c>
      <c r="CI280" s="60" t="n">
        <f aca="false">$L$27/AN280*(BY280-1)-CA280-BZ280*(2*AH280/AM280-$L$27/AN280)</f>
        <v>0.198812070380318</v>
      </c>
      <c r="CJ280" s="60" t="n">
        <f aca="false">$M$27/AN280*(BY280-1)-CA280-BZ280*(2*AI280/AM280-$M$27/AN280)</f>
        <v>0.198812070380318</v>
      </c>
      <c r="CK280" s="60" t="n">
        <f aca="false">$N$27/AN280*(BY280-1)-CA280-BZ280*(2*AJ280/AM280-$N$27/AN280)</f>
        <v>0.198812070380318</v>
      </c>
      <c r="CL280" s="60" t="n">
        <f aca="false">$O$27/AN280*(BY280-1)-CA280-BZ280*(2*AK280/AM280-$O$27/AN280)</f>
        <v>0.198812070380318</v>
      </c>
      <c r="CM280" s="60" t="n">
        <f aca="false">$P$27/AN280*(BY280-1)-CA280-BZ280*(2*AL280/AM280-$P$27/AN280)</f>
        <v>0.198812070380318</v>
      </c>
      <c r="CN280" s="60" t="n">
        <f aca="false">AP280/BY280&gt;$C$22</f>
        <v>0</v>
      </c>
      <c r="CO280" s="60" t="n">
        <f aca="false">1-N280+SUMPRODUCT(B280:M280,CB280:CM280)-SUMPRODUCT(B280:M280,CB279:CM279)</f>
        <v>0</v>
      </c>
      <c r="CP280" s="60" t="n">
        <f aca="false">SUMXMY2(O280:Z280,$E$13:$P$13)</f>
        <v>0</v>
      </c>
    </row>
    <row r="281" customFormat="false" ht="15" hidden="false" customHeight="false" outlineLevel="0" collapsed="false">
      <c r="A281" s="59" t="n">
        <v>28</v>
      </c>
      <c r="B281" s="60" t="n">
        <f aca="false">$E$13*EXP(MAX(-700,MIN(700,$E$86-CB280)))</f>
        <v>1</v>
      </c>
      <c r="C281" s="60" t="n">
        <f aca="false">$F$13*EXP(MAX(-700,MIN(700,$F$86-CC280)))</f>
        <v>0</v>
      </c>
      <c r="D281" s="60" t="n">
        <f aca="false">$G$13*EXP(MAX(-700,MIN(700,$G$86-CD280)))</f>
        <v>0</v>
      </c>
      <c r="E281" s="60" t="n">
        <f aca="false">$H$13*EXP(MAX(-700,MIN(700,$H$86-CE280)))</f>
        <v>0</v>
      </c>
      <c r="F281" s="60" t="n">
        <f aca="false">$I$13*EXP(MAX(-700,MIN(700,$I$86-CF280)))</f>
        <v>0</v>
      </c>
      <c r="G281" s="60" t="n">
        <f aca="false">$J$13*EXP(MAX(-700,MIN(700,$J$86-CG280)))</f>
        <v>0</v>
      </c>
      <c r="H281" s="60" t="n">
        <f aca="false">$K$13*EXP(MAX(-700,MIN(700,$K$86-CH280)))</f>
        <v>0</v>
      </c>
      <c r="I281" s="60" t="n">
        <f aca="false">$L$13*EXP(MAX(-700,MIN(700,$L$86-CI280)))</f>
        <v>0</v>
      </c>
      <c r="J281" s="60" t="n">
        <f aca="false">$M$13*EXP(MAX(-700,MIN(700,$M$86-CJ280)))</f>
        <v>0</v>
      </c>
      <c r="K281" s="60" t="n">
        <f aca="false">$N$13*EXP(MAX(-700,MIN(700,$N$86-CK280)))</f>
        <v>0</v>
      </c>
      <c r="L281" s="60" t="n">
        <f aca="false">$O$13*EXP(MAX(-700,MIN(700,$O$86-CL280)))</f>
        <v>0</v>
      </c>
      <c r="M281" s="60" t="n">
        <f aca="false">$P$13*EXP(MAX(-700,MIN(700,$P$86-CM280)))</f>
        <v>0</v>
      </c>
      <c r="N281" s="60" t="n">
        <f aca="false">SUM(B281:M281)</f>
        <v>1</v>
      </c>
      <c r="O281" s="60" t="n">
        <f aca="false">B281/N281</f>
        <v>1</v>
      </c>
      <c r="P281" s="60" t="n">
        <f aca="false">C281/N281</f>
        <v>0</v>
      </c>
      <c r="Q281" s="60" t="n">
        <f aca="false">D281/N281</f>
        <v>0</v>
      </c>
      <c r="R281" s="60" t="n">
        <f aca="false">E281/N281</f>
        <v>0</v>
      </c>
      <c r="S281" s="60" t="n">
        <f aca="false">F281/N281</f>
        <v>0</v>
      </c>
      <c r="T281" s="60" t="n">
        <f aca="false">G281/N281</f>
        <v>0</v>
      </c>
      <c r="U281" s="60" t="n">
        <f aca="false">H281/N281</f>
        <v>0</v>
      </c>
      <c r="V281" s="60" t="n">
        <f aca="false">I281/N281</f>
        <v>0</v>
      </c>
      <c r="W281" s="60" t="n">
        <f aca="false">J281/N281</f>
        <v>0</v>
      </c>
      <c r="X281" s="60" t="n">
        <f aca="false">K281/N281</f>
        <v>0</v>
      </c>
      <c r="Y281" s="60" t="n">
        <f aca="false">L281/N281</f>
        <v>0</v>
      </c>
      <c r="Z281" s="60" t="n">
        <f aca="false">M281/N281</f>
        <v>0</v>
      </c>
      <c r="AA281" s="60" t="n">
        <f aca="false">$E$28*SUMPRODUCT($E$31:$P$31,O281:Z281,$E$28:$P$28)</f>
        <v>0.184416866619846</v>
      </c>
      <c r="AB281" s="60" t="n">
        <f aca="false">$F$28*SUMPRODUCT($E$32:$P$32,O281:Z281,$E$28:$P$28)</f>
        <v>0</v>
      </c>
      <c r="AC281" s="60" t="n">
        <f aca="false">$G$28*SUMPRODUCT($E$33:$P$33,O281:Z281,$E$28:$P$28)</f>
        <v>0</v>
      </c>
      <c r="AD281" s="60" t="n">
        <f aca="false">$H$28*SUMPRODUCT($E$34:$P$34,O281:Z281,$E$28:$P$28)</f>
        <v>0</v>
      </c>
      <c r="AE281" s="60" t="n">
        <f aca="false">$I$28*SUMPRODUCT($E$35:$P$35,O281:Z281,$E$28:$P$28)</f>
        <v>0</v>
      </c>
      <c r="AF281" s="60" t="n">
        <f aca="false">$J$28*SUMPRODUCT($E$36:$P$36,O281:Z281,$E$28:$P$28)</f>
        <v>0</v>
      </c>
      <c r="AG281" s="60" t="n">
        <f aca="false">$K$28*SUMPRODUCT($E$37:$P$37,O281:Z281,$E$28:$P$28)</f>
        <v>0</v>
      </c>
      <c r="AH281" s="60" t="n">
        <f aca="false">$L$28*SUMPRODUCT($E$38:$P$38,O281:Z281,$E$28:$P$28)</f>
        <v>0</v>
      </c>
      <c r="AI281" s="60" t="n">
        <f aca="false">$M$28*SUMPRODUCT($E$39:$P$39,O281:Z281,$E$28:$P$28)</f>
        <v>0</v>
      </c>
      <c r="AJ281" s="60" t="n">
        <f aca="false">$N$28*SUMPRODUCT($E$40:$P$40,O281:Z281,$E$28:$P$28)</f>
        <v>0</v>
      </c>
      <c r="AK281" s="60" t="n">
        <f aca="false">$O$28*SUMPRODUCT($E$41:$P$41,O281:Z281,$E$28:$P$28)</f>
        <v>0</v>
      </c>
      <c r="AL281" s="60" t="n">
        <f aca="false">$P$28*SUMPRODUCT($E$42:$P$42,O281:Z281,$E$28:$P$28)</f>
        <v>0</v>
      </c>
      <c r="AM281" s="60" t="n">
        <f aca="false">SUMPRODUCT(O281:Z281,AA281:AL281)</f>
        <v>0.184416866619846</v>
      </c>
      <c r="AN281" s="60" t="n">
        <f aca="false">SUMPRODUCT(O281:Z281,$E$27:$P$27)</f>
        <v>2.67389635063809E-005</v>
      </c>
      <c r="AO281" s="60" t="n">
        <f aca="false">AM281*$C$9/($C$10*$C$8)^2</f>
        <v>0.21776909410545</v>
      </c>
      <c r="AP281" s="60" t="n">
        <f aca="false">AN281*$C$9/($C$10*$C$8)</f>
        <v>0.0918845243259994</v>
      </c>
      <c r="AQ281" s="60" t="n">
        <f aca="false">CHOOSE($C$7,-(1+AP281),-1,-(1-AP281))</f>
        <v>-0.908115475674001</v>
      </c>
      <c r="AR281" s="60" t="n">
        <f aca="false">CHOOSE($C$7,AO281,AO281-AP281-AP281^2,AO281-3*AP281^2-2*AP281)</f>
        <v>0.00867174802160559</v>
      </c>
      <c r="AS281" s="60" t="n">
        <f aca="false">CHOOSE($C$7,-AO281*AP281,-AO281*AP281,-(AO281*AP281-AP281^2-AP281^3))</f>
        <v>-0.0107910842936637</v>
      </c>
      <c r="AT281" s="60" t="n">
        <f aca="false">AR281-AQ281^2/3</f>
        <v>-0.266219491031267</v>
      </c>
      <c r="AU281" s="60" t="n">
        <f aca="false">2*AQ281^3/27-AQ281*AR281/3+AS281</f>
        <v>-0.0636400988362784</v>
      </c>
      <c r="AV281" s="60" t="n">
        <f aca="false">AU281^2/4+AT281^3/27</f>
        <v>0.000313710901361829</v>
      </c>
      <c r="AW281" s="60" t="n">
        <f aca="false">-AU281/2-IF(AU281&gt;=0,1,-1)*SQRT(MAX(AV281,0))</f>
        <v>0.0495319352963236</v>
      </c>
      <c r="AX281" s="60" t="n">
        <f aca="false">SIGN(AW281)*ABS(AW281)^(1/3)</f>
        <v>0.367249967174439</v>
      </c>
      <c r="AY281" s="60" t="n">
        <f aca="false">IF(AX281=0,0,AX281-AT281/(3*AX281))</f>
        <v>0.60888329127384</v>
      </c>
      <c r="AZ281" s="60" t="n">
        <f aca="false">2*SQRT(MAX(-AT281,0)/3)</f>
        <v>0.595784626668918</v>
      </c>
      <c r="BA281" s="60" t="n">
        <f aca="false">ACOS(IF(AZ281=0,0,MAX(-1,MIN(1,3*AU281/(AT281*AZ281)))))</f>
        <v>0</v>
      </c>
      <c r="BB281" s="60" t="n">
        <f aca="false">AZ281*COS(BA281/3)</f>
        <v>0.595784626668918</v>
      </c>
      <c r="BC281" s="60" t="n">
        <f aca="false">IF(AV281&lt;0,BB281,AY281)-AQ281/3</f>
        <v>0.91158844983184</v>
      </c>
      <c r="BD281" s="60" t="n">
        <f aca="false">IFERROR((((BC281+AQ281)*BC281+AR281)*BC281+AS281)/((3*BC281+2*AQ281)*BC281+AR281),0)</f>
        <v>0</v>
      </c>
      <c r="BE281" s="60" t="n">
        <f aca="false">IF(ABS(BD281)&lt;0.1*ABS(BC281),BC281-BD281,BC281)</f>
        <v>0.91158844983184</v>
      </c>
      <c r="BF281" s="60" t="n">
        <f aca="false">IFERROR((((BE281+AQ281)*BE281+AR281)*BE281+AS281)/((3*BE281+2*AQ281)*BE281+AR281),0)</f>
        <v>0</v>
      </c>
      <c r="BG281" s="60" t="n">
        <f aca="false">IF(ABS(BF281)&lt;0.1*ABS(BE281),BE281-BF281,BE281)</f>
        <v>0.91158844983184</v>
      </c>
      <c r="BH281" s="60" t="n">
        <f aca="false">-AS281/BG281</f>
        <v>0.0118376711504565</v>
      </c>
      <c r="BI281" s="60" t="n">
        <f aca="false">(AR281-BH281)/BG281</f>
        <v>-0.00347297415783941</v>
      </c>
      <c r="BJ281" s="60" t="n">
        <f aca="false">BI281^2-4*BH281</f>
        <v>-0.0473386230523248</v>
      </c>
      <c r="BK281" s="60" t="n">
        <f aca="false">IF(BJ281&gt;=0,(BI281+IF(BI281&gt;=0,1,-1)*SQRT(BJ281))/2,0)</f>
        <v>0</v>
      </c>
      <c r="BL281" s="60" t="n">
        <f aca="false">IF(AND(BJ281&gt;=0,BK281&lt;&gt;0),MIN(BK281,BH281/BK281),-1)</f>
        <v>-1</v>
      </c>
      <c r="BM281" s="60" t="n">
        <f aca="false">AND(BJ281&gt;=0,BL281&gt;AP281,ABS(BG281-BL281)&gt;=0.00005*MAX(BG281,BL281))</f>
        <v>0</v>
      </c>
      <c r="BN281" s="60" t="n">
        <f aca="false">IF(BM281,IFERROR((((BL281+AQ281)*BL281+AR281)*BL281+AS281)/((3*BL281+2*AQ281)*BL281+AR281),0),0)</f>
        <v>0</v>
      </c>
      <c r="BO281" s="60" t="n">
        <f aca="false">IF(ABS(BN281)&lt;0.1*ABS(BL281),BL281-BN281,BL281)</f>
        <v>-1</v>
      </c>
      <c r="BP281" s="60" t="n">
        <f aca="false">IF(BM281,IFERROR((((BO281+AQ281)*BO281+AR281)*BO281+AS281)/((3*BO281+2*AQ281)*BO281+AR281),0),0)</f>
        <v>0</v>
      </c>
      <c r="BQ281" s="60" t="n">
        <f aca="false">IF(ABS(BP281)&lt;0.1*ABS(BO281),BO281-BP281,BO281)</f>
        <v>-1</v>
      </c>
      <c r="BR281" s="60" t="n">
        <f aca="false">IF(BM281,MAX(BG281,BQ281),BG281)</f>
        <v>0.91158844983184</v>
      </c>
      <c r="BS281" s="60" t="n">
        <f aca="false">IF(BM281,MIN(BG281,BQ281),-1)</f>
        <v>-1</v>
      </c>
      <c r="BT281" s="60" t="n">
        <f aca="false">CHOOSE($C$7,AO281/BR281,AO281/AP281*LN(1+AP281/BR281),AO281/(2*SQRT(2)*AP281)*LN((BR281+(1+SQRT(2))*AP281)/(BR281+(1-SQRT(2))*AP281)))</f>
        <v>0.218240791233887</v>
      </c>
      <c r="BU281" s="60" t="n">
        <f aca="false">BR281-1-LN(BR281-AP281)-BT281</f>
        <v>-0.107840271021729</v>
      </c>
      <c r="BV281" s="60" t="n">
        <f aca="false">IF(BM281,CHOOSE($C$7,AO281/BS281,AO281/AP281*LN(1+AP281/BS281),AO281/(2*SQRT(2)*AP281)*LN((BS281+(1+SQRT(2))*AP281)/(BS281+(1-SQRT(2))*AP281))),0)</f>
        <v>0</v>
      </c>
      <c r="BW281" s="60" t="n">
        <f aca="false">IF(BM281,BS281-1-LN(BS281-AP281)-BV281,0)</f>
        <v>0</v>
      </c>
      <c r="BX281" s="60" t="n">
        <f aca="false">AND(BM281,BW281&lt;BU281)</f>
        <v>0</v>
      </c>
      <c r="BY281" s="60" t="n">
        <f aca="false">IF(BX281,BS281,BR281)</f>
        <v>0.91158844983184</v>
      </c>
      <c r="BZ281" s="60" t="n">
        <f aca="false">IF(BX281,BV281,BT281)</f>
        <v>0.218240791233887</v>
      </c>
      <c r="CA281" s="60" t="n">
        <f aca="false">LN(BY281-AP281)</f>
        <v>-0.198812070380318</v>
      </c>
      <c r="CB281" s="60" t="n">
        <f aca="false">$E$27/AN281*(BY281-1)-CA281-BZ281*(2*AA281/AM281-$E$27/AN281)</f>
        <v>-0.107840271021729</v>
      </c>
      <c r="CC281" s="60" t="n">
        <f aca="false">$F$27/AN281*(BY281-1)-CA281-BZ281*(2*AB281/AM281-$F$27/AN281)</f>
        <v>0.198812070380318</v>
      </c>
      <c r="CD281" s="60" t="n">
        <f aca="false">$G$27/AN281*(BY281-1)-CA281-BZ281*(2*AC281/AM281-$G$27/AN281)</f>
        <v>0.198812070380318</v>
      </c>
      <c r="CE281" s="60" t="n">
        <f aca="false">$H$27/AN281*(BY281-1)-CA281-BZ281*(2*AD281/AM281-$H$27/AN281)</f>
        <v>0.198812070380318</v>
      </c>
      <c r="CF281" s="60" t="n">
        <f aca="false">$I$27/AN281*(BY281-1)-CA281-BZ281*(2*AE281/AM281-$I$27/AN281)</f>
        <v>0.198812070380318</v>
      </c>
      <c r="CG281" s="60" t="n">
        <f aca="false">$J$27/AN281*(BY281-1)-CA281-BZ281*(2*AF281/AM281-$J$27/AN281)</f>
        <v>0.198812070380318</v>
      </c>
      <c r="CH281" s="60" t="n">
        <f aca="false">$K$27/AN281*(BY281-1)-CA281-BZ281*(2*AG281/AM281-$K$27/AN281)</f>
        <v>0.198812070380318</v>
      </c>
      <c r="CI281" s="60" t="n">
        <f aca="false">$L$27/AN281*(BY281-1)-CA281-BZ281*(2*AH281/AM281-$L$27/AN281)</f>
        <v>0.198812070380318</v>
      </c>
      <c r="CJ281" s="60" t="n">
        <f aca="false">$M$27/AN281*(BY281-1)-CA281-BZ281*(2*AI281/AM281-$M$27/AN281)</f>
        <v>0.198812070380318</v>
      </c>
      <c r="CK281" s="60" t="n">
        <f aca="false">$N$27/AN281*(BY281-1)-CA281-BZ281*(2*AJ281/AM281-$N$27/AN281)</f>
        <v>0.198812070380318</v>
      </c>
      <c r="CL281" s="60" t="n">
        <f aca="false">$O$27/AN281*(BY281-1)-CA281-BZ281*(2*AK281/AM281-$O$27/AN281)</f>
        <v>0.198812070380318</v>
      </c>
      <c r="CM281" s="60" t="n">
        <f aca="false">$P$27/AN281*(BY281-1)-CA281-BZ281*(2*AL281/AM281-$P$27/AN281)</f>
        <v>0.198812070380318</v>
      </c>
      <c r="CN281" s="60" t="n">
        <f aca="false">AP281/BY281&gt;$C$22</f>
        <v>0</v>
      </c>
      <c r="CO281" s="60" t="n">
        <f aca="false">1-N281+SUMPRODUCT(B281:M281,CB281:CM281)-SUMPRODUCT(B281:M281,CB280:CM280)</f>
        <v>0</v>
      </c>
      <c r="CP281" s="60" t="n">
        <f aca="false">SUMXMY2(O281:Z281,$E$13:$P$13)</f>
        <v>0</v>
      </c>
    </row>
    <row r="282" customFormat="false" ht="15" hidden="false" customHeight="false" outlineLevel="0" collapsed="false">
      <c r="A282" s="59" t="n">
        <v>29</v>
      </c>
      <c r="B282" s="60" t="n">
        <f aca="false">$E$13*EXP(MAX(-700,MIN(700,$E$86-CB281)))</f>
        <v>1</v>
      </c>
      <c r="C282" s="60" t="n">
        <f aca="false">$F$13*EXP(MAX(-700,MIN(700,$F$86-CC281)))</f>
        <v>0</v>
      </c>
      <c r="D282" s="60" t="n">
        <f aca="false">$G$13*EXP(MAX(-700,MIN(700,$G$86-CD281)))</f>
        <v>0</v>
      </c>
      <c r="E282" s="60" t="n">
        <f aca="false">$H$13*EXP(MAX(-700,MIN(700,$H$86-CE281)))</f>
        <v>0</v>
      </c>
      <c r="F282" s="60" t="n">
        <f aca="false">$I$13*EXP(MAX(-700,MIN(700,$I$86-CF281)))</f>
        <v>0</v>
      </c>
      <c r="G282" s="60" t="n">
        <f aca="false">$J$13*EXP(MAX(-700,MIN(700,$J$86-CG281)))</f>
        <v>0</v>
      </c>
      <c r="H282" s="60" t="n">
        <f aca="false">$K$13*EXP(MAX(-700,MIN(700,$K$86-CH281)))</f>
        <v>0</v>
      </c>
      <c r="I282" s="60" t="n">
        <f aca="false">$L$13*EXP(MAX(-700,MIN(700,$L$86-CI281)))</f>
        <v>0</v>
      </c>
      <c r="J282" s="60" t="n">
        <f aca="false">$M$13*EXP(MAX(-700,MIN(700,$M$86-CJ281)))</f>
        <v>0</v>
      </c>
      <c r="K282" s="60" t="n">
        <f aca="false">$N$13*EXP(MAX(-700,MIN(700,$N$86-CK281)))</f>
        <v>0</v>
      </c>
      <c r="L282" s="60" t="n">
        <f aca="false">$O$13*EXP(MAX(-700,MIN(700,$O$86-CL281)))</f>
        <v>0</v>
      </c>
      <c r="M282" s="60" t="n">
        <f aca="false">$P$13*EXP(MAX(-700,MIN(700,$P$86-CM281)))</f>
        <v>0</v>
      </c>
      <c r="N282" s="60" t="n">
        <f aca="false">SUM(B282:M282)</f>
        <v>1</v>
      </c>
      <c r="O282" s="60" t="n">
        <f aca="false">B282/N282</f>
        <v>1</v>
      </c>
      <c r="P282" s="60" t="n">
        <f aca="false">C282/N282</f>
        <v>0</v>
      </c>
      <c r="Q282" s="60" t="n">
        <f aca="false">D282/N282</f>
        <v>0</v>
      </c>
      <c r="R282" s="60" t="n">
        <f aca="false">E282/N282</f>
        <v>0</v>
      </c>
      <c r="S282" s="60" t="n">
        <f aca="false">F282/N282</f>
        <v>0</v>
      </c>
      <c r="T282" s="60" t="n">
        <f aca="false">G282/N282</f>
        <v>0</v>
      </c>
      <c r="U282" s="60" t="n">
        <f aca="false">H282/N282</f>
        <v>0</v>
      </c>
      <c r="V282" s="60" t="n">
        <f aca="false">I282/N282</f>
        <v>0</v>
      </c>
      <c r="W282" s="60" t="n">
        <f aca="false">J282/N282</f>
        <v>0</v>
      </c>
      <c r="X282" s="60" t="n">
        <f aca="false">K282/N282</f>
        <v>0</v>
      </c>
      <c r="Y282" s="60" t="n">
        <f aca="false">L282/N282</f>
        <v>0</v>
      </c>
      <c r="Z282" s="60" t="n">
        <f aca="false">M282/N282</f>
        <v>0</v>
      </c>
      <c r="AA282" s="60" t="n">
        <f aca="false">$E$28*SUMPRODUCT($E$31:$P$31,O282:Z282,$E$28:$P$28)</f>
        <v>0.184416866619846</v>
      </c>
      <c r="AB282" s="60" t="n">
        <f aca="false">$F$28*SUMPRODUCT($E$32:$P$32,O282:Z282,$E$28:$P$28)</f>
        <v>0</v>
      </c>
      <c r="AC282" s="60" t="n">
        <f aca="false">$G$28*SUMPRODUCT($E$33:$P$33,O282:Z282,$E$28:$P$28)</f>
        <v>0</v>
      </c>
      <c r="AD282" s="60" t="n">
        <f aca="false">$H$28*SUMPRODUCT($E$34:$P$34,O282:Z282,$E$28:$P$28)</f>
        <v>0</v>
      </c>
      <c r="AE282" s="60" t="n">
        <f aca="false">$I$28*SUMPRODUCT($E$35:$P$35,O282:Z282,$E$28:$P$28)</f>
        <v>0</v>
      </c>
      <c r="AF282" s="60" t="n">
        <f aca="false">$J$28*SUMPRODUCT($E$36:$P$36,O282:Z282,$E$28:$P$28)</f>
        <v>0</v>
      </c>
      <c r="AG282" s="60" t="n">
        <f aca="false">$K$28*SUMPRODUCT($E$37:$P$37,O282:Z282,$E$28:$P$28)</f>
        <v>0</v>
      </c>
      <c r="AH282" s="60" t="n">
        <f aca="false">$L$28*SUMPRODUCT($E$38:$P$38,O282:Z282,$E$28:$P$28)</f>
        <v>0</v>
      </c>
      <c r="AI282" s="60" t="n">
        <f aca="false">$M$28*SUMPRODUCT($E$39:$P$39,O282:Z282,$E$28:$P$28)</f>
        <v>0</v>
      </c>
      <c r="AJ282" s="60" t="n">
        <f aca="false">$N$28*SUMPRODUCT($E$40:$P$40,O282:Z282,$E$28:$P$28)</f>
        <v>0</v>
      </c>
      <c r="AK282" s="60" t="n">
        <f aca="false">$O$28*SUMPRODUCT($E$41:$P$41,O282:Z282,$E$28:$P$28)</f>
        <v>0</v>
      </c>
      <c r="AL282" s="60" t="n">
        <f aca="false">$P$28*SUMPRODUCT($E$42:$P$42,O282:Z282,$E$28:$P$28)</f>
        <v>0</v>
      </c>
      <c r="AM282" s="60" t="n">
        <f aca="false">SUMPRODUCT(O282:Z282,AA282:AL282)</f>
        <v>0.184416866619846</v>
      </c>
      <c r="AN282" s="60" t="n">
        <f aca="false">SUMPRODUCT(O282:Z282,$E$27:$P$27)</f>
        <v>2.67389635063809E-005</v>
      </c>
      <c r="AO282" s="60" t="n">
        <f aca="false">AM282*$C$9/($C$10*$C$8)^2</f>
        <v>0.21776909410545</v>
      </c>
      <c r="AP282" s="60" t="n">
        <f aca="false">AN282*$C$9/($C$10*$C$8)</f>
        <v>0.0918845243259994</v>
      </c>
      <c r="AQ282" s="60" t="n">
        <f aca="false">CHOOSE($C$7,-(1+AP282),-1,-(1-AP282))</f>
        <v>-0.908115475674001</v>
      </c>
      <c r="AR282" s="60" t="n">
        <f aca="false">CHOOSE($C$7,AO282,AO282-AP282-AP282^2,AO282-3*AP282^2-2*AP282)</f>
        <v>0.00867174802160559</v>
      </c>
      <c r="AS282" s="60" t="n">
        <f aca="false">CHOOSE($C$7,-AO282*AP282,-AO282*AP282,-(AO282*AP282-AP282^2-AP282^3))</f>
        <v>-0.0107910842936637</v>
      </c>
      <c r="AT282" s="60" t="n">
        <f aca="false">AR282-AQ282^2/3</f>
        <v>-0.266219491031267</v>
      </c>
      <c r="AU282" s="60" t="n">
        <f aca="false">2*AQ282^3/27-AQ282*AR282/3+AS282</f>
        <v>-0.0636400988362784</v>
      </c>
      <c r="AV282" s="60" t="n">
        <f aca="false">AU282^2/4+AT282^3/27</f>
        <v>0.000313710901361829</v>
      </c>
      <c r="AW282" s="60" t="n">
        <f aca="false">-AU282/2-IF(AU282&gt;=0,1,-1)*SQRT(MAX(AV282,0))</f>
        <v>0.0495319352963236</v>
      </c>
      <c r="AX282" s="60" t="n">
        <f aca="false">SIGN(AW282)*ABS(AW282)^(1/3)</f>
        <v>0.367249967174439</v>
      </c>
      <c r="AY282" s="60" t="n">
        <f aca="false">IF(AX282=0,0,AX282-AT282/(3*AX282))</f>
        <v>0.60888329127384</v>
      </c>
      <c r="AZ282" s="60" t="n">
        <f aca="false">2*SQRT(MAX(-AT282,0)/3)</f>
        <v>0.595784626668918</v>
      </c>
      <c r="BA282" s="60" t="n">
        <f aca="false">ACOS(IF(AZ282=0,0,MAX(-1,MIN(1,3*AU282/(AT282*AZ282)))))</f>
        <v>0</v>
      </c>
      <c r="BB282" s="60" t="n">
        <f aca="false">AZ282*COS(BA282/3)</f>
        <v>0.595784626668918</v>
      </c>
      <c r="BC282" s="60" t="n">
        <f aca="false">IF(AV282&lt;0,BB282,AY282)-AQ282/3</f>
        <v>0.91158844983184</v>
      </c>
      <c r="BD282" s="60" t="n">
        <f aca="false">IFERROR((((BC282+AQ282)*BC282+AR282)*BC282+AS282)/((3*BC282+2*AQ282)*BC282+AR282),0)</f>
        <v>0</v>
      </c>
      <c r="BE282" s="60" t="n">
        <f aca="false">IF(ABS(BD282)&lt;0.1*ABS(BC282),BC282-BD282,BC282)</f>
        <v>0.91158844983184</v>
      </c>
      <c r="BF282" s="60" t="n">
        <f aca="false">IFERROR((((BE282+AQ282)*BE282+AR282)*BE282+AS282)/((3*BE282+2*AQ282)*BE282+AR282),0)</f>
        <v>0</v>
      </c>
      <c r="BG282" s="60" t="n">
        <f aca="false">IF(ABS(BF282)&lt;0.1*ABS(BE282),BE282-BF282,BE282)</f>
        <v>0.91158844983184</v>
      </c>
      <c r="BH282" s="60" t="n">
        <f aca="false">-AS282/BG282</f>
        <v>0.0118376711504565</v>
      </c>
      <c r="BI282" s="60" t="n">
        <f aca="false">(AR282-BH282)/BG282</f>
        <v>-0.00347297415783941</v>
      </c>
      <c r="BJ282" s="60" t="n">
        <f aca="false">BI282^2-4*BH282</f>
        <v>-0.0473386230523248</v>
      </c>
      <c r="BK282" s="60" t="n">
        <f aca="false">IF(BJ282&gt;=0,(BI282+IF(BI282&gt;=0,1,-1)*SQRT(BJ282))/2,0)</f>
        <v>0</v>
      </c>
      <c r="BL282" s="60" t="n">
        <f aca="false">IF(AND(BJ282&gt;=0,BK282&lt;&gt;0),MIN(BK282,BH282/BK282),-1)</f>
        <v>-1</v>
      </c>
      <c r="BM282" s="60" t="n">
        <f aca="false">AND(BJ282&gt;=0,BL282&gt;AP282,ABS(BG282-BL282)&gt;=0.00005*MAX(BG282,BL282))</f>
        <v>0</v>
      </c>
      <c r="BN282" s="60" t="n">
        <f aca="false">IF(BM282,IFERROR((((BL282+AQ282)*BL282+AR282)*BL282+AS282)/((3*BL282+2*AQ282)*BL282+AR282),0),0)</f>
        <v>0</v>
      </c>
      <c r="BO282" s="60" t="n">
        <f aca="false">IF(ABS(BN282)&lt;0.1*ABS(BL282),BL282-BN282,BL282)</f>
        <v>-1</v>
      </c>
      <c r="BP282" s="60" t="n">
        <f aca="false">IF(BM282,IFERROR((((BO282+AQ282)*BO282+AR282)*BO282+AS282)/((3*BO282+2*AQ282)*BO282+AR282),0),0)</f>
        <v>0</v>
      </c>
      <c r="BQ282" s="60" t="n">
        <f aca="false">IF(ABS(BP282)&lt;0.1*ABS(BO282),BO282-BP282,BO282)</f>
        <v>-1</v>
      </c>
      <c r="BR282" s="60" t="n">
        <f aca="false">IF(BM282,MAX(BG282,BQ282),BG282)</f>
        <v>0.91158844983184</v>
      </c>
      <c r="BS282" s="60" t="n">
        <f aca="false">IF(BM282,MIN(BG282,BQ282),-1)</f>
        <v>-1</v>
      </c>
      <c r="BT282" s="60" t="n">
        <f aca="false">CHOOSE($C$7,AO282/BR282,AO282/AP282*LN(1+AP282/BR282),AO282/(2*SQRT(2)*AP282)*LN((BR282+(1+SQRT(2))*AP282)/(BR282+(1-SQRT(2))*AP282)))</f>
        <v>0.218240791233887</v>
      </c>
      <c r="BU282" s="60" t="n">
        <f aca="false">BR282-1-LN(BR282-AP282)-BT282</f>
        <v>-0.107840271021729</v>
      </c>
      <c r="BV282" s="60" t="n">
        <f aca="false">IF(BM282,CHOOSE($C$7,AO282/BS282,AO282/AP282*LN(1+AP282/BS282),AO282/(2*SQRT(2)*AP282)*LN((BS282+(1+SQRT(2))*AP282)/(BS282+(1-SQRT(2))*AP282))),0)</f>
        <v>0</v>
      </c>
      <c r="BW282" s="60" t="n">
        <f aca="false">IF(BM282,BS282-1-LN(BS282-AP282)-BV282,0)</f>
        <v>0</v>
      </c>
      <c r="BX282" s="60" t="n">
        <f aca="false">AND(BM282,BW282&lt;BU282)</f>
        <v>0</v>
      </c>
      <c r="BY282" s="60" t="n">
        <f aca="false">IF(BX282,BS282,BR282)</f>
        <v>0.91158844983184</v>
      </c>
      <c r="BZ282" s="60" t="n">
        <f aca="false">IF(BX282,BV282,BT282)</f>
        <v>0.218240791233887</v>
      </c>
      <c r="CA282" s="60" t="n">
        <f aca="false">LN(BY282-AP282)</f>
        <v>-0.198812070380318</v>
      </c>
      <c r="CB282" s="60" t="n">
        <f aca="false">$E$27/AN282*(BY282-1)-CA282-BZ282*(2*AA282/AM282-$E$27/AN282)</f>
        <v>-0.107840271021729</v>
      </c>
      <c r="CC282" s="60" t="n">
        <f aca="false">$F$27/AN282*(BY282-1)-CA282-BZ282*(2*AB282/AM282-$F$27/AN282)</f>
        <v>0.198812070380318</v>
      </c>
      <c r="CD282" s="60" t="n">
        <f aca="false">$G$27/AN282*(BY282-1)-CA282-BZ282*(2*AC282/AM282-$G$27/AN282)</f>
        <v>0.198812070380318</v>
      </c>
      <c r="CE282" s="60" t="n">
        <f aca="false">$H$27/AN282*(BY282-1)-CA282-BZ282*(2*AD282/AM282-$H$27/AN282)</f>
        <v>0.198812070380318</v>
      </c>
      <c r="CF282" s="60" t="n">
        <f aca="false">$I$27/AN282*(BY282-1)-CA282-BZ282*(2*AE282/AM282-$I$27/AN282)</f>
        <v>0.198812070380318</v>
      </c>
      <c r="CG282" s="60" t="n">
        <f aca="false">$J$27/AN282*(BY282-1)-CA282-BZ282*(2*AF282/AM282-$J$27/AN282)</f>
        <v>0.198812070380318</v>
      </c>
      <c r="CH282" s="60" t="n">
        <f aca="false">$K$27/AN282*(BY282-1)-CA282-BZ282*(2*AG282/AM282-$K$27/AN282)</f>
        <v>0.198812070380318</v>
      </c>
      <c r="CI282" s="60" t="n">
        <f aca="false">$L$27/AN282*(BY282-1)-CA282-BZ282*(2*AH282/AM282-$L$27/AN282)</f>
        <v>0.198812070380318</v>
      </c>
      <c r="CJ282" s="60" t="n">
        <f aca="false">$M$27/AN282*(BY282-1)-CA282-BZ282*(2*AI282/AM282-$M$27/AN282)</f>
        <v>0.198812070380318</v>
      </c>
      <c r="CK282" s="60" t="n">
        <f aca="false">$N$27/AN282*(BY282-1)-CA282-BZ282*(2*AJ282/AM282-$N$27/AN282)</f>
        <v>0.198812070380318</v>
      </c>
      <c r="CL282" s="60" t="n">
        <f aca="false">$O$27/AN282*(BY282-1)-CA282-BZ282*(2*AK282/AM282-$O$27/AN282)</f>
        <v>0.198812070380318</v>
      </c>
      <c r="CM282" s="60" t="n">
        <f aca="false">$P$27/AN282*(BY282-1)-CA282-BZ282*(2*AL282/AM282-$P$27/AN282)</f>
        <v>0.198812070380318</v>
      </c>
      <c r="CN282" s="60" t="n">
        <f aca="false">AP282/BY282&gt;$C$22</f>
        <v>0</v>
      </c>
      <c r="CO282" s="60" t="n">
        <f aca="false">1-N282+SUMPRODUCT(B282:M282,CB282:CM282)-SUMPRODUCT(B282:M282,CB281:CM281)</f>
        <v>0</v>
      </c>
      <c r="CP282" s="60" t="n">
        <f aca="false">SUMXMY2(O282:Z282,$E$13:$P$13)</f>
        <v>0</v>
      </c>
    </row>
    <row r="283" customFormat="false" ht="15" hidden="false" customHeight="false" outlineLevel="0" collapsed="false">
      <c r="A283" s="59" t="n">
        <v>30</v>
      </c>
      <c r="B283" s="60" t="n">
        <f aca="false">$E$13*EXP(MAX(-700,MIN(700,$E$86-CB282)))</f>
        <v>1</v>
      </c>
      <c r="C283" s="60" t="n">
        <f aca="false">$F$13*EXP(MAX(-700,MIN(700,$F$86-CC282)))</f>
        <v>0</v>
      </c>
      <c r="D283" s="60" t="n">
        <f aca="false">$G$13*EXP(MAX(-700,MIN(700,$G$86-CD282)))</f>
        <v>0</v>
      </c>
      <c r="E283" s="60" t="n">
        <f aca="false">$H$13*EXP(MAX(-700,MIN(700,$H$86-CE282)))</f>
        <v>0</v>
      </c>
      <c r="F283" s="60" t="n">
        <f aca="false">$I$13*EXP(MAX(-700,MIN(700,$I$86-CF282)))</f>
        <v>0</v>
      </c>
      <c r="G283" s="60" t="n">
        <f aca="false">$J$13*EXP(MAX(-700,MIN(700,$J$86-CG282)))</f>
        <v>0</v>
      </c>
      <c r="H283" s="60" t="n">
        <f aca="false">$K$13*EXP(MAX(-700,MIN(700,$K$86-CH282)))</f>
        <v>0</v>
      </c>
      <c r="I283" s="60" t="n">
        <f aca="false">$L$13*EXP(MAX(-700,MIN(700,$L$86-CI282)))</f>
        <v>0</v>
      </c>
      <c r="J283" s="60" t="n">
        <f aca="false">$M$13*EXP(MAX(-700,MIN(700,$M$86-CJ282)))</f>
        <v>0</v>
      </c>
      <c r="K283" s="60" t="n">
        <f aca="false">$N$13*EXP(MAX(-700,MIN(700,$N$86-CK282)))</f>
        <v>0</v>
      </c>
      <c r="L283" s="60" t="n">
        <f aca="false">$O$13*EXP(MAX(-700,MIN(700,$O$86-CL282)))</f>
        <v>0</v>
      </c>
      <c r="M283" s="60" t="n">
        <f aca="false">$P$13*EXP(MAX(-700,MIN(700,$P$86-CM282)))</f>
        <v>0</v>
      </c>
      <c r="N283" s="60" t="n">
        <f aca="false">SUM(B283:M283)</f>
        <v>1</v>
      </c>
      <c r="O283" s="60" t="n">
        <f aca="false">B283/N283</f>
        <v>1</v>
      </c>
      <c r="P283" s="60" t="n">
        <f aca="false">C283/N283</f>
        <v>0</v>
      </c>
      <c r="Q283" s="60" t="n">
        <f aca="false">D283/N283</f>
        <v>0</v>
      </c>
      <c r="R283" s="60" t="n">
        <f aca="false">E283/N283</f>
        <v>0</v>
      </c>
      <c r="S283" s="60" t="n">
        <f aca="false">F283/N283</f>
        <v>0</v>
      </c>
      <c r="T283" s="60" t="n">
        <f aca="false">G283/N283</f>
        <v>0</v>
      </c>
      <c r="U283" s="60" t="n">
        <f aca="false">H283/N283</f>
        <v>0</v>
      </c>
      <c r="V283" s="60" t="n">
        <f aca="false">I283/N283</f>
        <v>0</v>
      </c>
      <c r="W283" s="60" t="n">
        <f aca="false">J283/N283</f>
        <v>0</v>
      </c>
      <c r="X283" s="60" t="n">
        <f aca="false">K283/N283</f>
        <v>0</v>
      </c>
      <c r="Y283" s="60" t="n">
        <f aca="false">L283/N283</f>
        <v>0</v>
      </c>
      <c r="Z283" s="60" t="n">
        <f aca="false">M283/N283</f>
        <v>0</v>
      </c>
      <c r="AA283" s="60" t="n">
        <f aca="false">$E$28*SUMPRODUCT($E$31:$P$31,O283:Z283,$E$28:$P$28)</f>
        <v>0.184416866619846</v>
      </c>
      <c r="AB283" s="60" t="n">
        <f aca="false">$F$28*SUMPRODUCT($E$32:$P$32,O283:Z283,$E$28:$P$28)</f>
        <v>0</v>
      </c>
      <c r="AC283" s="60" t="n">
        <f aca="false">$G$28*SUMPRODUCT($E$33:$P$33,O283:Z283,$E$28:$P$28)</f>
        <v>0</v>
      </c>
      <c r="AD283" s="60" t="n">
        <f aca="false">$H$28*SUMPRODUCT($E$34:$P$34,O283:Z283,$E$28:$P$28)</f>
        <v>0</v>
      </c>
      <c r="AE283" s="60" t="n">
        <f aca="false">$I$28*SUMPRODUCT($E$35:$P$35,O283:Z283,$E$28:$P$28)</f>
        <v>0</v>
      </c>
      <c r="AF283" s="60" t="n">
        <f aca="false">$J$28*SUMPRODUCT($E$36:$P$36,O283:Z283,$E$28:$P$28)</f>
        <v>0</v>
      </c>
      <c r="AG283" s="60" t="n">
        <f aca="false">$K$28*SUMPRODUCT($E$37:$P$37,O283:Z283,$E$28:$P$28)</f>
        <v>0</v>
      </c>
      <c r="AH283" s="60" t="n">
        <f aca="false">$L$28*SUMPRODUCT($E$38:$P$38,O283:Z283,$E$28:$P$28)</f>
        <v>0</v>
      </c>
      <c r="AI283" s="60" t="n">
        <f aca="false">$M$28*SUMPRODUCT($E$39:$P$39,O283:Z283,$E$28:$P$28)</f>
        <v>0</v>
      </c>
      <c r="AJ283" s="60" t="n">
        <f aca="false">$N$28*SUMPRODUCT($E$40:$P$40,O283:Z283,$E$28:$P$28)</f>
        <v>0</v>
      </c>
      <c r="AK283" s="60" t="n">
        <f aca="false">$O$28*SUMPRODUCT($E$41:$P$41,O283:Z283,$E$28:$P$28)</f>
        <v>0</v>
      </c>
      <c r="AL283" s="60" t="n">
        <f aca="false">$P$28*SUMPRODUCT($E$42:$P$42,O283:Z283,$E$28:$P$28)</f>
        <v>0</v>
      </c>
      <c r="AM283" s="60" t="n">
        <f aca="false">SUMPRODUCT(O283:Z283,AA283:AL283)</f>
        <v>0.184416866619846</v>
      </c>
      <c r="AN283" s="60" t="n">
        <f aca="false">SUMPRODUCT(O283:Z283,$E$27:$P$27)</f>
        <v>2.67389635063809E-005</v>
      </c>
      <c r="AO283" s="60" t="n">
        <f aca="false">AM283*$C$9/($C$10*$C$8)^2</f>
        <v>0.21776909410545</v>
      </c>
      <c r="AP283" s="60" t="n">
        <f aca="false">AN283*$C$9/($C$10*$C$8)</f>
        <v>0.0918845243259994</v>
      </c>
      <c r="AQ283" s="60" t="n">
        <f aca="false">CHOOSE($C$7,-(1+AP283),-1,-(1-AP283))</f>
        <v>-0.908115475674001</v>
      </c>
      <c r="AR283" s="60" t="n">
        <f aca="false">CHOOSE($C$7,AO283,AO283-AP283-AP283^2,AO283-3*AP283^2-2*AP283)</f>
        <v>0.00867174802160559</v>
      </c>
      <c r="AS283" s="60" t="n">
        <f aca="false">CHOOSE($C$7,-AO283*AP283,-AO283*AP283,-(AO283*AP283-AP283^2-AP283^3))</f>
        <v>-0.0107910842936637</v>
      </c>
      <c r="AT283" s="60" t="n">
        <f aca="false">AR283-AQ283^2/3</f>
        <v>-0.266219491031267</v>
      </c>
      <c r="AU283" s="60" t="n">
        <f aca="false">2*AQ283^3/27-AQ283*AR283/3+AS283</f>
        <v>-0.0636400988362784</v>
      </c>
      <c r="AV283" s="60" t="n">
        <f aca="false">AU283^2/4+AT283^3/27</f>
        <v>0.000313710901361829</v>
      </c>
      <c r="AW283" s="60" t="n">
        <f aca="false">-AU283/2-IF(AU283&gt;=0,1,-1)*SQRT(MAX(AV283,0))</f>
        <v>0.0495319352963236</v>
      </c>
      <c r="AX283" s="60" t="n">
        <f aca="false">SIGN(AW283)*ABS(AW283)^(1/3)</f>
        <v>0.367249967174439</v>
      </c>
      <c r="AY283" s="60" t="n">
        <f aca="false">IF(AX283=0,0,AX283-AT283/(3*AX283))</f>
        <v>0.60888329127384</v>
      </c>
      <c r="AZ283" s="60" t="n">
        <f aca="false">2*SQRT(MAX(-AT283,0)/3)</f>
        <v>0.595784626668918</v>
      </c>
      <c r="BA283" s="60" t="n">
        <f aca="false">ACOS(IF(AZ283=0,0,MAX(-1,MIN(1,3*AU283/(AT283*AZ283)))))</f>
        <v>0</v>
      </c>
      <c r="BB283" s="60" t="n">
        <f aca="false">AZ283*COS(BA283/3)</f>
        <v>0.595784626668918</v>
      </c>
      <c r="BC283" s="60" t="n">
        <f aca="false">IF(AV283&lt;0,BB283,AY283)-AQ283/3</f>
        <v>0.91158844983184</v>
      </c>
      <c r="BD283" s="60" t="n">
        <f aca="false">IFERROR((((BC283+AQ283)*BC283+AR283)*BC283+AS283)/((3*BC283+2*AQ283)*BC283+AR283),0)</f>
        <v>0</v>
      </c>
      <c r="BE283" s="60" t="n">
        <f aca="false">IF(ABS(BD283)&lt;0.1*ABS(BC283),BC283-BD283,BC283)</f>
        <v>0.91158844983184</v>
      </c>
      <c r="BF283" s="60" t="n">
        <f aca="false">IFERROR((((BE283+AQ283)*BE283+AR283)*BE283+AS283)/((3*BE283+2*AQ283)*BE283+AR283),0)</f>
        <v>0</v>
      </c>
      <c r="BG283" s="60" t="n">
        <f aca="false">IF(ABS(BF283)&lt;0.1*ABS(BE283),BE283-BF283,BE283)</f>
        <v>0.91158844983184</v>
      </c>
      <c r="BH283" s="60" t="n">
        <f aca="false">-AS283/BG283</f>
        <v>0.0118376711504565</v>
      </c>
      <c r="BI283" s="60" t="n">
        <f aca="false">(AR283-BH283)/BG283</f>
        <v>-0.00347297415783941</v>
      </c>
      <c r="BJ283" s="60" t="n">
        <f aca="false">BI283^2-4*BH283</f>
        <v>-0.0473386230523248</v>
      </c>
      <c r="BK283" s="60" t="n">
        <f aca="false">IF(BJ283&gt;=0,(BI283+IF(BI283&gt;=0,1,-1)*SQRT(BJ283))/2,0)</f>
        <v>0</v>
      </c>
      <c r="BL283" s="60" t="n">
        <f aca="false">IF(AND(BJ283&gt;=0,BK283&lt;&gt;0),MIN(BK283,BH283/BK283),-1)</f>
        <v>-1</v>
      </c>
      <c r="BM283" s="60" t="n">
        <f aca="false">AND(BJ283&gt;=0,BL283&gt;AP283,ABS(BG283-BL283)&gt;=0.00005*MAX(BG283,BL283))</f>
        <v>0</v>
      </c>
      <c r="BN283" s="60" t="n">
        <f aca="false">IF(BM283,IFERROR((((BL283+AQ283)*BL283+AR283)*BL283+AS283)/((3*BL283+2*AQ283)*BL283+AR283),0),0)</f>
        <v>0</v>
      </c>
      <c r="BO283" s="60" t="n">
        <f aca="false">IF(ABS(BN283)&lt;0.1*ABS(BL283),BL283-BN283,BL283)</f>
        <v>-1</v>
      </c>
      <c r="BP283" s="60" t="n">
        <f aca="false">IF(BM283,IFERROR((((BO283+AQ283)*BO283+AR283)*BO283+AS283)/((3*BO283+2*AQ283)*BO283+AR283),0),0)</f>
        <v>0</v>
      </c>
      <c r="BQ283" s="60" t="n">
        <f aca="false">IF(ABS(BP283)&lt;0.1*ABS(BO283),BO283-BP283,BO283)</f>
        <v>-1</v>
      </c>
      <c r="BR283" s="60" t="n">
        <f aca="false">IF(BM283,MAX(BG283,BQ283),BG283)</f>
        <v>0.91158844983184</v>
      </c>
      <c r="BS283" s="60" t="n">
        <f aca="false">IF(BM283,MIN(BG283,BQ283),-1)</f>
        <v>-1</v>
      </c>
      <c r="BT283" s="60" t="n">
        <f aca="false">CHOOSE($C$7,AO283/BR283,AO283/AP283*LN(1+AP283/BR283),AO283/(2*SQRT(2)*AP283)*LN((BR283+(1+SQRT(2))*AP283)/(BR283+(1-SQRT(2))*AP283)))</f>
        <v>0.218240791233887</v>
      </c>
      <c r="BU283" s="60" t="n">
        <f aca="false">BR283-1-LN(BR283-AP283)-BT283</f>
        <v>-0.107840271021729</v>
      </c>
      <c r="BV283" s="60" t="n">
        <f aca="false">IF(BM283,CHOOSE($C$7,AO283/BS283,AO283/AP283*LN(1+AP283/BS283),AO283/(2*SQRT(2)*AP283)*LN((BS283+(1+SQRT(2))*AP283)/(BS283+(1-SQRT(2))*AP283))),0)</f>
        <v>0</v>
      </c>
      <c r="BW283" s="60" t="n">
        <f aca="false">IF(BM283,BS283-1-LN(BS283-AP283)-BV283,0)</f>
        <v>0</v>
      </c>
      <c r="BX283" s="60" t="n">
        <f aca="false">AND(BM283,BW283&lt;BU283)</f>
        <v>0</v>
      </c>
      <c r="BY283" s="60" t="n">
        <f aca="false">IF(BX283,BS283,BR283)</f>
        <v>0.91158844983184</v>
      </c>
      <c r="BZ283" s="60" t="n">
        <f aca="false">IF(BX283,BV283,BT283)</f>
        <v>0.218240791233887</v>
      </c>
      <c r="CA283" s="60" t="n">
        <f aca="false">LN(BY283-AP283)</f>
        <v>-0.198812070380318</v>
      </c>
      <c r="CB283" s="60" t="n">
        <f aca="false">$E$27/AN283*(BY283-1)-CA283-BZ283*(2*AA283/AM283-$E$27/AN283)</f>
        <v>-0.107840271021729</v>
      </c>
      <c r="CC283" s="60" t="n">
        <f aca="false">$F$27/AN283*(BY283-1)-CA283-BZ283*(2*AB283/AM283-$F$27/AN283)</f>
        <v>0.198812070380318</v>
      </c>
      <c r="CD283" s="60" t="n">
        <f aca="false">$G$27/AN283*(BY283-1)-CA283-BZ283*(2*AC283/AM283-$G$27/AN283)</f>
        <v>0.198812070380318</v>
      </c>
      <c r="CE283" s="60" t="n">
        <f aca="false">$H$27/AN283*(BY283-1)-CA283-BZ283*(2*AD283/AM283-$H$27/AN283)</f>
        <v>0.198812070380318</v>
      </c>
      <c r="CF283" s="60" t="n">
        <f aca="false">$I$27/AN283*(BY283-1)-CA283-BZ283*(2*AE283/AM283-$I$27/AN283)</f>
        <v>0.198812070380318</v>
      </c>
      <c r="CG283" s="60" t="n">
        <f aca="false">$J$27/AN283*(BY283-1)-CA283-BZ283*(2*AF283/AM283-$J$27/AN283)</f>
        <v>0.198812070380318</v>
      </c>
      <c r="CH283" s="60" t="n">
        <f aca="false">$K$27/AN283*(BY283-1)-CA283-BZ283*(2*AG283/AM283-$K$27/AN283)</f>
        <v>0.198812070380318</v>
      </c>
      <c r="CI283" s="60" t="n">
        <f aca="false">$L$27/AN283*(BY283-1)-CA283-BZ283*(2*AH283/AM283-$L$27/AN283)</f>
        <v>0.198812070380318</v>
      </c>
      <c r="CJ283" s="60" t="n">
        <f aca="false">$M$27/AN283*(BY283-1)-CA283-BZ283*(2*AI283/AM283-$M$27/AN283)</f>
        <v>0.198812070380318</v>
      </c>
      <c r="CK283" s="60" t="n">
        <f aca="false">$N$27/AN283*(BY283-1)-CA283-BZ283*(2*AJ283/AM283-$N$27/AN283)</f>
        <v>0.198812070380318</v>
      </c>
      <c r="CL283" s="60" t="n">
        <f aca="false">$O$27/AN283*(BY283-1)-CA283-BZ283*(2*AK283/AM283-$O$27/AN283)</f>
        <v>0.198812070380318</v>
      </c>
      <c r="CM283" s="60" t="n">
        <f aca="false">$P$27/AN283*(BY283-1)-CA283-BZ283*(2*AL283/AM283-$P$27/AN283)</f>
        <v>0.198812070380318</v>
      </c>
      <c r="CN283" s="60" t="n">
        <f aca="false">AP283/BY283&gt;$C$22</f>
        <v>0</v>
      </c>
      <c r="CO283" s="60" t="n">
        <f aca="false">1-N283+SUMPRODUCT(B283:M283,CB283:CM283)-SUMPRODUCT(B283:M283,CB282:CM282)</f>
        <v>0</v>
      </c>
      <c r="CP283" s="60" t="n">
        <f aca="false">SUMXMY2(O283:Z283,$E$13:$P$13)</f>
        <v>0</v>
      </c>
    </row>
    <row r="284" customFormat="false" ht="15" hidden="false" customHeight="false" outlineLevel="0" collapsed="false">
      <c r="A284" s="59" t="n">
        <v>31</v>
      </c>
      <c r="B284" s="60" t="n">
        <f aca="false">$E$13*EXP(MAX(-700,MIN(700,$E$86-CB283)))</f>
        <v>1</v>
      </c>
      <c r="C284" s="60" t="n">
        <f aca="false">$F$13*EXP(MAX(-700,MIN(700,$F$86-CC283)))</f>
        <v>0</v>
      </c>
      <c r="D284" s="60" t="n">
        <f aca="false">$G$13*EXP(MAX(-700,MIN(700,$G$86-CD283)))</f>
        <v>0</v>
      </c>
      <c r="E284" s="60" t="n">
        <f aca="false">$H$13*EXP(MAX(-700,MIN(700,$H$86-CE283)))</f>
        <v>0</v>
      </c>
      <c r="F284" s="60" t="n">
        <f aca="false">$I$13*EXP(MAX(-700,MIN(700,$I$86-CF283)))</f>
        <v>0</v>
      </c>
      <c r="G284" s="60" t="n">
        <f aca="false">$J$13*EXP(MAX(-700,MIN(700,$J$86-CG283)))</f>
        <v>0</v>
      </c>
      <c r="H284" s="60" t="n">
        <f aca="false">$K$13*EXP(MAX(-700,MIN(700,$K$86-CH283)))</f>
        <v>0</v>
      </c>
      <c r="I284" s="60" t="n">
        <f aca="false">$L$13*EXP(MAX(-700,MIN(700,$L$86-CI283)))</f>
        <v>0</v>
      </c>
      <c r="J284" s="60" t="n">
        <f aca="false">$M$13*EXP(MAX(-700,MIN(700,$M$86-CJ283)))</f>
        <v>0</v>
      </c>
      <c r="K284" s="60" t="n">
        <f aca="false">$N$13*EXP(MAX(-700,MIN(700,$N$86-CK283)))</f>
        <v>0</v>
      </c>
      <c r="L284" s="60" t="n">
        <f aca="false">$O$13*EXP(MAX(-700,MIN(700,$O$86-CL283)))</f>
        <v>0</v>
      </c>
      <c r="M284" s="60" t="n">
        <f aca="false">$P$13*EXP(MAX(-700,MIN(700,$P$86-CM283)))</f>
        <v>0</v>
      </c>
      <c r="N284" s="60" t="n">
        <f aca="false">SUM(B284:M284)</f>
        <v>1</v>
      </c>
      <c r="O284" s="60" t="n">
        <f aca="false">B284/N284</f>
        <v>1</v>
      </c>
      <c r="P284" s="60" t="n">
        <f aca="false">C284/N284</f>
        <v>0</v>
      </c>
      <c r="Q284" s="60" t="n">
        <f aca="false">D284/N284</f>
        <v>0</v>
      </c>
      <c r="R284" s="60" t="n">
        <f aca="false">E284/N284</f>
        <v>0</v>
      </c>
      <c r="S284" s="60" t="n">
        <f aca="false">F284/N284</f>
        <v>0</v>
      </c>
      <c r="T284" s="60" t="n">
        <f aca="false">G284/N284</f>
        <v>0</v>
      </c>
      <c r="U284" s="60" t="n">
        <f aca="false">H284/N284</f>
        <v>0</v>
      </c>
      <c r="V284" s="60" t="n">
        <f aca="false">I284/N284</f>
        <v>0</v>
      </c>
      <c r="W284" s="60" t="n">
        <f aca="false">J284/N284</f>
        <v>0</v>
      </c>
      <c r="X284" s="60" t="n">
        <f aca="false">K284/N284</f>
        <v>0</v>
      </c>
      <c r="Y284" s="60" t="n">
        <f aca="false">L284/N284</f>
        <v>0</v>
      </c>
      <c r="Z284" s="60" t="n">
        <f aca="false">M284/N284</f>
        <v>0</v>
      </c>
      <c r="AA284" s="60" t="n">
        <f aca="false">$E$28*SUMPRODUCT($E$31:$P$31,O284:Z284,$E$28:$P$28)</f>
        <v>0.184416866619846</v>
      </c>
      <c r="AB284" s="60" t="n">
        <f aca="false">$F$28*SUMPRODUCT($E$32:$P$32,O284:Z284,$E$28:$P$28)</f>
        <v>0</v>
      </c>
      <c r="AC284" s="60" t="n">
        <f aca="false">$G$28*SUMPRODUCT($E$33:$P$33,O284:Z284,$E$28:$P$28)</f>
        <v>0</v>
      </c>
      <c r="AD284" s="60" t="n">
        <f aca="false">$H$28*SUMPRODUCT($E$34:$P$34,O284:Z284,$E$28:$P$28)</f>
        <v>0</v>
      </c>
      <c r="AE284" s="60" t="n">
        <f aca="false">$I$28*SUMPRODUCT($E$35:$P$35,O284:Z284,$E$28:$P$28)</f>
        <v>0</v>
      </c>
      <c r="AF284" s="60" t="n">
        <f aca="false">$J$28*SUMPRODUCT($E$36:$P$36,O284:Z284,$E$28:$P$28)</f>
        <v>0</v>
      </c>
      <c r="AG284" s="60" t="n">
        <f aca="false">$K$28*SUMPRODUCT($E$37:$P$37,O284:Z284,$E$28:$P$28)</f>
        <v>0</v>
      </c>
      <c r="AH284" s="60" t="n">
        <f aca="false">$L$28*SUMPRODUCT($E$38:$P$38,O284:Z284,$E$28:$P$28)</f>
        <v>0</v>
      </c>
      <c r="AI284" s="60" t="n">
        <f aca="false">$M$28*SUMPRODUCT($E$39:$P$39,O284:Z284,$E$28:$P$28)</f>
        <v>0</v>
      </c>
      <c r="AJ284" s="60" t="n">
        <f aca="false">$N$28*SUMPRODUCT($E$40:$P$40,O284:Z284,$E$28:$P$28)</f>
        <v>0</v>
      </c>
      <c r="AK284" s="60" t="n">
        <f aca="false">$O$28*SUMPRODUCT($E$41:$P$41,O284:Z284,$E$28:$P$28)</f>
        <v>0</v>
      </c>
      <c r="AL284" s="60" t="n">
        <f aca="false">$P$28*SUMPRODUCT($E$42:$P$42,O284:Z284,$E$28:$P$28)</f>
        <v>0</v>
      </c>
      <c r="AM284" s="60" t="n">
        <f aca="false">SUMPRODUCT(O284:Z284,AA284:AL284)</f>
        <v>0.184416866619846</v>
      </c>
      <c r="AN284" s="60" t="n">
        <f aca="false">SUMPRODUCT(O284:Z284,$E$27:$P$27)</f>
        <v>2.67389635063809E-005</v>
      </c>
      <c r="AO284" s="60" t="n">
        <f aca="false">AM284*$C$9/($C$10*$C$8)^2</f>
        <v>0.21776909410545</v>
      </c>
      <c r="AP284" s="60" t="n">
        <f aca="false">AN284*$C$9/($C$10*$C$8)</f>
        <v>0.0918845243259994</v>
      </c>
      <c r="AQ284" s="60" t="n">
        <f aca="false">CHOOSE($C$7,-(1+AP284),-1,-(1-AP284))</f>
        <v>-0.908115475674001</v>
      </c>
      <c r="AR284" s="60" t="n">
        <f aca="false">CHOOSE($C$7,AO284,AO284-AP284-AP284^2,AO284-3*AP284^2-2*AP284)</f>
        <v>0.00867174802160559</v>
      </c>
      <c r="AS284" s="60" t="n">
        <f aca="false">CHOOSE($C$7,-AO284*AP284,-AO284*AP284,-(AO284*AP284-AP284^2-AP284^3))</f>
        <v>-0.0107910842936637</v>
      </c>
      <c r="AT284" s="60" t="n">
        <f aca="false">AR284-AQ284^2/3</f>
        <v>-0.266219491031267</v>
      </c>
      <c r="AU284" s="60" t="n">
        <f aca="false">2*AQ284^3/27-AQ284*AR284/3+AS284</f>
        <v>-0.0636400988362784</v>
      </c>
      <c r="AV284" s="60" t="n">
        <f aca="false">AU284^2/4+AT284^3/27</f>
        <v>0.000313710901361829</v>
      </c>
      <c r="AW284" s="60" t="n">
        <f aca="false">-AU284/2-IF(AU284&gt;=0,1,-1)*SQRT(MAX(AV284,0))</f>
        <v>0.0495319352963236</v>
      </c>
      <c r="AX284" s="60" t="n">
        <f aca="false">SIGN(AW284)*ABS(AW284)^(1/3)</f>
        <v>0.367249967174439</v>
      </c>
      <c r="AY284" s="60" t="n">
        <f aca="false">IF(AX284=0,0,AX284-AT284/(3*AX284))</f>
        <v>0.60888329127384</v>
      </c>
      <c r="AZ284" s="60" t="n">
        <f aca="false">2*SQRT(MAX(-AT284,0)/3)</f>
        <v>0.595784626668918</v>
      </c>
      <c r="BA284" s="60" t="n">
        <f aca="false">ACOS(IF(AZ284=0,0,MAX(-1,MIN(1,3*AU284/(AT284*AZ284)))))</f>
        <v>0</v>
      </c>
      <c r="BB284" s="60" t="n">
        <f aca="false">AZ284*COS(BA284/3)</f>
        <v>0.595784626668918</v>
      </c>
      <c r="BC284" s="60" t="n">
        <f aca="false">IF(AV284&lt;0,BB284,AY284)-AQ284/3</f>
        <v>0.91158844983184</v>
      </c>
      <c r="BD284" s="60" t="n">
        <f aca="false">IFERROR((((BC284+AQ284)*BC284+AR284)*BC284+AS284)/((3*BC284+2*AQ284)*BC284+AR284),0)</f>
        <v>0</v>
      </c>
      <c r="BE284" s="60" t="n">
        <f aca="false">IF(ABS(BD284)&lt;0.1*ABS(BC284),BC284-BD284,BC284)</f>
        <v>0.91158844983184</v>
      </c>
      <c r="BF284" s="60" t="n">
        <f aca="false">IFERROR((((BE284+AQ284)*BE284+AR284)*BE284+AS284)/((3*BE284+2*AQ284)*BE284+AR284),0)</f>
        <v>0</v>
      </c>
      <c r="BG284" s="60" t="n">
        <f aca="false">IF(ABS(BF284)&lt;0.1*ABS(BE284),BE284-BF284,BE284)</f>
        <v>0.91158844983184</v>
      </c>
      <c r="BH284" s="60" t="n">
        <f aca="false">-AS284/BG284</f>
        <v>0.0118376711504565</v>
      </c>
      <c r="BI284" s="60" t="n">
        <f aca="false">(AR284-BH284)/BG284</f>
        <v>-0.00347297415783941</v>
      </c>
      <c r="BJ284" s="60" t="n">
        <f aca="false">BI284^2-4*BH284</f>
        <v>-0.0473386230523248</v>
      </c>
      <c r="BK284" s="60" t="n">
        <f aca="false">IF(BJ284&gt;=0,(BI284+IF(BI284&gt;=0,1,-1)*SQRT(BJ284))/2,0)</f>
        <v>0</v>
      </c>
      <c r="BL284" s="60" t="n">
        <f aca="false">IF(AND(BJ284&gt;=0,BK284&lt;&gt;0),MIN(BK284,BH284/BK284),-1)</f>
        <v>-1</v>
      </c>
      <c r="BM284" s="60" t="n">
        <f aca="false">AND(BJ284&gt;=0,BL284&gt;AP284,ABS(BG284-BL284)&gt;=0.00005*MAX(BG284,BL284))</f>
        <v>0</v>
      </c>
      <c r="BN284" s="60" t="n">
        <f aca="false">IF(BM284,IFERROR((((BL284+AQ284)*BL284+AR284)*BL284+AS284)/((3*BL284+2*AQ284)*BL284+AR284),0),0)</f>
        <v>0</v>
      </c>
      <c r="BO284" s="60" t="n">
        <f aca="false">IF(ABS(BN284)&lt;0.1*ABS(BL284),BL284-BN284,BL284)</f>
        <v>-1</v>
      </c>
      <c r="BP284" s="60" t="n">
        <f aca="false">IF(BM284,IFERROR((((BO284+AQ284)*BO284+AR284)*BO284+AS284)/((3*BO284+2*AQ284)*BO284+AR284),0),0)</f>
        <v>0</v>
      </c>
      <c r="BQ284" s="60" t="n">
        <f aca="false">IF(ABS(BP284)&lt;0.1*ABS(BO284),BO284-BP284,BO284)</f>
        <v>-1</v>
      </c>
      <c r="BR284" s="60" t="n">
        <f aca="false">IF(BM284,MAX(BG284,BQ284),BG284)</f>
        <v>0.91158844983184</v>
      </c>
      <c r="BS284" s="60" t="n">
        <f aca="false">IF(BM284,MIN(BG284,BQ284),-1)</f>
        <v>-1</v>
      </c>
      <c r="BT284" s="60" t="n">
        <f aca="false">CHOOSE($C$7,AO284/BR284,AO284/AP284*LN(1+AP284/BR284),AO284/(2*SQRT(2)*AP284)*LN((BR284+(1+SQRT(2))*AP284)/(BR284+(1-SQRT(2))*AP284)))</f>
        <v>0.218240791233887</v>
      </c>
      <c r="BU284" s="60" t="n">
        <f aca="false">BR284-1-LN(BR284-AP284)-BT284</f>
        <v>-0.107840271021729</v>
      </c>
      <c r="BV284" s="60" t="n">
        <f aca="false">IF(BM284,CHOOSE($C$7,AO284/BS284,AO284/AP284*LN(1+AP284/BS284),AO284/(2*SQRT(2)*AP284)*LN((BS284+(1+SQRT(2))*AP284)/(BS284+(1-SQRT(2))*AP284))),0)</f>
        <v>0</v>
      </c>
      <c r="BW284" s="60" t="n">
        <f aca="false">IF(BM284,BS284-1-LN(BS284-AP284)-BV284,0)</f>
        <v>0</v>
      </c>
      <c r="BX284" s="60" t="n">
        <f aca="false">AND(BM284,BW284&lt;BU284)</f>
        <v>0</v>
      </c>
      <c r="BY284" s="60" t="n">
        <f aca="false">IF(BX284,BS284,BR284)</f>
        <v>0.91158844983184</v>
      </c>
      <c r="BZ284" s="60" t="n">
        <f aca="false">IF(BX284,BV284,BT284)</f>
        <v>0.218240791233887</v>
      </c>
      <c r="CA284" s="60" t="n">
        <f aca="false">LN(BY284-AP284)</f>
        <v>-0.198812070380318</v>
      </c>
      <c r="CB284" s="60" t="n">
        <f aca="false">$E$27/AN284*(BY284-1)-CA284-BZ284*(2*AA284/AM284-$E$27/AN284)</f>
        <v>-0.107840271021729</v>
      </c>
      <c r="CC284" s="60" t="n">
        <f aca="false">$F$27/AN284*(BY284-1)-CA284-BZ284*(2*AB284/AM284-$F$27/AN284)</f>
        <v>0.198812070380318</v>
      </c>
      <c r="CD284" s="60" t="n">
        <f aca="false">$G$27/AN284*(BY284-1)-CA284-BZ284*(2*AC284/AM284-$G$27/AN284)</f>
        <v>0.198812070380318</v>
      </c>
      <c r="CE284" s="60" t="n">
        <f aca="false">$H$27/AN284*(BY284-1)-CA284-BZ284*(2*AD284/AM284-$H$27/AN284)</f>
        <v>0.198812070380318</v>
      </c>
      <c r="CF284" s="60" t="n">
        <f aca="false">$I$27/AN284*(BY284-1)-CA284-BZ284*(2*AE284/AM284-$I$27/AN284)</f>
        <v>0.198812070380318</v>
      </c>
      <c r="CG284" s="60" t="n">
        <f aca="false">$J$27/AN284*(BY284-1)-CA284-BZ284*(2*AF284/AM284-$J$27/AN284)</f>
        <v>0.198812070380318</v>
      </c>
      <c r="CH284" s="60" t="n">
        <f aca="false">$K$27/AN284*(BY284-1)-CA284-BZ284*(2*AG284/AM284-$K$27/AN284)</f>
        <v>0.198812070380318</v>
      </c>
      <c r="CI284" s="60" t="n">
        <f aca="false">$L$27/AN284*(BY284-1)-CA284-BZ284*(2*AH284/AM284-$L$27/AN284)</f>
        <v>0.198812070380318</v>
      </c>
      <c r="CJ284" s="60" t="n">
        <f aca="false">$M$27/AN284*(BY284-1)-CA284-BZ284*(2*AI284/AM284-$M$27/AN284)</f>
        <v>0.198812070380318</v>
      </c>
      <c r="CK284" s="60" t="n">
        <f aca="false">$N$27/AN284*(BY284-1)-CA284-BZ284*(2*AJ284/AM284-$N$27/AN284)</f>
        <v>0.198812070380318</v>
      </c>
      <c r="CL284" s="60" t="n">
        <f aca="false">$O$27/AN284*(BY284-1)-CA284-BZ284*(2*AK284/AM284-$O$27/AN284)</f>
        <v>0.198812070380318</v>
      </c>
      <c r="CM284" s="60" t="n">
        <f aca="false">$P$27/AN284*(BY284-1)-CA284-BZ284*(2*AL284/AM284-$P$27/AN284)</f>
        <v>0.198812070380318</v>
      </c>
      <c r="CN284" s="60" t="n">
        <f aca="false">AP284/BY284&gt;$C$22</f>
        <v>0</v>
      </c>
      <c r="CO284" s="60" t="n">
        <f aca="false">1-N284+SUMPRODUCT(B284:M284,CB284:CM284)-SUMPRODUCT(B284:M284,CB283:CM283)</f>
        <v>0</v>
      </c>
      <c r="CP284" s="60" t="n">
        <f aca="false">SUMXMY2(O284:Z284,$E$13:$P$13)</f>
        <v>0</v>
      </c>
    </row>
    <row r="285" customFormat="false" ht="15" hidden="false" customHeight="false" outlineLevel="0" collapsed="false">
      <c r="A285" s="59" t="n">
        <v>32</v>
      </c>
      <c r="B285" s="60" t="n">
        <f aca="false">$E$13*EXP(MAX(-700,MIN(700,$E$86-CB284)))</f>
        <v>1</v>
      </c>
      <c r="C285" s="60" t="n">
        <f aca="false">$F$13*EXP(MAX(-700,MIN(700,$F$86-CC284)))</f>
        <v>0</v>
      </c>
      <c r="D285" s="60" t="n">
        <f aca="false">$G$13*EXP(MAX(-700,MIN(700,$G$86-CD284)))</f>
        <v>0</v>
      </c>
      <c r="E285" s="60" t="n">
        <f aca="false">$H$13*EXP(MAX(-700,MIN(700,$H$86-CE284)))</f>
        <v>0</v>
      </c>
      <c r="F285" s="60" t="n">
        <f aca="false">$I$13*EXP(MAX(-700,MIN(700,$I$86-CF284)))</f>
        <v>0</v>
      </c>
      <c r="G285" s="60" t="n">
        <f aca="false">$J$13*EXP(MAX(-700,MIN(700,$J$86-CG284)))</f>
        <v>0</v>
      </c>
      <c r="H285" s="60" t="n">
        <f aca="false">$K$13*EXP(MAX(-700,MIN(700,$K$86-CH284)))</f>
        <v>0</v>
      </c>
      <c r="I285" s="60" t="n">
        <f aca="false">$L$13*EXP(MAX(-700,MIN(700,$L$86-CI284)))</f>
        <v>0</v>
      </c>
      <c r="J285" s="60" t="n">
        <f aca="false">$M$13*EXP(MAX(-700,MIN(700,$M$86-CJ284)))</f>
        <v>0</v>
      </c>
      <c r="K285" s="60" t="n">
        <f aca="false">$N$13*EXP(MAX(-700,MIN(700,$N$86-CK284)))</f>
        <v>0</v>
      </c>
      <c r="L285" s="60" t="n">
        <f aca="false">$O$13*EXP(MAX(-700,MIN(700,$O$86-CL284)))</f>
        <v>0</v>
      </c>
      <c r="M285" s="60" t="n">
        <f aca="false">$P$13*EXP(MAX(-700,MIN(700,$P$86-CM284)))</f>
        <v>0</v>
      </c>
      <c r="N285" s="60" t="n">
        <f aca="false">SUM(B285:M285)</f>
        <v>1</v>
      </c>
      <c r="O285" s="60" t="n">
        <f aca="false">B285/N285</f>
        <v>1</v>
      </c>
      <c r="P285" s="60" t="n">
        <f aca="false">C285/N285</f>
        <v>0</v>
      </c>
      <c r="Q285" s="60" t="n">
        <f aca="false">D285/N285</f>
        <v>0</v>
      </c>
      <c r="R285" s="60" t="n">
        <f aca="false">E285/N285</f>
        <v>0</v>
      </c>
      <c r="S285" s="60" t="n">
        <f aca="false">F285/N285</f>
        <v>0</v>
      </c>
      <c r="T285" s="60" t="n">
        <f aca="false">G285/N285</f>
        <v>0</v>
      </c>
      <c r="U285" s="60" t="n">
        <f aca="false">H285/N285</f>
        <v>0</v>
      </c>
      <c r="V285" s="60" t="n">
        <f aca="false">I285/N285</f>
        <v>0</v>
      </c>
      <c r="W285" s="60" t="n">
        <f aca="false">J285/N285</f>
        <v>0</v>
      </c>
      <c r="X285" s="60" t="n">
        <f aca="false">K285/N285</f>
        <v>0</v>
      </c>
      <c r="Y285" s="60" t="n">
        <f aca="false">L285/N285</f>
        <v>0</v>
      </c>
      <c r="Z285" s="60" t="n">
        <f aca="false">M285/N285</f>
        <v>0</v>
      </c>
      <c r="AA285" s="60" t="n">
        <f aca="false">$E$28*SUMPRODUCT($E$31:$P$31,O285:Z285,$E$28:$P$28)</f>
        <v>0.184416866619846</v>
      </c>
      <c r="AB285" s="60" t="n">
        <f aca="false">$F$28*SUMPRODUCT($E$32:$P$32,O285:Z285,$E$28:$P$28)</f>
        <v>0</v>
      </c>
      <c r="AC285" s="60" t="n">
        <f aca="false">$G$28*SUMPRODUCT($E$33:$P$33,O285:Z285,$E$28:$P$28)</f>
        <v>0</v>
      </c>
      <c r="AD285" s="60" t="n">
        <f aca="false">$H$28*SUMPRODUCT($E$34:$P$34,O285:Z285,$E$28:$P$28)</f>
        <v>0</v>
      </c>
      <c r="AE285" s="60" t="n">
        <f aca="false">$I$28*SUMPRODUCT($E$35:$P$35,O285:Z285,$E$28:$P$28)</f>
        <v>0</v>
      </c>
      <c r="AF285" s="60" t="n">
        <f aca="false">$J$28*SUMPRODUCT($E$36:$P$36,O285:Z285,$E$28:$P$28)</f>
        <v>0</v>
      </c>
      <c r="AG285" s="60" t="n">
        <f aca="false">$K$28*SUMPRODUCT($E$37:$P$37,O285:Z285,$E$28:$P$28)</f>
        <v>0</v>
      </c>
      <c r="AH285" s="60" t="n">
        <f aca="false">$L$28*SUMPRODUCT($E$38:$P$38,O285:Z285,$E$28:$P$28)</f>
        <v>0</v>
      </c>
      <c r="AI285" s="60" t="n">
        <f aca="false">$M$28*SUMPRODUCT($E$39:$P$39,O285:Z285,$E$28:$P$28)</f>
        <v>0</v>
      </c>
      <c r="AJ285" s="60" t="n">
        <f aca="false">$N$28*SUMPRODUCT($E$40:$P$40,O285:Z285,$E$28:$P$28)</f>
        <v>0</v>
      </c>
      <c r="AK285" s="60" t="n">
        <f aca="false">$O$28*SUMPRODUCT($E$41:$P$41,O285:Z285,$E$28:$P$28)</f>
        <v>0</v>
      </c>
      <c r="AL285" s="60" t="n">
        <f aca="false">$P$28*SUMPRODUCT($E$42:$P$42,O285:Z285,$E$28:$P$28)</f>
        <v>0</v>
      </c>
      <c r="AM285" s="60" t="n">
        <f aca="false">SUMPRODUCT(O285:Z285,AA285:AL285)</f>
        <v>0.184416866619846</v>
      </c>
      <c r="AN285" s="60" t="n">
        <f aca="false">SUMPRODUCT(O285:Z285,$E$27:$P$27)</f>
        <v>2.67389635063809E-005</v>
      </c>
      <c r="AO285" s="60" t="n">
        <f aca="false">AM285*$C$9/($C$10*$C$8)^2</f>
        <v>0.21776909410545</v>
      </c>
      <c r="AP285" s="60" t="n">
        <f aca="false">AN285*$C$9/($C$10*$C$8)</f>
        <v>0.0918845243259994</v>
      </c>
      <c r="AQ285" s="60" t="n">
        <f aca="false">CHOOSE($C$7,-(1+AP285),-1,-(1-AP285))</f>
        <v>-0.908115475674001</v>
      </c>
      <c r="AR285" s="60" t="n">
        <f aca="false">CHOOSE($C$7,AO285,AO285-AP285-AP285^2,AO285-3*AP285^2-2*AP285)</f>
        <v>0.00867174802160559</v>
      </c>
      <c r="AS285" s="60" t="n">
        <f aca="false">CHOOSE($C$7,-AO285*AP285,-AO285*AP285,-(AO285*AP285-AP285^2-AP285^3))</f>
        <v>-0.0107910842936637</v>
      </c>
      <c r="AT285" s="60" t="n">
        <f aca="false">AR285-AQ285^2/3</f>
        <v>-0.266219491031267</v>
      </c>
      <c r="AU285" s="60" t="n">
        <f aca="false">2*AQ285^3/27-AQ285*AR285/3+AS285</f>
        <v>-0.0636400988362784</v>
      </c>
      <c r="AV285" s="60" t="n">
        <f aca="false">AU285^2/4+AT285^3/27</f>
        <v>0.000313710901361829</v>
      </c>
      <c r="AW285" s="60" t="n">
        <f aca="false">-AU285/2-IF(AU285&gt;=0,1,-1)*SQRT(MAX(AV285,0))</f>
        <v>0.0495319352963236</v>
      </c>
      <c r="AX285" s="60" t="n">
        <f aca="false">SIGN(AW285)*ABS(AW285)^(1/3)</f>
        <v>0.367249967174439</v>
      </c>
      <c r="AY285" s="60" t="n">
        <f aca="false">IF(AX285=0,0,AX285-AT285/(3*AX285))</f>
        <v>0.60888329127384</v>
      </c>
      <c r="AZ285" s="60" t="n">
        <f aca="false">2*SQRT(MAX(-AT285,0)/3)</f>
        <v>0.595784626668918</v>
      </c>
      <c r="BA285" s="60" t="n">
        <f aca="false">ACOS(IF(AZ285=0,0,MAX(-1,MIN(1,3*AU285/(AT285*AZ285)))))</f>
        <v>0</v>
      </c>
      <c r="BB285" s="60" t="n">
        <f aca="false">AZ285*COS(BA285/3)</f>
        <v>0.595784626668918</v>
      </c>
      <c r="BC285" s="60" t="n">
        <f aca="false">IF(AV285&lt;0,BB285,AY285)-AQ285/3</f>
        <v>0.91158844983184</v>
      </c>
      <c r="BD285" s="60" t="n">
        <f aca="false">IFERROR((((BC285+AQ285)*BC285+AR285)*BC285+AS285)/((3*BC285+2*AQ285)*BC285+AR285),0)</f>
        <v>0</v>
      </c>
      <c r="BE285" s="60" t="n">
        <f aca="false">IF(ABS(BD285)&lt;0.1*ABS(BC285),BC285-BD285,BC285)</f>
        <v>0.91158844983184</v>
      </c>
      <c r="BF285" s="60" t="n">
        <f aca="false">IFERROR((((BE285+AQ285)*BE285+AR285)*BE285+AS285)/((3*BE285+2*AQ285)*BE285+AR285),0)</f>
        <v>0</v>
      </c>
      <c r="BG285" s="60" t="n">
        <f aca="false">IF(ABS(BF285)&lt;0.1*ABS(BE285),BE285-BF285,BE285)</f>
        <v>0.91158844983184</v>
      </c>
      <c r="BH285" s="60" t="n">
        <f aca="false">-AS285/BG285</f>
        <v>0.0118376711504565</v>
      </c>
      <c r="BI285" s="60" t="n">
        <f aca="false">(AR285-BH285)/BG285</f>
        <v>-0.00347297415783941</v>
      </c>
      <c r="BJ285" s="60" t="n">
        <f aca="false">BI285^2-4*BH285</f>
        <v>-0.0473386230523248</v>
      </c>
      <c r="BK285" s="60" t="n">
        <f aca="false">IF(BJ285&gt;=0,(BI285+IF(BI285&gt;=0,1,-1)*SQRT(BJ285))/2,0)</f>
        <v>0</v>
      </c>
      <c r="BL285" s="60" t="n">
        <f aca="false">IF(AND(BJ285&gt;=0,BK285&lt;&gt;0),MIN(BK285,BH285/BK285),-1)</f>
        <v>-1</v>
      </c>
      <c r="BM285" s="60" t="n">
        <f aca="false">AND(BJ285&gt;=0,BL285&gt;AP285,ABS(BG285-BL285)&gt;=0.00005*MAX(BG285,BL285))</f>
        <v>0</v>
      </c>
      <c r="BN285" s="60" t="n">
        <f aca="false">IF(BM285,IFERROR((((BL285+AQ285)*BL285+AR285)*BL285+AS285)/((3*BL285+2*AQ285)*BL285+AR285),0),0)</f>
        <v>0</v>
      </c>
      <c r="BO285" s="60" t="n">
        <f aca="false">IF(ABS(BN285)&lt;0.1*ABS(BL285),BL285-BN285,BL285)</f>
        <v>-1</v>
      </c>
      <c r="BP285" s="60" t="n">
        <f aca="false">IF(BM285,IFERROR((((BO285+AQ285)*BO285+AR285)*BO285+AS285)/((3*BO285+2*AQ285)*BO285+AR285),0),0)</f>
        <v>0</v>
      </c>
      <c r="BQ285" s="60" t="n">
        <f aca="false">IF(ABS(BP285)&lt;0.1*ABS(BO285),BO285-BP285,BO285)</f>
        <v>-1</v>
      </c>
      <c r="BR285" s="60" t="n">
        <f aca="false">IF(BM285,MAX(BG285,BQ285),BG285)</f>
        <v>0.91158844983184</v>
      </c>
      <c r="BS285" s="60" t="n">
        <f aca="false">IF(BM285,MIN(BG285,BQ285),-1)</f>
        <v>-1</v>
      </c>
      <c r="BT285" s="60" t="n">
        <f aca="false">CHOOSE($C$7,AO285/BR285,AO285/AP285*LN(1+AP285/BR285),AO285/(2*SQRT(2)*AP285)*LN((BR285+(1+SQRT(2))*AP285)/(BR285+(1-SQRT(2))*AP285)))</f>
        <v>0.218240791233887</v>
      </c>
      <c r="BU285" s="60" t="n">
        <f aca="false">BR285-1-LN(BR285-AP285)-BT285</f>
        <v>-0.107840271021729</v>
      </c>
      <c r="BV285" s="60" t="n">
        <f aca="false">IF(BM285,CHOOSE($C$7,AO285/BS285,AO285/AP285*LN(1+AP285/BS285),AO285/(2*SQRT(2)*AP285)*LN((BS285+(1+SQRT(2))*AP285)/(BS285+(1-SQRT(2))*AP285))),0)</f>
        <v>0</v>
      </c>
      <c r="BW285" s="60" t="n">
        <f aca="false">IF(BM285,BS285-1-LN(BS285-AP285)-BV285,0)</f>
        <v>0</v>
      </c>
      <c r="BX285" s="60" t="n">
        <f aca="false">AND(BM285,BW285&lt;BU285)</f>
        <v>0</v>
      </c>
      <c r="BY285" s="60" t="n">
        <f aca="false">IF(BX285,BS285,BR285)</f>
        <v>0.91158844983184</v>
      </c>
      <c r="BZ285" s="60" t="n">
        <f aca="false">IF(BX285,BV285,BT285)</f>
        <v>0.218240791233887</v>
      </c>
      <c r="CA285" s="60" t="n">
        <f aca="false">LN(BY285-AP285)</f>
        <v>-0.198812070380318</v>
      </c>
      <c r="CB285" s="60" t="n">
        <f aca="false">$E$27/AN285*(BY285-1)-CA285-BZ285*(2*AA285/AM285-$E$27/AN285)</f>
        <v>-0.107840271021729</v>
      </c>
      <c r="CC285" s="60" t="n">
        <f aca="false">$F$27/AN285*(BY285-1)-CA285-BZ285*(2*AB285/AM285-$F$27/AN285)</f>
        <v>0.198812070380318</v>
      </c>
      <c r="CD285" s="60" t="n">
        <f aca="false">$G$27/AN285*(BY285-1)-CA285-BZ285*(2*AC285/AM285-$G$27/AN285)</f>
        <v>0.198812070380318</v>
      </c>
      <c r="CE285" s="60" t="n">
        <f aca="false">$H$27/AN285*(BY285-1)-CA285-BZ285*(2*AD285/AM285-$H$27/AN285)</f>
        <v>0.198812070380318</v>
      </c>
      <c r="CF285" s="60" t="n">
        <f aca="false">$I$27/AN285*(BY285-1)-CA285-BZ285*(2*AE285/AM285-$I$27/AN285)</f>
        <v>0.198812070380318</v>
      </c>
      <c r="CG285" s="60" t="n">
        <f aca="false">$J$27/AN285*(BY285-1)-CA285-BZ285*(2*AF285/AM285-$J$27/AN285)</f>
        <v>0.198812070380318</v>
      </c>
      <c r="CH285" s="60" t="n">
        <f aca="false">$K$27/AN285*(BY285-1)-CA285-BZ285*(2*AG285/AM285-$K$27/AN285)</f>
        <v>0.198812070380318</v>
      </c>
      <c r="CI285" s="60" t="n">
        <f aca="false">$L$27/AN285*(BY285-1)-CA285-BZ285*(2*AH285/AM285-$L$27/AN285)</f>
        <v>0.198812070380318</v>
      </c>
      <c r="CJ285" s="60" t="n">
        <f aca="false">$M$27/AN285*(BY285-1)-CA285-BZ285*(2*AI285/AM285-$M$27/AN285)</f>
        <v>0.198812070380318</v>
      </c>
      <c r="CK285" s="60" t="n">
        <f aca="false">$N$27/AN285*(BY285-1)-CA285-BZ285*(2*AJ285/AM285-$N$27/AN285)</f>
        <v>0.198812070380318</v>
      </c>
      <c r="CL285" s="60" t="n">
        <f aca="false">$O$27/AN285*(BY285-1)-CA285-BZ285*(2*AK285/AM285-$O$27/AN285)</f>
        <v>0.198812070380318</v>
      </c>
      <c r="CM285" s="60" t="n">
        <f aca="false">$P$27/AN285*(BY285-1)-CA285-BZ285*(2*AL285/AM285-$P$27/AN285)</f>
        <v>0.198812070380318</v>
      </c>
      <c r="CN285" s="60" t="n">
        <f aca="false">AP285/BY285&gt;$C$22</f>
        <v>0</v>
      </c>
      <c r="CO285" s="60" t="n">
        <f aca="false">1-N285+SUMPRODUCT(B285:M285,CB285:CM285)-SUMPRODUCT(B285:M285,CB284:CM284)</f>
        <v>0</v>
      </c>
      <c r="CP285" s="60" t="n">
        <f aca="false">SUMXMY2(O285:Z285,$E$13:$P$13)</f>
        <v>0</v>
      </c>
    </row>
    <row r="286" customFormat="false" ht="15" hidden="false" customHeight="false" outlineLevel="0" collapsed="false">
      <c r="A286" s="59" t="n">
        <v>33</v>
      </c>
      <c r="B286" s="60" t="n">
        <f aca="false">$E$13*EXP(MAX(-700,MIN(700,$E$86-CB285)))</f>
        <v>1</v>
      </c>
      <c r="C286" s="60" t="n">
        <f aca="false">$F$13*EXP(MAX(-700,MIN(700,$F$86-CC285)))</f>
        <v>0</v>
      </c>
      <c r="D286" s="60" t="n">
        <f aca="false">$G$13*EXP(MAX(-700,MIN(700,$G$86-CD285)))</f>
        <v>0</v>
      </c>
      <c r="E286" s="60" t="n">
        <f aca="false">$H$13*EXP(MAX(-700,MIN(700,$H$86-CE285)))</f>
        <v>0</v>
      </c>
      <c r="F286" s="60" t="n">
        <f aca="false">$I$13*EXP(MAX(-700,MIN(700,$I$86-CF285)))</f>
        <v>0</v>
      </c>
      <c r="G286" s="60" t="n">
        <f aca="false">$J$13*EXP(MAX(-700,MIN(700,$J$86-CG285)))</f>
        <v>0</v>
      </c>
      <c r="H286" s="60" t="n">
        <f aca="false">$K$13*EXP(MAX(-700,MIN(700,$K$86-CH285)))</f>
        <v>0</v>
      </c>
      <c r="I286" s="60" t="n">
        <f aca="false">$L$13*EXP(MAX(-700,MIN(700,$L$86-CI285)))</f>
        <v>0</v>
      </c>
      <c r="J286" s="60" t="n">
        <f aca="false">$M$13*EXP(MAX(-700,MIN(700,$M$86-CJ285)))</f>
        <v>0</v>
      </c>
      <c r="K286" s="60" t="n">
        <f aca="false">$N$13*EXP(MAX(-700,MIN(700,$N$86-CK285)))</f>
        <v>0</v>
      </c>
      <c r="L286" s="60" t="n">
        <f aca="false">$O$13*EXP(MAX(-700,MIN(700,$O$86-CL285)))</f>
        <v>0</v>
      </c>
      <c r="M286" s="60" t="n">
        <f aca="false">$P$13*EXP(MAX(-700,MIN(700,$P$86-CM285)))</f>
        <v>0</v>
      </c>
      <c r="N286" s="60" t="n">
        <f aca="false">SUM(B286:M286)</f>
        <v>1</v>
      </c>
      <c r="O286" s="60" t="n">
        <f aca="false">B286/N286</f>
        <v>1</v>
      </c>
      <c r="P286" s="60" t="n">
        <f aca="false">C286/N286</f>
        <v>0</v>
      </c>
      <c r="Q286" s="60" t="n">
        <f aca="false">D286/N286</f>
        <v>0</v>
      </c>
      <c r="R286" s="60" t="n">
        <f aca="false">E286/N286</f>
        <v>0</v>
      </c>
      <c r="S286" s="60" t="n">
        <f aca="false">F286/N286</f>
        <v>0</v>
      </c>
      <c r="T286" s="60" t="n">
        <f aca="false">G286/N286</f>
        <v>0</v>
      </c>
      <c r="U286" s="60" t="n">
        <f aca="false">H286/N286</f>
        <v>0</v>
      </c>
      <c r="V286" s="60" t="n">
        <f aca="false">I286/N286</f>
        <v>0</v>
      </c>
      <c r="W286" s="60" t="n">
        <f aca="false">J286/N286</f>
        <v>0</v>
      </c>
      <c r="X286" s="60" t="n">
        <f aca="false">K286/N286</f>
        <v>0</v>
      </c>
      <c r="Y286" s="60" t="n">
        <f aca="false">L286/N286</f>
        <v>0</v>
      </c>
      <c r="Z286" s="60" t="n">
        <f aca="false">M286/N286</f>
        <v>0</v>
      </c>
      <c r="AA286" s="60" t="n">
        <f aca="false">$E$28*SUMPRODUCT($E$31:$P$31,O286:Z286,$E$28:$P$28)</f>
        <v>0.184416866619846</v>
      </c>
      <c r="AB286" s="60" t="n">
        <f aca="false">$F$28*SUMPRODUCT($E$32:$P$32,O286:Z286,$E$28:$P$28)</f>
        <v>0</v>
      </c>
      <c r="AC286" s="60" t="n">
        <f aca="false">$G$28*SUMPRODUCT($E$33:$P$33,O286:Z286,$E$28:$P$28)</f>
        <v>0</v>
      </c>
      <c r="AD286" s="60" t="n">
        <f aca="false">$H$28*SUMPRODUCT($E$34:$P$34,O286:Z286,$E$28:$P$28)</f>
        <v>0</v>
      </c>
      <c r="AE286" s="60" t="n">
        <f aca="false">$I$28*SUMPRODUCT($E$35:$P$35,O286:Z286,$E$28:$P$28)</f>
        <v>0</v>
      </c>
      <c r="AF286" s="60" t="n">
        <f aca="false">$J$28*SUMPRODUCT($E$36:$P$36,O286:Z286,$E$28:$P$28)</f>
        <v>0</v>
      </c>
      <c r="AG286" s="60" t="n">
        <f aca="false">$K$28*SUMPRODUCT($E$37:$P$37,O286:Z286,$E$28:$P$28)</f>
        <v>0</v>
      </c>
      <c r="AH286" s="60" t="n">
        <f aca="false">$L$28*SUMPRODUCT($E$38:$P$38,O286:Z286,$E$28:$P$28)</f>
        <v>0</v>
      </c>
      <c r="AI286" s="60" t="n">
        <f aca="false">$M$28*SUMPRODUCT($E$39:$P$39,O286:Z286,$E$28:$P$28)</f>
        <v>0</v>
      </c>
      <c r="AJ286" s="60" t="n">
        <f aca="false">$N$28*SUMPRODUCT($E$40:$P$40,O286:Z286,$E$28:$P$28)</f>
        <v>0</v>
      </c>
      <c r="AK286" s="60" t="n">
        <f aca="false">$O$28*SUMPRODUCT($E$41:$P$41,O286:Z286,$E$28:$P$28)</f>
        <v>0</v>
      </c>
      <c r="AL286" s="60" t="n">
        <f aca="false">$P$28*SUMPRODUCT($E$42:$P$42,O286:Z286,$E$28:$P$28)</f>
        <v>0</v>
      </c>
      <c r="AM286" s="60" t="n">
        <f aca="false">SUMPRODUCT(O286:Z286,AA286:AL286)</f>
        <v>0.184416866619846</v>
      </c>
      <c r="AN286" s="60" t="n">
        <f aca="false">SUMPRODUCT(O286:Z286,$E$27:$P$27)</f>
        <v>2.67389635063809E-005</v>
      </c>
      <c r="AO286" s="60" t="n">
        <f aca="false">AM286*$C$9/($C$10*$C$8)^2</f>
        <v>0.21776909410545</v>
      </c>
      <c r="AP286" s="60" t="n">
        <f aca="false">AN286*$C$9/($C$10*$C$8)</f>
        <v>0.0918845243259994</v>
      </c>
      <c r="AQ286" s="60" t="n">
        <f aca="false">CHOOSE($C$7,-(1+AP286),-1,-(1-AP286))</f>
        <v>-0.908115475674001</v>
      </c>
      <c r="AR286" s="60" t="n">
        <f aca="false">CHOOSE($C$7,AO286,AO286-AP286-AP286^2,AO286-3*AP286^2-2*AP286)</f>
        <v>0.00867174802160559</v>
      </c>
      <c r="AS286" s="60" t="n">
        <f aca="false">CHOOSE($C$7,-AO286*AP286,-AO286*AP286,-(AO286*AP286-AP286^2-AP286^3))</f>
        <v>-0.0107910842936637</v>
      </c>
      <c r="AT286" s="60" t="n">
        <f aca="false">AR286-AQ286^2/3</f>
        <v>-0.266219491031267</v>
      </c>
      <c r="AU286" s="60" t="n">
        <f aca="false">2*AQ286^3/27-AQ286*AR286/3+AS286</f>
        <v>-0.0636400988362784</v>
      </c>
      <c r="AV286" s="60" t="n">
        <f aca="false">AU286^2/4+AT286^3/27</f>
        <v>0.000313710901361829</v>
      </c>
      <c r="AW286" s="60" t="n">
        <f aca="false">-AU286/2-IF(AU286&gt;=0,1,-1)*SQRT(MAX(AV286,0))</f>
        <v>0.0495319352963236</v>
      </c>
      <c r="AX286" s="60" t="n">
        <f aca="false">SIGN(AW286)*ABS(AW286)^(1/3)</f>
        <v>0.367249967174439</v>
      </c>
      <c r="AY286" s="60" t="n">
        <f aca="false">IF(AX286=0,0,AX286-AT286/(3*AX286))</f>
        <v>0.60888329127384</v>
      </c>
      <c r="AZ286" s="60" t="n">
        <f aca="false">2*SQRT(MAX(-AT286,0)/3)</f>
        <v>0.595784626668918</v>
      </c>
      <c r="BA286" s="60" t="n">
        <f aca="false">ACOS(IF(AZ286=0,0,MAX(-1,MIN(1,3*AU286/(AT286*AZ286)))))</f>
        <v>0</v>
      </c>
      <c r="BB286" s="60" t="n">
        <f aca="false">AZ286*COS(BA286/3)</f>
        <v>0.595784626668918</v>
      </c>
      <c r="BC286" s="60" t="n">
        <f aca="false">IF(AV286&lt;0,BB286,AY286)-AQ286/3</f>
        <v>0.91158844983184</v>
      </c>
      <c r="BD286" s="60" t="n">
        <f aca="false">IFERROR((((BC286+AQ286)*BC286+AR286)*BC286+AS286)/((3*BC286+2*AQ286)*BC286+AR286),0)</f>
        <v>0</v>
      </c>
      <c r="BE286" s="60" t="n">
        <f aca="false">IF(ABS(BD286)&lt;0.1*ABS(BC286),BC286-BD286,BC286)</f>
        <v>0.91158844983184</v>
      </c>
      <c r="BF286" s="60" t="n">
        <f aca="false">IFERROR((((BE286+AQ286)*BE286+AR286)*BE286+AS286)/((3*BE286+2*AQ286)*BE286+AR286),0)</f>
        <v>0</v>
      </c>
      <c r="BG286" s="60" t="n">
        <f aca="false">IF(ABS(BF286)&lt;0.1*ABS(BE286),BE286-BF286,BE286)</f>
        <v>0.91158844983184</v>
      </c>
      <c r="BH286" s="60" t="n">
        <f aca="false">-AS286/BG286</f>
        <v>0.0118376711504565</v>
      </c>
      <c r="BI286" s="60" t="n">
        <f aca="false">(AR286-BH286)/BG286</f>
        <v>-0.00347297415783941</v>
      </c>
      <c r="BJ286" s="60" t="n">
        <f aca="false">BI286^2-4*BH286</f>
        <v>-0.0473386230523248</v>
      </c>
      <c r="BK286" s="60" t="n">
        <f aca="false">IF(BJ286&gt;=0,(BI286+IF(BI286&gt;=0,1,-1)*SQRT(BJ286))/2,0)</f>
        <v>0</v>
      </c>
      <c r="BL286" s="60" t="n">
        <f aca="false">IF(AND(BJ286&gt;=0,BK286&lt;&gt;0),MIN(BK286,BH286/BK286),-1)</f>
        <v>-1</v>
      </c>
      <c r="BM286" s="60" t="n">
        <f aca="false">AND(BJ286&gt;=0,BL286&gt;AP286,ABS(BG286-BL286)&gt;=0.00005*MAX(BG286,BL286))</f>
        <v>0</v>
      </c>
      <c r="BN286" s="60" t="n">
        <f aca="false">IF(BM286,IFERROR((((BL286+AQ286)*BL286+AR286)*BL286+AS286)/((3*BL286+2*AQ286)*BL286+AR286),0),0)</f>
        <v>0</v>
      </c>
      <c r="BO286" s="60" t="n">
        <f aca="false">IF(ABS(BN286)&lt;0.1*ABS(BL286),BL286-BN286,BL286)</f>
        <v>-1</v>
      </c>
      <c r="BP286" s="60" t="n">
        <f aca="false">IF(BM286,IFERROR((((BO286+AQ286)*BO286+AR286)*BO286+AS286)/((3*BO286+2*AQ286)*BO286+AR286),0),0)</f>
        <v>0</v>
      </c>
      <c r="BQ286" s="60" t="n">
        <f aca="false">IF(ABS(BP286)&lt;0.1*ABS(BO286),BO286-BP286,BO286)</f>
        <v>-1</v>
      </c>
      <c r="BR286" s="60" t="n">
        <f aca="false">IF(BM286,MAX(BG286,BQ286),BG286)</f>
        <v>0.91158844983184</v>
      </c>
      <c r="BS286" s="60" t="n">
        <f aca="false">IF(BM286,MIN(BG286,BQ286),-1)</f>
        <v>-1</v>
      </c>
      <c r="BT286" s="60" t="n">
        <f aca="false">CHOOSE($C$7,AO286/BR286,AO286/AP286*LN(1+AP286/BR286),AO286/(2*SQRT(2)*AP286)*LN((BR286+(1+SQRT(2))*AP286)/(BR286+(1-SQRT(2))*AP286)))</f>
        <v>0.218240791233887</v>
      </c>
      <c r="BU286" s="60" t="n">
        <f aca="false">BR286-1-LN(BR286-AP286)-BT286</f>
        <v>-0.107840271021729</v>
      </c>
      <c r="BV286" s="60" t="n">
        <f aca="false">IF(BM286,CHOOSE($C$7,AO286/BS286,AO286/AP286*LN(1+AP286/BS286),AO286/(2*SQRT(2)*AP286)*LN((BS286+(1+SQRT(2))*AP286)/(BS286+(1-SQRT(2))*AP286))),0)</f>
        <v>0</v>
      </c>
      <c r="BW286" s="60" t="n">
        <f aca="false">IF(BM286,BS286-1-LN(BS286-AP286)-BV286,0)</f>
        <v>0</v>
      </c>
      <c r="BX286" s="60" t="n">
        <f aca="false">AND(BM286,BW286&lt;BU286)</f>
        <v>0</v>
      </c>
      <c r="BY286" s="60" t="n">
        <f aca="false">IF(BX286,BS286,BR286)</f>
        <v>0.91158844983184</v>
      </c>
      <c r="BZ286" s="60" t="n">
        <f aca="false">IF(BX286,BV286,BT286)</f>
        <v>0.218240791233887</v>
      </c>
      <c r="CA286" s="60" t="n">
        <f aca="false">LN(BY286-AP286)</f>
        <v>-0.198812070380318</v>
      </c>
      <c r="CB286" s="60" t="n">
        <f aca="false">$E$27/AN286*(BY286-1)-CA286-BZ286*(2*AA286/AM286-$E$27/AN286)</f>
        <v>-0.107840271021729</v>
      </c>
      <c r="CC286" s="60" t="n">
        <f aca="false">$F$27/AN286*(BY286-1)-CA286-BZ286*(2*AB286/AM286-$F$27/AN286)</f>
        <v>0.198812070380318</v>
      </c>
      <c r="CD286" s="60" t="n">
        <f aca="false">$G$27/AN286*(BY286-1)-CA286-BZ286*(2*AC286/AM286-$G$27/AN286)</f>
        <v>0.198812070380318</v>
      </c>
      <c r="CE286" s="60" t="n">
        <f aca="false">$H$27/AN286*(BY286-1)-CA286-BZ286*(2*AD286/AM286-$H$27/AN286)</f>
        <v>0.198812070380318</v>
      </c>
      <c r="CF286" s="60" t="n">
        <f aca="false">$I$27/AN286*(BY286-1)-CA286-BZ286*(2*AE286/AM286-$I$27/AN286)</f>
        <v>0.198812070380318</v>
      </c>
      <c r="CG286" s="60" t="n">
        <f aca="false">$J$27/AN286*(BY286-1)-CA286-BZ286*(2*AF286/AM286-$J$27/AN286)</f>
        <v>0.198812070380318</v>
      </c>
      <c r="CH286" s="60" t="n">
        <f aca="false">$K$27/AN286*(BY286-1)-CA286-BZ286*(2*AG286/AM286-$K$27/AN286)</f>
        <v>0.198812070380318</v>
      </c>
      <c r="CI286" s="60" t="n">
        <f aca="false">$L$27/AN286*(BY286-1)-CA286-BZ286*(2*AH286/AM286-$L$27/AN286)</f>
        <v>0.198812070380318</v>
      </c>
      <c r="CJ286" s="60" t="n">
        <f aca="false">$M$27/AN286*(BY286-1)-CA286-BZ286*(2*AI286/AM286-$M$27/AN286)</f>
        <v>0.198812070380318</v>
      </c>
      <c r="CK286" s="60" t="n">
        <f aca="false">$N$27/AN286*(BY286-1)-CA286-BZ286*(2*AJ286/AM286-$N$27/AN286)</f>
        <v>0.198812070380318</v>
      </c>
      <c r="CL286" s="60" t="n">
        <f aca="false">$O$27/AN286*(BY286-1)-CA286-BZ286*(2*AK286/AM286-$O$27/AN286)</f>
        <v>0.198812070380318</v>
      </c>
      <c r="CM286" s="60" t="n">
        <f aca="false">$P$27/AN286*(BY286-1)-CA286-BZ286*(2*AL286/AM286-$P$27/AN286)</f>
        <v>0.198812070380318</v>
      </c>
      <c r="CN286" s="60" t="n">
        <f aca="false">AP286/BY286&gt;$C$22</f>
        <v>0</v>
      </c>
      <c r="CO286" s="60" t="n">
        <f aca="false">1-N286+SUMPRODUCT(B286:M286,CB286:CM286)-SUMPRODUCT(B286:M286,CB285:CM285)</f>
        <v>0</v>
      </c>
      <c r="CP286" s="60" t="n">
        <f aca="false">SUMXMY2(O286:Z286,$E$13:$P$13)</f>
        <v>0</v>
      </c>
    </row>
    <row r="287" customFormat="false" ht="15" hidden="false" customHeight="false" outlineLevel="0" collapsed="false">
      <c r="A287" s="59" t="n">
        <v>34</v>
      </c>
      <c r="B287" s="60" t="n">
        <f aca="false">$E$13*EXP(MAX(-700,MIN(700,$E$86-CB286)))</f>
        <v>1</v>
      </c>
      <c r="C287" s="60" t="n">
        <f aca="false">$F$13*EXP(MAX(-700,MIN(700,$F$86-CC286)))</f>
        <v>0</v>
      </c>
      <c r="D287" s="60" t="n">
        <f aca="false">$G$13*EXP(MAX(-700,MIN(700,$G$86-CD286)))</f>
        <v>0</v>
      </c>
      <c r="E287" s="60" t="n">
        <f aca="false">$H$13*EXP(MAX(-700,MIN(700,$H$86-CE286)))</f>
        <v>0</v>
      </c>
      <c r="F287" s="60" t="n">
        <f aca="false">$I$13*EXP(MAX(-700,MIN(700,$I$86-CF286)))</f>
        <v>0</v>
      </c>
      <c r="G287" s="60" t="n">
        <f aca="false">$J$13*EXP(MAX(-700,MIN(700,$J$86-CG286)))</f>
        <v>0</v>
      </c>
      <c r="H287" s="60" t="n">
        <f aca="false">$K$13*EXP(MAX(-700,MIN(700,$K$86-CH286)))</f>
        <v>0</v>
      </c>
      <c r="I287" s="60" t="n">
        <f aca="false">$L$13*EXP(MAX(-700,MIN(700,$L$86-CI286)))</f>
        <v>0</v>
      </c>
      <c r="J287" s="60" t="n">
        <f aca="false">$M$13*EXP(MAX(-700,MIN(700,$M$86-CJ286)))</f>
        <v>0</v>
      </c>
      <c r="K287" s="60" t="n">
        <f aca="false">$N$13*EXP(MAX(-700,MIN(700,$N$86-CK286)))</f>
        <v>0</v>
      </c>
      <c r="L287" s="60" t="n">
        <f aca="false">$O$13*EXP(MAX(-700,MIN(700,$O$86-CL286)))</f>
        <v>0</v>
      </c>
      <c r="M287" s="60" t="n">
        <f aca="false">$P$13*EXP(MAX(-700,MIN(700,$P$86-CM286)))</f>
        <v>0</v>
      </c>
      <c r="N287" s="60" t="n">
        <f aca="false">SUM(B287:M287)</f>
        <v>1</v>
      </c>
      <c r="O287" s="60" t="n">
        <f aca="false">B287/N287</f>
        <v>1</v>
      </c>
      <c r="P287" s="60" t="n">
        <f aca="false">C287/N287</f>
        <v>0</v>
      </c>
      <c r="Q287" s="60" t="n">
        <f aca="false">D287/N287</f>
        <v>0</v>
      </c>
      <c r="R287" s="60" t="n">
        <f aca="false">E287/N287</f>
        <v>0</v>
      </c>
      <c r="S287" s="60" t="n">
        <f aca="false">F287/N287</f>
        <v>0</v>
      </c>
      <c r="T287" s="60" t="n">
        <f aca="false">G287/N287</f>
        <v>0</v>
      </c>
      <c r="U287" s="60" t="n">
        <f aca="false">H287/N287</f>
        <v>0</v>
      </c>
      <c r="V287" s="60" t="n">
        <f aca="false">I287/N287</f>
        <v>0</v>
      </c>
      <c r="W287" s="60" t="n">
        <f aca="false">J287/N287</f>
        <v>0</v>
      </c>
      <c r="X287" s="60" t="n">
        <f aca="false">K287/N287</f>
        <v>0</v>
      </c>
      <c r="Y287" s="60" t="n">
        <f aca="false">L287/N287</f>
        <v>0</v>
      </c>
      <c r="Z287" s="60" t="n">
        <f aca="false">M287/N287</f>
        <v>0</v>
      </c>
      <c r="AA287" s="60" t="n">
        <f aca="false">$E$28*SUMPRODUCT($E$31:$P$31,O287:Z287,$E$28:$P$28)</f>
        <v>0.184416866619846</v>
      </c>
      <c r="AB287" s="60" t="n">
        <f aca="false">$F$28*SUMPRODUCT($E$32:$P$32,O287:Z287,$E$28:$P$28)</f>
        <v>0</v>
      </c>
      <c r="AC287" s="60" t="n">
        <f aca="false">$G$28*SUMPRODUCT($E$33:$P$33,O287:Z287,$E$28:$P$28)</f>
        <v>0</v>
      </c>
      <c r="AD287" s="60" t="n">
        <f aca="false">$H$28*SUMPRODUCT($E$34:$P$34,O287:Z287,$E$28:$P$28)</f>
        <v>0</v>
      </c>
      <c r="AE287" s="60" t="n">
        <f aca="false">$I$28*SUMPRODUCT($E$35:$P$35,O287:Z287,$E$28:$P$28)</f>
        <v>0</v>
      </c>
      <c r="AF287" s="60" t="n">
        <f aca="false">$J$28*SUMPRODUCT($E$36:$P$36,O287:Z287,$E$28:$P$28)</f>
        <v>0</v>
      </c>
      <c r="AG287" s="60" t="n">
        <f aca="false">$K$28*SUMPRODUCT($E$37:$P$37,O287:Z287,$E$28:$P$28)</f>
        <v>0</v>
      </c>
      <c r="AH287" s="60" t="n">
        <f aca="false">$L$28*SUMPRODUCT($E$38:$P$38,O287:Z287,$E$28:$P$28)</f>
        <v>0</v>
      </c>
      <c r="AI287" s="60" t="n">
        <f aca="false">$M$28*SUMPRODUCT($E$39:$P$39,O287:Z287,$E$28:$P$28)</f>
        <v>0</v>
      </c>
      <c r="AJ287" s="60" t="n">
        <f aca="false">$N$28*SUMPRODUCT($E$40:$P$40,O287:Z287,$E$28:$P$28)</f>
        <v>0</v>
      </c>
      <c r="AK287" s="60" t="n">
        <f aca="false">$O$28*SUMPRODUCT($E$41:$P$41,O287:Z287,$E$28:$P$28)</f>
        <v>0</v>
      </c>
      <c r="AL287" s="60" t="n">
        <f aca="false">$P$28*SUMPRODUCT($E$42:$P$42,O287:Z287,$E$28:$P$28)</f>
        <v>0</v>
      </c>
      <c r="AM287" s="60" t="n">
        <f aca="false">SUMPRODUCT(O287:Z287,AA287:AL287)</f>
        <v>0.184416866619846</v>
      </c>
      <c r="AN287" s="60" t="n">
        <f aca="false">SUMPRODUCT(O287:Z287,$E$27:$P$27)</f>
        <v>2.67389635063809E-005</v>
      </c>
      <c r="AO287" s="60" t="n">
        <f aca="false">AM287*$C$9/($C$10*$C$8)^2</f>
        <v>0.21776909410545</v>
      </c>
      <c r="AP287" s="60" t="n">
        <f aca="false">AN287*$C$9/($C$10*$C$8)</f>
        <v>0.0918845243259994</v>
      </c>
      <c r="AQ287" s="60" t="n">
        <f aca="false">CHOOSE($C$7,-(1+AP287),-1,-(1-AP287))</f>
        <v>-0.908115475674001</v>
      </c>
      <c r="AR287" s="60" t="n">
        <f aca="false">CHOOSE($C$7,AO287,AO287-AP287-AP287^2,AO287-3*AP287^2-2*AP287)</f>
        <v>0.00867174802160559</v>
      </c>
      <c r="AS287" s="60" t="n">
        <f aca="false">CHOOSE($C$7,-AO287*AP287,-AO287*AP287,-(AO287*AP287-AP287^2-AP287^3))</f>
        <v>-0.0107910842936637</v>
      </c>
      <c r="AT287" s="60" t="n">
        <f aca="false">AR287-AQ287^2/3</f>
        <v>-0.266219491031267</v>
      </c>
      <c r="AU287" s="60" t="n">
        <f aca="false">2*AQ287^3/27-AQ287*AR287/3+AS287</f>
        <v>-0.0636400988362784</v>
      </c>
      <c r="AV287" s="60" t="n">
        <f aca="false">AU287^2/4+AT287^3/27</f>
        <v>0.000313710901361829</v>
      </c>
      <c r="AW287" s="60" t="n">
        <f aca="false">-AU287/2-IF(AU287&gt;=0,1,-1)*SQRT(MAX(AV287,0))</f>
        <v>0.0495319352963236</v>
      </c>
      <c r="AX287" s="60" t="n">
        <f aca="false">SIGN(AW287)*ABS(AW287)^(1/3)</f>
        <v>0.367249967174439</v>
      </c>
      <c r="AY287" s="60" t="n">
        <f aca="false">IF(AX287=0,0,AX287-AT287/(3*AX287))</f>
        <v>0.60888329127384</v>
      </c>
      <c r="AZ287" s="60" t="n">
        <f aca="false">2*SQRT(MAX(-AT287,0)/3)</f>
        <v>0.595784626668918</v>
      </c>
      <c r="BA287" s="60" t="n">
        <f aca="false">ACOS(IF(AZ287=0,0,MAX(-1,MIN(1,3*AU287/(AT287*AZ287)))))</f>
        <v>0</v>
      </c>
      <c r="BB287" s="60" t="n">
        <f aca="false">AZ287*COS(BA287/3)</f>
        <v>0.595784626668918</v>
      </c>
      <c r="BC287" s="60" t="n">
        <f aca="false">IF(AV287&lt;0,BB287,AY287)-AQ287/3</f>
        <v>0.91158844983184</v>
      </c>
      <c r="BD287" s="60" t="n">
        <f aca="false">IFERROR((((BC287+AQ287)*BC287+AR287)*BC287+AS287)/((3*BC287+2*AQ287)*BC287+AR287),0)</f>
        <v>0</v>
      </c>
      <c r="BE287" s="60" t="n">
        <f aca="false">IF(ABS(BD287)&lt;0.1*ABS(BC287),BC287-BD287,BC287)</f>
        <v>0.91158844983184</v>
      </c>
      <c r="BF287" s="60" t="n">
        <f aca="false">IFERROR((((BE287+AQ287)*BE287+AR287)*BE287+AS287)/((3*BE287+2*AQ287)*BE287+AR287),0)</f>
        <v>0</v>
      </c>
      <c r="BG287" s="60" t="n">
        <f aca="false">IF(ABS(BF287)&lt;0.1*ABS(BE287),BE287-BF287,BE287)</f>
        <v>0.91158844983184</v>
      </c>
      <c r="BH287" s="60" t="n">
        <f aca="false">-AS287/BG287</f>
        <v>0.0118376711504565</v>
      </c>
      <c r="BI287" s="60" t="n">
        <f aca="false">(AR287-BH287)/BG287</f>
        <v>-0.00347297415783941</v>
      </c>
      <c r="BJ287" s="60" t="n">
        <f aca="false">BI287^2-4*BH287</f>
        <v>-0.0473386230523248</v>
      </c>
      <c r="BK287" s="60" t="n">
        <f aca="false">IF(BJ287&gt;=0,(BI287+IF(BI287&gt;=0,1,-1)*SQRT(BJ287))/2,0)</f>
        <v>0</v>
      </c>
      <c r="BL287" s="60" t="n">
        <f aca="false">IF(AND(BJ287&gt;=0,BK287&lt;&gt;0),MIN(BK287,BH287/BK287),-1)</f>
        <v>-1</v>
      </c>
      <c r="BM287" s="60" t="n">
        <f aca="false">AND(BJ287&gt;=0,BL287&gt;AP287,ABS(BG287-BL287)&gt;=0.00005*MAX(BG287,BL287))</f>
        <v>0</v>
      </c>
      <c r="BN287" s="60" t="n">
        <f aca="false">IF(BM287,IFERROR((((BL287+AQ287)*BL287+AR287)*BL287+AS287)/((3*BL287+2*AQ287)*BL287+AR287),0),0)</f>
        <v>0</v>
      </c>
      <c r="BO287" s="60" t="n">
        <f aca="false">IF(ABS(BN287)&lt;0.1*ABS(BL287),BL287-BN287,BL287)</f>
        <v>-1</v>
      </c>
      <c r="BP287" s="60" t="n">
        <f aca="false">IF(BM287,IFERROR((((BO287+AQ287)*BO287+AR287)*BO287+AS287)/((3*BO287+2*AQ287)*BO287+AR287),0),0)</f>
        <v>0</v>
      </c>
      <c r="BQ287" s="60" t="n">
        <f aca="false">IF(ABS(BP287)&lt;0.1*ABS(BO287),BO287-BP287,BO287)</f>
        <v>-1</v>
      </c>
      <c r="BR287" s="60" t="n">
        <f aca="false">IF(BM287,MAX(BG287,BQ287),BG287)</f>
        <v>0.91158844983184</v>
      </c>
      <c r="BS287" s="60" t="n">
        <f aca="false">IF(BM287,MIN(BG287,BQ287),-1)</f>
        <v>-1</v>
      </c>
      <c r="BT287" s="60" t="n">
        <f aca="false">CHOOSE($C$7,AO287/BR287,AO287/AP287*LN(1+AP287/BR287),AO287/(2*SQRT(2)*AP287)*LN((BR287+(1+SQRT(2))*AP287)/(BR287+(1-SQRT(2))*AP287)))</f>
        <v>0.218240791233887</v>
      </c>
      <c r="BU287" s="60" t="n">
        <f aca="false">BR287-1-LN(BR287-AP287)-BT287</f>
        <v>-0.107840271021729</v>
      </c>
      <c r="BV287" s="60" t="n">
        <f aca="false">IF(BM287,CHOOSE($C$7,AO287/BS287,AO287/AP287*LN(1+AP287/BS287),AO287/(2*SQRT(2)*AP287)*LN((BS287+(1+SQRT(2))*AP287)/(BS287+(1-SQRT(2))*AP287))),0)</f>
        <v>0</v>
      </c>
      <c r="BW287" s="60" t="n">
        <f aca="false">IF(BM287,BS287-1-LN(BS287-AP287)-BV287,0)</f>
        <v>0</v>
      </c>
      <c r="BX287" s="60" t="n">
        <f aca="false">AND(BM287,BW287&lt;BU287)</f>
        <v>0</v>
      </c>
      <c r="BY287" s="60" t="n">
        <f aca="false">IF(BX287,BS287,BR287)</f>
        <v>0.91158844983184</v>
      </c>
      <c r="BZ287" s="60" t="n">
        <f aca="false">IF(BX287,BV287,BT287)</f>
        <v>0.218240791233887</v>
      </c>
      <c r="CA287" s="60" t="n">
        <f aca="false">LN(BY287-AP287)</f>
        <v>-0.198812070380318</v>
      </c>
      <c r="CB287" s="60" t="n">
        <f aca="false">$E$27/AN287*(BY287-1)-CA287-BZ287*(2*AA287/AM287-$E$27/AN287)</f>
        <v>-0.107840271021729</v>
      </c>
      <c r="CC287" s="60" t="n">
        <f aca="false">$F$27/AN287*(BY287-1)-CA287-BZ287*(2*AB287/AM287-$F$27/AN287)</f>
        <v>0.198812070380318</v>
      </c>
      <c r="CD287" s="60" t="n">
        <f aca="false">$G$27/AN287*(BY287-1)-CA287-BZ287*(2*AC287/AM287-$G$27/AN287)</f>
        <v>0.198812070380318</v>
      </c>
      <c r="CE287" s="60" t="n">
        <f aca="false">$H$27/AN287*(BY287-1)-CA287-BZ287*(2*AD287/AM287-$H$27/AN287)</f>
        <v>0.198812070380318</v>
      </c>
      <c r="CF287" s="60" t="n">
        <f aca="false">$I$27/AN287*(BY287-1)-CA287-BZ287*(2*AE287/AM287-$I$27/AN287)</f>
        <v>0.198812070380318</v>
      </c>
      <c r="CG287" s="60" t="n">
        <f aca="false">$J$27/AN287*(BY287-1)-CA287-BZ287*(2*AF287/AM287-$J$27/AN287)</f>
        <v>0.198812070380318</v>
      </c>
      <c r="CH287" s="60" t="n">
        <f aca="false">$K$27/AN287*(BY287-1)-CA287-BZ287*(2*AG287/AM287-$K$27/AN287)</f>
        <v>0.198812070380318</v>
      </c>
      <c r="CI287" s="60" t="n">
        <f aca="false">$L$27/AN287*(BY287-1)-CA287-BZ287*(2*AH287/AM287-$L$27/AN287)</f>
        <v>0.198812070380318</v>
      </c>
      <c r="CJ287" s="60" t="n">
        <f aca="false">$M$27/AN287*(BY287-1)-CA287-BZ287*(2*AI287/AM287-$M$27/AN287)</f>
        <v>0.198812070380318</v>
      </c>
      <c r="CK287" s="60" t="n">
        <f aca="false">$N$27/AN287*(BY287-1)-CA287-BZ287*(2*AJ287/AM287-$N$27/AN287)</f>
        <v>0.198812070380318</v>
      </c>
      <c r="CL287" s="60" t="n">
        <f aca="false">$O$27/AN287*(BY287-1)-CA287-BZ287*(2*AK287/AM287-$O$27/AN287)</f>
        <v>0.198812070380318</v>
      </c>
      <c r="CM287" s="60" t="n">
        <f aca="false">$P$27/AN287*(BY287-1)-CA287-BZ287*(2*AL287/AM287-$P$27/AN287)</f>
        <v>0.198812070380318</v>
      </c>
      <c r="CN287" s="60" t="n">
        <f aca="false">AP287/BY287&gt;$C$22</f>
        <v>0</v>
      </c>
      <c r="CO287" s="60" t="n">
        <f aca="false">1-N287+SUMPRODUCT(B287:M287,CB287:CM287)-SUMPRODUCT(B287:M287,CB286:CM286)</f>
        <v>0</v>
      </c>
      <c r="CP287" s="60" t="n">
        <f aca="false">SUMXMY2(O287:Z287,$E$13:$P$13)</f>
        <v>0</v>
      </c>
    </row>
    <row r="288" customFormat="false" ht="15" hidden="false" customHeight="false" outlineLevel="0" collapsed="false">
      <c r="A288" s="59" t="n">
        <v>35</v>
      </c>
      <c r="B288" s="60" t="n">
        <f aca="false">$E$13*EXP(MAX(-700,MIN(700,$E$86-CB287)))</f>
        <v>1</v>
      </c>
      <c r="C288" s="60" t="n">
        <f aca="false">$F$13*EXP(MAX(-700,MIN(700,$F$86-CC287)))</f>
        <v>0</v>
      </c>
      <c r="D288" s="60" t="n">
        <f aca="false">$G$13*EXP(MAX(-700,MIN(700,$G$86-CD287)))</f>
        <v>0</v>
      </c>
      <c r="E288" s="60" t="n">
        <f aca="false">$H$13*EXP(MAX(-700,MIN(700,$H$86-CE287)))</f>
        <v>0</v>
      </c>
      <c r="F288" s="60" t="n">
        <f aca="false">$I$13*EXP(MAX(-700,MIN(700,$I$86-CF287)))</f>
        <v>0</v>
      </c>
      <c r="G288" s="60" t="n">
        <f aca="false">$J$13*EXP(MAX(-700,MIN(700,$J$86-CG287)))</f>
        <v>0</v>
      </c>
      <c r="H288" s="60" t="n">
        <f aca="false">$K$13*EXP(MAX(-700,MIN(700,$K$86-CH287)))</f>
        <v>0</v>
      </c>
      <c r="I288" s="60" t="n">
        <f aca="false">$L$13*EXP(MAX(-700,MIN(700,$L$86-CI287)))</f>
        <v>0</v>
      </c>
      <c r="J288" s="60" t="n">
        <f aca="false">$M$13*EXP(MAX(-700,MIN(700,$M$86-CJ287)))</f>
        <v>0</v>
      </c>
      <c r="K288" s="60" t="n">
        <f aca="false">$N$13*EXP(MAX(-700,MIN(700,$N$86-CK287)))</f>
        <v>0</v>
      </c>
      <c r="L288" s="60" t="n">
        <f aca="false">$O$13*EXP(MAX(-700,MIN(700,$O$86-CL287)))</f>
        <v>0</v>
      </c>
      <c r="M288" s="60" t="n">
        <f aca="false">$P$13*EXP(MAX(-700,MIN(700,$P$86-CM287)))</f>
        <v>0</v>
      </c>
      <c r="N288" s="60" t="n">
        <f aca="false">SUM(B288:M288)</f>
        <v>1</v>
      </c>
      <c r="O288" s="60" t="n">
        <f aca="false">B288/N288</f>
        <v>1</v>
      </c>
      <c r="P288" s="60" t="n">
        <f aca="false">C288/N288</f>
        <v>0</v>
      </c>
      <c r="Q288" s="60" t="n">
        <f aca="false">D288/N288</f>
        <v>0</v>
      </c>
      <c r="R288" s="60" t="n">
        <f aca="false">E288/N288</f>
        <v>0</v>
      </c>
      <c r="S288" s="60" t="n">
        <f aca="false">F288/N288</f>
        <v>0</v>
      </c>
      <c r="T288" s="60" t="n">
        <f aca="false">G288/N288</f>
        <v>0</v>
      </c>
      <c r="U288" s="60" t="n">
        <f aca="false">H288/N288</f>
        <v>0</v>
      </c>
      <c r="V288" s="60" t="n">
        <f aca="false">I288/N288</f>
        <v>0</v>
      </c>
      <c r="W288" s="60" t="n">
        <f aca="false">J288/N288</f>
        <v>0</v>
      </c>
      <c r="X288" s="60" t="n">
        <f aca="false">K288/N288</f>
        <v>0</v>
      </c>
      <c r="Y288" s="60" t="n">
        <f aca="false">L288/N288</f>
        <v>0</v>
      </c>
      <c r="Z288" s="60" t="n">
        <f aca="false">M288/N288</f>
        <v>0</v>
      </c>
      <c r="AA288" s="60" t="n">
        <f aca="false">$E$28*SUMPRODUCT($E$31:$P$31,O288:Z288,$E$28:$P$28)</f>
        <v>0.184416866619846</v>
      </c>
      <c r="AB288" s="60" t="n">
        <f aca="false">$F$28*SUMPRODUCT($E$32:$P$32,O288:Z288,$E$28:$P$28)</f>
        <v>0</v>
      </c>
      <c r="AC288" s="60" t="n">
        <f aca="false">$G$28*SUMPRODUCT($E$33:$P$33,O288:Z288,$E$28:$P$28)</f>
        <v>0</v>
      </c>
      <c r="AD288" s="60" t="n">
        <f aca="false">$H$28*SUMPRODUCT($E$34:$P$34,O288:Z288,$E$28:$P$28)</f>
        <v>0</v>
      </c>
      <c r="AE288" s="60" t="n">
        <f aca="false">$I$28*SUMPRODUCT($E$35:$P$35,O288:Z288,$E$28:$P$28)</f>
        <v>0</v>
      </c>
      <c r="AF288" s="60" t="n">
        <f aca="false">$J$28*SUMPRODUCT($E$36:$P$36,O288:Z288,$E$28:$P$28)</f>
        <v>0</v>
      </c>
      <c r="AG288" s="60" t="n">
        <f aca="false">$K$28*SUMPRODUCT($E$37:$P$37,O288:Z288,$E$28:$P$28)</f>
        <v>0</v>
      </c>
      <c r="AH288" s="60" t="n">
        <f aca="false">$L$28*SUMPRODUCT($E$38:$P$38,O288:Z288,$E$28:$P$28)</f>
        <v>0</v>
      </c>
      <c r="AI288" s="60" t="n">
        <f aca="false">$M$28*SUMPRODUCT($E$39:$P$39,O288:Z288,$E$28:$P$28)</f>
        <v>0</v>
      </c>
      <c r="AJ288" s="60" t="n">
        <f aca="false">$N$28*SUMPRODUCT($E$40:$P$40,O288:Z288,$E$28:$P$28)</f>
        <v>0</v>
      </c>
      <c r="AK288" s="60" t="n">
        <f aca="false">$O$28*SUMPRODUCT($E$41:$P$41,O288:Z288,$E$28:$P$28)</f>
        <v>0</v>
      </c>
      <c r="AL288" s="60" t="n">
        <f aca="false">$P$28*SUMPRODUCT($E$42:$P$42,O288:Z288,$E$28:$P$28)</f>
        <v>0</v>
      </c>
      <c r="AM288" s="60" t="n">
        <f aca="false">SUMPRODUCT(O288:Z288,AA288:AL288)</f>
        <v>0.184416866619846</v>
      </c>
      <c r="AN288" s="60" t="n">
        <f aca="false">SUMPRODUCT(O288:Z288,$E$27:$P$27)</f>
        <v>2.67389635063809E-005</v>
      </c>
      <c r="AO288" s="60" t="n">
        <f aca="false">AM288*$C$9/($C$10*$C$8)^2</f>
        <v>0.21776909410545</v>
      </c>
      <c r="AP288" s="60" t="n">
        <f aca="false">AN288*$C$9/($C$10*$C$8)</f>
        <v>0.0918845243259994</v>
      </c>
      <c r="AQ288" s="60" t="n">
        <f aca="false">CHOOSE($C$7,-(1+AP288),-1,-(1-AP288))</f>
        <v>-0.908115475674001</v>
      </c>
      <c r="AR288" s="60" t="n">
        <f aca="false">CHOOSE($C$7,AO288,AO288-AP288-AP288^2,AO288-3*AP288^2-2*AP288)</f>
        <v>0.00867174802160559</v>
      </c>
      <c r="AS288" s="60" t="n">
        <f aca="false">CHOOSE($C$7,-AO288*AP288,-AO288*AP288,-(AO288*AP288-AP288^2-AP288^3))</f>
        <v>-0.0107910842936637</v>
      </c>
      <c r="AT288" s="60" t="n">
        <f aca="false">AR288-AQ288^2/3</f>
        <v>-0.266219491031267</v>
      </c>
      <c r="AU288" s="60" t="n">
        <f aca="false">2*AQ288^3/27-AQ288*AR288/3+AS288</f>
        <v>-0.0636400988362784</v>
      </c>
      <c r="AV288" s="60" t="n">
        <f aca="false">AU288^2/4+AT288^3/27</f>
        <v>0.000313710901361829</v>
      </c>
      <c r="AW288" s="60" t="n">
        <f aca="false">-AU288/2-IF(AU288&gt;=0,1,-1)*SQRT(MAX(AV288,0))</f>
        <v>0.0495319352963236</v>
      </c>
      <c r="AX288" s="60" t="n">
        <f aca="false">SIGN(AW288)*ABS(AW288)^(1/3)</f>
        <v>0.367249967174439</v>
      </c>
      <c r="AY288" s="60" t="n">
        <f aca="false">IF(AX288=0,0,AX288-AT288/(3*AX288))</f>
        <v>0.60888329127384</v>
      </c>
      <c r="AZ288" s="60" t="n">
        <f aca="false">2*SQRT(MAX(-AT288,0)/3)</f>
        <v>0.595784626668918</v>
      </c>
      <c r="BA288" s="60" t="n">
        <f aca="false">ACOS(IF(AZ288=0,0,MAX(-1,MIN(1,3*AU288/(AT288*AZ288)))))</f>
        <v>0</v>
      </c>
      <c r="BB288" s="60" t="n">
        <f aca="false">AZ288*COS(BA288/3)</f>
        <v>0.595784626668918</v>
      </c>
      <c r="BC288" s="60" t="n">
        <f aca="false">IF(AV288&lt;0,BB288,AY288)-AQ288/3</f>
        <v>0.91158844983184</v>
      </c>
      <c r="BD288" s="60" t="n">
        <f aca="false">IFERROR((((BC288+AQ288)*BC288+AR288)*BC288+AS288)/((3*BC288+2*AQ288)*BC288+AR288),0)</f>
        <v>0</v>
      </c>
      <c r="BE288" s="60" t="n">
        <f aca="false">IF(ABS(BD288)&lt;0.1*ABS(BC288),BC288-BD288,BC288)</f>
        <v>0.91158844983184</v>
      </c>
      <c r="BF288" s="60" t="n">
        <f aca="false">IFERROR((((BE288+AQ288)*BE288+AR288)*BE288+AS288)/((3*BE288+2*AQ288)*BE288+AR288),0)</f>
        <v>0</v>
      </c>
      <c r="BG288" s="60" t="n">
        <f aca="false">IF(ABS(BF288)&lt;0.1*ABS(BE288),BE288-BF288,BE288)</f>
        <v>0.91158844983184</v>
      </c>
      <c r="BH288" s="60" t="n">
        <f aca="false">-AS288/BG288</f>
        <v>0.0118376711504565</v>
      </c>
      <c r="BI288" s="60" t="n">
        <f aca="false">(AR288-BH288)/BG288</f>
        <v>-0.00347297415783941</v>
      </c>
      <c r="BJ288" s="60" t="n">
        <f aca="false">BI288^2-4*BH288</f>
        <v>-0.0473386230523248</v>
      </c>
      <c r="BK288" s="60" t="n">
        <f aca="false">IF(BJ288&gt;=0,(BI288+IF(BI288&gt;=0,1,-1)*SQRT(BJ288))/2,0)</f>
        <v>0</v>
      </c>
      <c r="BL288" s="60" t="n">
        <f aca="false">IF(AND(BJ288&gt;=0,BK288&lt;&gt;0),MIN(BK288,BH288/BK288),-1)</f>
        <v>-1</v>
      </c>
      <c r="BM288" s="60" t="n">
        <f aca="false">AND(BJ288&gt;=0,BL288&gt;AP288,ABS(BG288-BL288)&gt;=0.00005*MAX(BG288,BL288))</f>
        <v>0</v>
      </c>
      <c r="BN288" s="60" t="n">
        <f aca="false">IF(BM288,IFERROR((((BL288+AQ288)*BL288+AR288)*BL288+AS288)/((3*BL288+2*AQ288)*BL288+AR288),0),0)</f>
        <v>0</v>
      </c>
      <c r="BO288" s="60" t="n">
        <f aca="false">IF(ABS(BN288)&lt;0.1*ABS(BL288),BL288-BN288,BL288)</f>
        <v>-1</v>
      </c>
      <c r="BP288" s="60" t="n">
        <f aca="false">IF(BM288,IFERROR((((BO288+AQ288)*BO288+AR288)*BO288+AS288)/((3*BO288+2*AQ288)*BO288+AR288),0),0)</f>
        <v>0</v>
      </c>
      <c r="BQ288" s="60" t="n">
        <f aca="false">IF(ABS(BP288)&lt;0.1*ABS(BO288),BO288-BP288,BO288)</f>
        <v>-1</v>
      </c>
      <c r="BR288" s="60" t="n">
        <f aca="false">IF(BM288,MAX(BG288,BQ288),BG288)</f>
        <v>0.91158844983184</v>
      </c>
      <c r="BS288" s="60" t="n">
        <f aca="false">IF(BM288,MIN(BG288,BQ288),-1)</f>
        <v>-1</v>
      </c>
      <c r="BT288" s="60" t="n">
        <f aca="false">CHOOSE($C$7,AO288/BR288,AO288/AP288*LN(1+AP288/BR288),AO288/(2*SQRT(2)*AP288)*LN((BR288+(1+SQRT(2))*AP288)/(BR288+(1-SQRT(2))*AP288)))</f>
        <v>0.218240791233887</v>
      </c>
      <c r="BU288" s="60" t="n">
        <f aca="false">BR288-1-LN(BR288-AP288)-BT288</f>
        <v>-0.107840271021729</v>
      </c>
      <c r="BV288" s="60" t="n">
        <f aca="false">IF(BM288,CHOOSE($C$7,AO288/BS288,AO288/AP288*LN(1+AP288/BS288),AO288/(2*SQRT(2)*AP288)*LN((BS288+(1+SQRT(2))*AP288)/(BS288+(1-SQRT(2))*AP288))),0)</f>
        <v>0</v>
      </c>
      <c r="BW288" s="60" t="n">
        <f aca="false">IF(BM288,BS288-1-LN(BS288-AP288)-BV288,0)</f>
        <v>0</v>
      </c>
      <c r="BX288" s="60" t="n">
        <f aca="false">AND(BM288,BW288&lt;BU288)</f>
        <v>0</v>
      </c>
      <c r="BY288" s="60" t="n">
        <f aca="false">IF(BX288,BS288,BR288)</f>
        <v>0.91158844983184</v>
      </c>
      <c r="BZ288" s="60" t="n">
        <f aca="false">IF(BX288,BV288,BT288)</f>
        <v>0.218240791233887</v>
      </c>
      <c r="CA288" s="60" t="n">
        <f aca="false">LN(BY288-AP288)</f>
        <v>-0.198812070380318</v>
      </c>
      <c r="CB288" s="60" t="n">
        <f aca="false">$E$27/AN288*(BY288-1)-CA288-BZ288*(2*AA288/AM288-$E$27/AN288)</f>
        <v>-0.107840271021729</v>
      </c>
      <c r="CC288" s="60" t="n">
        <f aca="false">$F$27/AN288*(BY288-1)-CA288-BZ288*(2*AB288/AM288-$F$27/AN288)</f>
        <v>0.198812070380318</v>
      </c>
      <c r="CD288" s="60" t="n">
        <f aca="false">$G$27/AN288*(BY288-1)-CA288-BZ288*(2*AC288/AM288-$G$27/AN288)</f>
        <v>0.198812070380318</v>
      </c>
      <c r="CE288" s="60" t="n">
        <f aca="false">$H$27/AN288*(BY288-1)-CA288-BZ288*(2*AD288/AM288-$H$27/AN288)</f>
        <v>0.198812070380318</v>
      </c>
      <c r="CF288" s="60" t="n">
        <f aca="false">$I$27/AN288*(BY288-1)-CA288-BZ288*(2*AE288/AM288-$I$27/AN288)</f>
        <v>0.198812070380318</v>
      </c>
      <c r="CG288" s="60" t="n">
        <f aca="false">$J$27/AN288*(BY288-1)-CA288-BZ288*(2*AF288/AM288-$J$27/AN288)</f>
        <v>0.198812070380318</v>
      </c>
      <c r="CH288" s="60" t="n">
        <f aca="false">$K$27/AN288*(BY288-1)-CA288-BZ288*(2*AG288/AM288-$K$27/AN288)</f>
        <v>0.198812070380318</v>
      </c>
      <c r="CI288" s="60" t="n">
        <f aca="false">$L$27/AN288*(BY288-1)-CA288-BZ288*(2*AH288/AM288-$L$27/AN288)</f>
        <v>0.198812070380318</v>
      </c>
      <c r="CJ288" s="60" t="n">
        <f aca="false">$M$27/AN288*(BY288-1)-CA288-BZ288*(2*AI288/AM288-$M$27/AN288)</f>
        <v>0.198812070380318</v>
      </c>
      <c r="CK288" s="60" t="n">
        <f aca="false">$N$27/AN288*(BY288-1)-CA288-BZ288*(2*AJ288/AM288-$N$27/AN288)</f>
        <v>0.198812070380318</v>
      </c>
      <c r="CL288" s="60" t="n">
        <f aca="false">$O$27/AN288*(BY288-1)-CA288-BZ288*(2*AK288/AM288-$O$27/AN288)</f>
        <v>0.198812070380318</v>
      </c>
      <c r="CM288" s="60" t="n">
        <f aca="false">$P$27/AN288*(BY288-1)-CA288-BZ288*(2*AL288/AM288-$P$27/AN288)</f>
        <v>0.198812070380318</v>
      </c>
      <c r="CN288" s="60" t="n">
        <f aca="false">AP288/BY288&gt;$C$22</f>
        <v>0</v>
      </c>
      <c r="CO288" s="60" t="n">
        <f aca="false">1-N288+SUMPRODUCT(B288:M288,CB288:CM288)-SUMPRODUCT(B288:M288,CB287:CM287)</f>
        <v>0</v>
      </c>
      <c r="CP288" s="60" t="n">
        <f aca="false">SUMXMY2(O288:Z288,$E$13:$P$13)</f>
        <v>0</v>
      </c>
    </row>
    <row r="289" customFormat="false" ht="15" hidden="false" customHeight="false" outlineLevel="0" collapsed="false">
      <c r="A289" s="59" t="n">
        <v>36</v>
      </c>
      <c r="B289" s="60" t="n">
        <f aca="false">$E$13*EXP(MAX(-700,MIN(700,$E$86-CB288)))</f>
        <v>1</v>
      </c>
      <c r="C289" s="60" t="n">
        <f aca="false">$F$13*EXP(MAX(-700,MIN(700,$F$86-CC288)))</f>
        <v>0</v>
      </c>
      <c r="D289" s="60" t="n">
        <f aca="false">$G$13*EXP(MAX(-700,MIN(700,$G$86-CD288)))</f>
        <v>0</v>
      </c>
      <c r="E289" s="60" t="n">
        <f aca="false">$H$13*EXP(MAX(-700,MIN(700,$H$86-CE288)))</f>
        <v>0</v>
      </c>
      <c r="F289" s="60" t="n">
        <f aca="false">$I$13*EXP(MAX(-700,MIN(700,$I$86-CF288)))</f>
        <v>0</v>
      </c>
      <c r="G289" s="60" t="n">
        <f aca="false">$J$13*EXP(MAX(-700,MIN(700,$J$86-CG288)))</f>
        <v>0</v>
      </c>
      <c r="H289" s="60" t="n">
        <f aca="false">$K$13*EXP(MAX(-700,MIN(700,$K$86-CH288)))</f>
        <v>0</v>
      </c>
      <c r="I289" s="60" t="n">
        <f aca="false">$L$13*EXP(MAX(-700,MIN(700,$L$86-CI288)))</f>
        <v>0</v>
      </c>
      <c r="J289" s="60" t="n">
        <f aca="false">$M$13*EXP(MAX(-700,MIN(700,$M$86-CJ288)))</f>
        <v>0</v>
      </c>
      <c r="K289" s="60" t="n">
        <f aca="false">$N$13*EXP(MAX(-700,MIN(700,$N$86-CK288)))</f>
        <v>0</v>
      </c>
      <c r="L289" s="60" t="n">
        <f aca="false">$O$13*EXP(MAX(-700,MIN(700,$O$86-CL288)))</f>
        <v>0</v>
      </c>
      <c r="M289" s="60" t="n">
        <f aca="false">$P$13*EXP(MAX(-700,MIN(700,$P$86-CM288)))</f>
        <v>0</v>
      </c>
      <c r="N289" s="60" t="n">
        <f aca="false">SUM(B289:M289)</f>
        <v>1</v>
      </c>
      <c r="O289" s="60" t="n">
        <f aca="false">B289/N289</f>
        <v>1</v>
      </c>
      <c r="P289" s="60" t="n">
        <f aca="false">C289/N289</f>
        <v>0</v>
      </c>
      <c r="Q289" s="60" t="n">
        <f aca="false">D289/N289</f>
        <v>0</v>
      </c>
      <c r="R289" s="60" t="n">
        <f aca="false">E289/N289</f>
        <v>0</v>
      </c>
      <c r="S289" s="60" t="n">
        <f aca="false">F289/N289</f>
        <v>0</v>
      </c>
      <c r="T289" s="60" t="n">
        <f aca="false">G289/N289</f>
        <v>0</v>
      </c>
      <c r="U289" s="60" t="n">
        <f aca="false">H289/N289</f>
        <v>0</v>
      </c>
      <c r="V289" s="60" t="n">
        <f aca="false">I289/N289</f>
        <v>0</v>
      </c>
      <c r="W289" s="60" t="n">
        <f aca="false">J289/N289</f>
        <v>0</v>
      </c>
      <c r="X289" s="60" t="n">
        <f aca="false">K289/N289</f>
        <v>0</v>
      </c>
      <c r="Y289" s="60" t="n">
        <f aca="false">L289/N289</f>
        <v>0</v>
      </c>
      <c r="Z289" s="60" t="n">
        <f aca="false">M289/N289</f>
        <v>0</v>
      </c>
      <c r="AA289" s="60" t="n">
        <f aca="false">$E$28*SUMPRODUCT($E$31:$P$31,O289:Z289,$E$28:$P$28)</f>
        <v>0.184416866619846</v>
      </c>
      <c r="AB289" s="60" t="n">
        <f aca="false">$F$28*SUMPRODUCT($E$32:$P$32,O289:Z289,$E$28:$P$28)</f>
        <v>0</v>
      </c>
      <c r="AC289" s="60" t="n">
        <f aca="false">$G$28*SUMPRODUCT($E$33:$P$33,O289:Z289,$E$28:$P$28)</f>
        <v>0</v>
      </c>
      <c r="AD289" s="60" t="n">
        <f aca="false">$H$28*SUMPRODUCT($E$34:$P$34,O289:Z289,$E$28:$P$28)</f>
        <v>0</v>
      </c>
      <c r="AE289" s="60" t="n">
        <f aca="false">$I$28*SUMPRODUCT($E$35:$P$35,O289:Z289,$E$28:$P$28)</f>
        <v>0</v>
      </c>
      <c r="AF289" s="60" t="n">
        <f aca="false">$J$28*SUMPRODUCT($E$36:$P$36,O289:Z289,$E$28:$P$28)</f>
        <v>0</v>
      </c>
      <c r="AG289" s="60" t="n">
        <f aca="false">$K$28*SUMPRODUCT($E$37:$P$37,O289:Z289,$E$28:$P$28)</f>
        <v>0</v>
      </c>
      <c r="AH289" s="60" t="n">
        <f aca="false">$L$28*SUMPRODUCT($E$38:$P$38,O289:Z289,$E$28:$P$28)</f>
        <v>0</v>
      </c>
      <c r="AI289" s="60" t="n">
        <f aca="false">$M$28*SUMPRODUCT($E$39:$P$39,O289:Z289,$E$28:$P$28)</f>
        <v>0</v>
      </c>
      <c r="AJ289" s="60" t="n">
        <f aca="false">$N$28*SUMPRODUCT($E$40:$P$40,O289:Z289,$E$28:$P$28)</f>
        <v>0</v>
      </c>
      <c r="AK289" s="60" t="n">
        <f aca="false">$O$28*SUMPRODUCT($E$41:$P$41,O289:Z289,$E$28:$P$28)</f>
        <v>0</v>
      </c>
      <c r="AL289" s="60" t="n">
        <f aca="false">$P$28*SUMPRODUCT($E$42:$P$42,O289:Z289,$E$28:$P$28)</f>
        <v>0</v>
      </c>
      <c r="AM289" s="60" t="n">
        <f aca="false">SUMPRODUCT(O289:Z289,AA289:AL289)</f>
        <v>0.184416866619846</v>
      </c>
      <c r="AN289" s="60" t="n">
        <f aca="false">SUMPRODUCT(O289:Z289,$E$27:$P$27)</f>
        <v>2.67389635063809E-005</v>
      </c>
      <c r="AO289" s="60" t="n">
        <f aca="false">AM289*$C$9/($C$10*$C$8)^2</f>
        <v>0.21776909410545</v>
      </c>
      <c r="AP289" s="60" t="n">
        <f aca="false">AN289*$C$9/($C$10*$C$8)</f>
        <v>0.0918845243259994</v>
      </c>
      <c r="AQ289" s="60" t="n">
        <f aca="false">CHOOSE($C$7,-(1+AP289),-1,-(1-AP289))</f>
        <v>-0.908115475674001</v>
      </c>
      <c r="AR289" s="60" t="n">
        <f aca="false">CHOOSE($C$7,AO289,AO289-AP289-AP289^2,AO289-3*AP289^2-2*AP289)</f>
        <v>0.00867174802160559</v>
      </c>
      <c r="AS289" s="60" t="n">
        <f aca="false">CHOOSE($C$7,-AO289*AP289,-AO289*AP289,-(AO289*AP289-AP289^2-AP289^3))</f>
        <v>-0.0107910842936637</v>
      </c>
      <c r="AT289" s="60" t="n">
        <f aca="false">AR289-AQ289^2/3</f>
        <v>-0.266219491031267</v>
      </c>
      <c r="AU289" s="60" t="n">
        <f aca="false">2*AQ289^3/27-AQ289*AR289/3+AS289</f>
        <v>-0.0636400988362784</v>
      </c>
      <c r="AV289" s="60" t="n">
        <f aca="false">AU289^2/4+AT289^3/27</f>
        <v>0.000313710901361829</v>
      </c>
      <c r="AW289" s="60" t="n">
        <f aca="false">-AU289/2-IF(AU289&gt;=0,1,-1)*SQRT(MAX(AV289,0))</f>
        <v>0.0495319352963236</v>
      </c>
      <c r="AX289" s="60" t="n">
        <f aca="false">SIGN(AW289)*ABS(AW289)^(1/3)</f>
        <v>0.367249967174439</v>
      </c>
      <c r="AY289" s="60" t="n">
        <f aca="false">IF(AX289=0,0,AX289-AT289/(3*AX289))</f>
        <v>0.60888329127384</v>
      </c>
      <c r="AZ289" s="60" t="n">
        <f aca="false">2*SQRT(MAX(-AT289,0)/3)</f>
        <v>0.595784626668918</v>
      </c>
      <c r="BA289" s="60" t="n">
        <f aca="false">ACOS(IF(AZ289=0,0,MAX(-1,MIN(1,3*AU289/(AT289*AZ289)))))</f>
        <v>0</v>
      </c>
      <c r="BB289" s="60" t="n">
        <f aca="false">AZ289*COS(BA289/3)</f>
        <v>0.595784626668918</v>
      </c>
      <c r="BC289" s="60" t="n">
        <f aca="false">IF(AV289&lt;0,BB289,AY289)-AQ289/3</f>
        <v>0.91158844983184</v>
      </c>
      <c r="BD289" s="60" t="n">
        <f aca="false">IFERROR((((BC289+AQ289)*BC289+AR289)*BC289+AS289)/((3*BC289+2*AQ289)*BC289+AR289),0)</f>
        <v>0</v>
      </c>
      <c r="BE289" s="60" t="n">
        <f aca="false">IF(ABS(BD289)&lt;0.1*ABS(BC289),BC289-BD289,BC289)</f>
        <v>0.91158844983184</v>
      </c>
      <c r="BF289" s="60" t="n">
        <f aca="false">IFERROR((((BE289+AQ289)*BE289+AR289)*BE289+AS289)/((3*BE289+2*AQ289)*BE289+AR289),0)</f>
        <v>0</v>
      </c>
      <c r="BG289" s="60" t="n">
        <f aca="false">IF(ABS(BF289)&lt;0.1*ABS(BE289),BE289-BF289,BE289)</f>
        <v>0.91158844983184</v>
      </c>
      <c r="BH289" s="60" t="n">
        <f aca="false">-AS289/BG289</f>
        <v>0.0118376711504565</v>
      </c>
      <c r="BI289" s="60" t="n">
        <f aca="false">(AR289-BH289)/BG289</f>
        <v>-0.00347297415783941</v>
      </c>
      <c r="BJ289" s="60" t="n">
        <f aca="false">BI289^2-4*BH289</f>
        <v>-0.0473386230523248</v>
      </c>
      <c r="BK289" s="60" t="n">
        <f aca="false">IF(BJ289&gt;=0,(BI289+IF(BI289&gt;=0,1,-1)*SQRT(BJ289))/2,0)</f>
        <v>0</v>
      </c>
      <c r="BL289" s="60" t="n">
        <f aca="false">IF(AND(BJ289&gt;=0,BK289&lt;&gt;0),MIN(BK289,BH289/BK289),-1)</f>
        <v>-1</v>
      </c>
      <c r="BM289" s="60" t="n">
        <f aca="false">AND(BJ289&gt;=0,BL289&gt;AP289,ABS(BG289-BL289)&gt;=0.00005*MAX(BG289,BL289))</f>
        <v>0</v>
      </c>
      <c r="BN289" s="60" t="n">
        <f aca="false">IF(BM289,IFERROR((((BL289+AQ289)*BL289+AR289)*BL289+AS289)/((3*BL289+2*AQ289)*BL289+AR289),0),0)</f>
        <v>0</v>
      </c>
      <c r="BO289" s="60" t="n">
        <f aca="false">IF(ABS(BN289)&lt;0.1*ABS(BL289),BL289-BN289,BL289)</f>
        <v>-1</v>
      </c>
      <c r="BP289" s="60" t="n">
        <f aca="false">IF(BM289,IFERROR((((BO289+AQ289)*BO289+AR289)*BO289+AS289)/((3*BO289+2*AQ289)*BO289+AR289),0),0)</f>
        <v>0</v>
      </c>
      <c r="BQ289" s="60" t="n">
        <f aca="false">IF(ABS(BP289)&lt;0.1*ABS(BO289),BO289-BP289,BO289)</f>
        <v>-1</v>
      </c>
      <c r="BR289" s="60" t="n">
        <f aca="false">IF(BM289,MAX(BG289,BQ289),BG289)</f>
        <v>0.91158844983184</v>
      </c>
      <c r="BS289" s="60" t="n">
        <f aca="false">IF(BM289,MIN(BG289,BQ289),-1)</f>
        <v>-1</v>
      </c>
      <c r="BT289" s="60" t="n">
        <f aca="false">CHOOSE($C$7,AO289/BR289,AO289/AP289*LN(1+AP289/BR289),AO289/(2*SQRT(2)*AP289)*LN((BR289+(1+SQRT(2))*AP289)/(BR289+(1-SQRT(2))*AP289)))</f>
        <v>0.218240791233887</v>
      </c>
      <c r="BU289" s="60" t="n">
        <f aca="false">BR289-1-LN(BR289-AP289)-BT289</f>
        <v>-0.107840271021729</v>
      </c>
      <c r="BV289" s="60" t="n">
        <f aca="false">IF(BM289,CHOOSE($C$7,AO289/BS289,AO289/AP289*LN(1+AP289/BS289),AO289/(2*SQRT(2)*AP289)*LN((BS289+(1+SQRT(2))*AP289)/(BS289+(1-SQRT(2))*AP289))),0)</f>
        <v>0</v>
      </c>
      <c r="BW289" s="60" t="n">
        <f aca="false">IF(BM289,BS289-1-LN(BS289-AP289)-BV289,0)</f>
        <v>0</v>
      </c>
      <c r="BX289" s="60" t="n">
        <f aca="false">AND(BM289,BW289&lt;BU289)</f>
        <v>0</v>
      </c>
      <c r="BY289" s="60" t="n">
        <f aca="false">IF(BX289,BS289,BR289)</f>
        <v>0.91158844983184</v>
      </c>
      <c r="BZ289" s="60" t="n">
        <f aca="false">IF(BX289,BV289,BT289)</f>
        <v>0.218240791233887</v>
      </c>
      <c r="CA289" s="60" t="n">
        <f aca="false">LN(BY289-AP289)</f>
        <v>-0.198812070380318</v>
      </c>
      <c r="CB289" s="60" t="n">
        <f aca="false">$E$27/AN289*(BY289-1)-CA289-BZ289*(2*AA289/AM289-$E$27/AN289)</f>
        <v>-0.107840271021729</v>
      </c>
      <c r="CC289" s="60" t="n">
        <f aca="false">$F$27/AN289*(BY289-1)-CA289-BZ289*(2*AB289/AM289-$F$27/AN289)</f>
        <v>0.198812070380318</v>
      </c>
      <c r="CD289" s="60" t="n">
        <f aca="false">$G$27/AN289*(BY289-1)-CA289-BZ289*(2*AC289/AM289-$G$27/AN289)</f>
        <v>0.198812070380318</v>
      </c>
      <c r="CE289" s="60" t="n">
        <f aca="false">$H$27/AN289*(BY289-1)-CA289-BZ289*(2*AD289/AM289-$H$27/AN289)</f>
        <v>0.198812070380318</v>
      </c>
      <c r="CF289" s="60" t="n">
        <f aca="false">$I$27/AN289*(BY289-1)-CA289-BZ289*(2*AE289/AM289-$I$27/AN289)</f>
        <v>0.198812070380318</v>
      </c>
      <c r="CG289" s="60" t="n">
        <f aca="false">$J$27/AN289*(BY289-1)-CA289-BZ289*(2*AF289/AM289-$J$27/AN289)</f>
        <v>0.198812070380318</v>
      </c>
      <c r="CH289" s="60" t="n">
        <f aca="false">$K$27/AN289*(BY289-1)-CA289-BZ289*(2*AG289/AM289-$K$27/AN289)</f>
        <v>0.198812070380318</v>
      </c>
      <c r="CI289" s="60" t="n">
        <f aca="false">$L$27/AN289*(BY289-1)-CA289-BZ289*(2*AH289/AM289-$L$27/AN289)</f>
        <v>0.198812070380318</v>
      </c>
      <c r="CJ289" s="60" t="n">
        <f aca="false">$M$27/AN289*(BY289-1)-CA289-BZ289*(2*AI289/AM289-$M$27/AN289)</f>
        <v>0.198812070380318</v>
      </c>
      <c r="CK289" s="60" t="n">
        <f aca="false">$N$27/AN289*(BY289-1)-CA289-BZ289*(2*AJ289/AM289-$N$27/AN289)</f>
        <v>0.198812070380318</v>
      </c>
      <c r="CL289" s="60" t="n">
        <f aca="false">$O$27/AN289*(BY289-1)-CA289-BZ289*(2*AK289/AM289-$O$27/AN289)</f>
        <v>0.198812070380318</v>
      </c>
      <c r="CM289" s="60" t="n">
        <f aca="false">$P$27/AN289*(BY289-1)-CA289-BZ289*(2*AL289/AM289-$P$27/AN289)</f>
        <v>0.198812070380318</v>
      </c>
      <c r="CN289" s="60" t="n">
        <f aca="false">AP289/BY289&gt;$C$22</f>
        <v>0</v>
      </c>
      <c r="CO289" s="60" t="n">
        <f aca="false">1-N289+SUMPRODUCT(B289:M289,CB289:CM289)-SUMPRODUCT(B289:M289,CB288:CM288)</f>
        <v>0</v>
      </c>
      <c r="CP289" s="60" t="n">
        <f aca="false">SUMXMY2(O289:Z289,$E$13:$P$13)</f>
        <v>0</v>
      </c>
    </row>
    <row r="290" customFormat="false" ht="15" hidden="false" customHeight="false" outlineLevel="0" collapsed="false">
      <c r="A290" s="59" t="n">
        <v>37</v>
      </c>
      <c r="B290" s="60" t="n">
        <f aca="false">$E$13*EXP(MAX(-700,MIN(700,$E$86-CB289)))</f>
        <v>1</v>
      </c>
      <c r="C290" s="60" t="n">
        <f aca="false">$F$13*EXP(MAX(-700,MIN(700,$F$86-CC289)))</f>
        <v>0</v>
      </c>
      <c r="D290" s="60" t="n">
        <f aca="false">$G$13*EXP(MAX(-700,MIN(700,$G$86-CD289)))</f>
        <v>0</v>
      </c>
      <c r="E290" s="60" t="n">
        <f aca="false">$H$13*EXP(MAX(-700,MIN(700,$H$86-CE289)))</f>
        <v>0</v>
      </c>
      <c r="F290" s="60" t="n">
        <f aca="false">$I$13*EXP(MAX(-700,MIN(700,$I$86-CF289)))</f>
        <v>0</v>
      </c>
      <c r="G290" s="60" t="n">
        <f aca="false">$J$13*EXP(MAX(-700,MIN(700,$J$86-CG289)))</f>
        <v>0</v>
      </c>
      <c r="H290" s="60" t="n">
        <f aca="false">$K$13*EXP(MAX(-700,MIN(700,$K$86-CH289)))</f>
        <v>0</v>
      </c>
      <c r="I290" s="60" t="n">
        <f aca="false">$L$13*EXP(MAX(-700,MIN(700,$L$86-CI289)))</f>
        <v>0</v>
      </c>
      <c r="J290" s="60" t="n">
        <f aca="false">$M$13*EXP(MAX(-700,MIN(700,$M$86-CJ289)))</f>
        <v>0</v>
      </c>
      <c r="K290" s="60" t="n">
        <f aca="false">$N$13*EXP(MAX(-700,MIN(700,$N$86-CK289)))</f>
        <v>0</v>
      </c>
      <c r="L290" s="60" t="n">
        <f aca="false">$O$13*EXP(MAX(-700,MIN(700,$O$86-CL289)))</f>
        <v>0</v>
      </c>
      <c r="M290" s="60" t="n">
        <f aca="false">$P$13*EXP(MAX(-700,MIN(700,$P$86-CM289)))</f>
        <v>0</v>
      </c>
      <c r="N290" s="60" t="n">
        <f aca="false">SUM(B290:M290)</f>
        <v>1</v>
      </c>
      <c r="O290" s="60" t="n">
        <f aca="false">B290/N290</f>
        <v>1</v>
      </c>
      <c r="P290" s="60" t="n">
        <f aca="false">C290/N290</f>
        <v>0</v>
      </c>
      <c r="Q290" s="60" t="n">
        <f aca="false">D290/N290</f>
        <v>0</v>
      </c>
      <c r="R290" s="60" t="n">
        <f aca="false">E290/N290</f>
        <v>0</v>
      </c>
      <c r="S290" s="60" t="n">
        <f aca="false">F290/N290</f>
        <v>0</v>
      </c>
      <c r="T290" s="60" t="n">
        <f aca="false">G290/N290</f>
        <v>0</v>
      </c>
      <c r="U290" s="60" t="n">
        <f aca="false">H290/N290</f>
        <v>0</v>
      </c>
      <c r="V290" s="60" t="n">
        <f aca="false">I290/N290</f>
        <v>0</v>
      </c>
      <c r="W290" s="60" t="n">
        <f aca="false">J290/N290</f>
        <v>0</v>
      </c>
      <c r="X290" s="60" t="n">
        <f aca="false">K290/N290</f>
        <v>0</v>
      </c>
      <c r="Y290" s="60" t="n">
        <f aca="false">L290/N290</f>
        <v>0</v>
      </c>
      <c r="Z290" s="60" t="n">
        <f aca="false">M290/N290</f>
        <v>0</v>
      </c>
      <c r="AA290" s="60" t="n">
        <f aca="false">$E$28*SUMPRODUCT($E$31:$P$31,O290:Z290,$E$28:$P$28)</f>
        <v>0.184416866619846</v>
      </c>
      <c r="AB290" s="60" t="n">
        <f aca="false">$F$28*SUMPRODUCT($E$32:$P$32,O290:Z290,$E$28:$P$28)</f>
        <v>0</v>
      </c>
      <c r="AC290" s="60" t="n">
        <f aca="false">$G$28*SUMPRODUCT($E$33:$P$33,O290:Z290,$E$28:$P$28)</f>
        <v>0</v>
      </c>
      <c r="AD290" s="60" t="n">
        <f aca="false">$H$28*SUMPRODUCT($E$34:$P$34,O290:Z290,$E$28:$P$28)</f>
        <v>0</v>
      </c>
      <c r="AE290" s="60" t="n">
        <f aca="false">$I$28*SUMPRODUCT($E$35:$P$35,O290:Z290,$E$28:$P$28)</f>
        <v>0</v>
      </c>
      <c r="AF290" s="60" t="n">
        <f aca="false">$J$28*SUMPRODUCT($E$36:$P$36,O290:Z290,$E$28:$P$28)</f>
        <v>0</v>
      </c>
      <c r="AG290" s="60" t="n">
        <f aca="false">$K$28*SUMPRODUCT($E$37:$P$37,O290:Z290,$E$28:$P$28)</f>
        <v>0</v>
      </c>
      <c r="AH290" s="60" t="n">
        <f aca="false">$L$28*SUMPRODUCT($E$38:$P$38,O290:Z290,$E$28:$P$28)</f>
        <v>0</v>
      </c>
      <c r="AI290" s="60" t="n">
        <f aca="false">$M$28*SUMPRODUCT($E$39:$P$39,O290:Z290,$E$28:$P$28)</f>
        <v>0</v>
      </c>
      <c r="AJ290" s="60" t="n">
        <f aca="false">$N$28*SUMPRODUCT($E$40:$P$40,O290:Z290,$E$28:$P$28)</f>
        <v>0</v>
      </c>
      <c r="AK290" s="60" t="n">
        <f aca="false">$O$28*SUMPRODUCT($E$41:$P$41,O290:Z290,$E$28:$P$28)</f>
        <v>0</v>
      </c>
      <c r="AL290" s="60" t="n">
        <f aca="false">$P$28*SUMPRODUCT($E$42:$P$42,O290:Z290,$E$28:$P$28)</f>
        <v>0</v>
      </c>
      <c r="AM290" s="60" t="n">
        <f aca="false">SUMPRODUCT(O290:Z290,AA290:AL290)</f>
        <v>0.184416866619846</v>
      </c>
      <c r="AN290" s="60" t="n">
        <f aca="false">SUMPRODUCT(O290:Z290,$E$27:$P$27)</f>
        <v>2.67389635063809E-005</v>
      </c>
      <c r="AO290" s="60" t="n">
        <f aca="false">AM290*$C$9/($C$10*$C$8)^2</f>
        <v>0.21776909410545</v>
      </c>
      <c r="AP290" s="60" t="n">
        <f aca="false">AN290*$C$9/($C$10*$C$8)</f>
        <v>0.0918845243259994</v>
      </c>
      <c r="AQ290" s="60" t="n">
        <f aca="false">CHOOSE($C$7,-(1+AP290),-1,-(1-AP290))</f>
        <v>-0.908115475674001</v>
      </c>
      <c r="AR290" s="60" t="n">
        <f aca="false">CHOOSE($C$7,AO290,AO290-AP290-AP290^2,AO290-3*AP290^2-2*AP290)</f>
        <v>0.00867174802160559</v>
      </c>
      <c r="AS290" s="60" t="n">
        <f aca="false">CHOOSE($C$7,-AO290*AP290,-AO290*AP290,-(AO290*AP290-AP290^2-AP290^3))</f>
        <v>-0.0107910842936637</v>
      </c>
      <c r="AT290" s="60" t="n">
        <f aca="false">AR290-AQ290^2/3</f>
        <v>-0.266219491031267</v>
      </c>
      <c r="AU290" s="60" t="n">
        <f aca="false">2*AQ290^3/27-AQ290*AR290/3+AS290</f>
        <v>-0.0636400988362784</v>
      </c>
      <c r="AV290" s="60" t="n">
        <f aca="false">AU290^2/4+AT290^3/27</f>
        <v>0.000313710901361829</v>
      </c>
      <c r="AW290" s="60" t="n">
        <f aca="false">-AU290/2-IF(AU290&gt;=0,1,-1)*SQRT(MAX(AV290,0))</f>
        <v>0.0495319352963236</v>
      </c>
      <c r="AX290" s="60" t="n">
        <f aca="false">SIGN(AW290)*ABS(AW290)^(1/3)</f>
        <v>0.367249967174439</v>
      </c>
      <c r="AY290" s="60" t="n">
        <f aca="false">IF(AX290=0,0,AX290-AT290/(3*AX290))</f>
        <v>0.60888329127384</v>
      </c>
      <c r="AZ290" s="60" t="n">
        <f aca="false">2*SQRT(MAX(-AT290,0)/3)</f>
        <v>0.595784626668918</v>
      </c>
      <c r="BA290" s="60" t="n">
        <f aca="false">ACOS(IF(AZ290=0,0,MAX(-1,MIN(1,3*AU290/(AT290*AZ290)))))</f>
        <v>0</v>
      </c>
      <c r="BB290" s="60" t="n">
        <f aca="false">AZ290*COS(BA290/3)</f>
        <v>0.595784626668918</v>
      </c>
      <c r="BC290" s="60" t="n">
        <f aca="false">IF(AV290&lt;0,BB290,AY290)-AQ290/3</f>
        <v>0.91158844983184</v>
      </c>
      <c r="BD290" s="60" t="n">
        <f aca="false">IFERROR((((BC290+AQ290)*BC290+AR290)*BC290+AS290)/((3*BC290+2*AQ290)*BC290+AR290),0)</f>
        <v>0</v>
      </c>
      <c r="BE290" s="60" t="n">
        <f aca="false">IF(ABS(BD290)&lt;0.1*ABS(BC290),BC290-BD290,BC290)</f>
        <v>0.91158844983184</v>
      </c>
      <c r="BF290" s="60" t="n">
        <f aca="false">IFERROR((((BE290+AQ290)*BE290+AR290)*BE290+AS290)/((3*BE290+2*AQ290)*BE290+AR290),0)</f>
        <v>0</v>
      </c>
      <c r="BG290" s="60" t="n">
        <f aca="false">IF(ABS(BF290)&lt;0.1*ABS(BE290),BE290-BF290,BE290)</f>
        <v>0.91158844983184</v>
      </c>
      <c r="BH290" s="60" t="n">
        <f aca="false">-AS290/BG290</f>
        <v>0.0118376711504565</v>
      </c>
      <c r="BI290" s="60" t="n">
        <f aca="false">(AR290-BH290)/BG290</f>
        <v>-0.00347297415783941</v>
      </c>
      <c r="BJ290" s="60" t="n">
        <f aca="false">BI290^2-4*BH290</f>
        <v>-0.0473386230523248</v>
      </c>
      <c r="BK290" s="60" t="n">
        <f aca="false">IF(BJ290&gt;=0,(BI290+IF(BI290&gt;=0,1,-1)*SQRT(BJ290))/2,0)</f>
        <v>0</v>
      </c>
      <c r="BL290" s="60" t="n">
        <f aca="false">IF(AND(BJ290&gt;=0,BK290&lt;&gt;0),MIN(BK290,BH290/BK290),-1)</f>
        <v>-1</v>
      </c>
      <c r="BM290" s="60" t="n">
        <f aca="false">AND(BJ290&gt;=0,BL290&gt;AP290,ABS(BG290-BL290)&gt;=0.00005*MAX(BG290,BL290))</f>
        <v>0</v>
      </c>
      <c r="BN290" s="60" t="n">
        <f aca="false">IF(BM290,IFERROR((((BL290+AQ290)*BL290+AR290)*BL290+AS290)/((3*BL290+2*AQ290)*BL290+AR290),0),0)</f>
        <v>0</v>
      </c>
      <c r="BO290" s="60" t="n">
        <f aca="false">IF(ABS(BN290)&lt;0.1*ABS(BL290),BL290-BN290,BL290)</f>
        <v>-1</v>
      </c>
      <c r="BP290" s="60" t="n">
        <f aca="false">IF(BM290,IFERROR((((BO290+AQ290)*BO290+AR290)*BO290+AS290)/((3*BO290+2*AQ290)*BO290+AR290),0),0)</f>
        <v>0</v>
      </c>
      <c r="BQ290" s="60" t="n">
        <f aca="false">IF(ABS(BP290)&lt;0.1*ABS(BO290),BO290-BP290,BO290)</f>
        <v>-1</v>
      </c>
      <c r="BR290" s="60" t="n">
        <f aca="false">IF(BM290,MAX(BG290,BQ290),BG290)</f>
        <v>0.91158844983184</v>
      </c>
      <c r="BS290" s="60" t="n">
        <f aca="false">IF(BM290,MIN(BG290,BQ290),-1)</f>
        <v>-1</v>
      </c>
      <c r="BT290" s="60" t="n">
        <f aca="false">CHOOSE($C$7,AO290/BR290,AO290/AP290*LN(1+AP290/BR290),AO290/(2*SQRT(2)*AP290)*LN((BR290+(1+SQRT(2))*AP290)/(BR290+(1-SQRT(2))*AP290)))</f>
        <v>0.218240791233887</v>
      </c>
      <c r="BU290" s="60" t="n">
        <f aca="false">BR290-1-LN(BR290-AP290)-BT290</f>
        <v>-0.107840271021729</v>
      </c>
      <c r="BV290" s="60" t="n">
        <f aca="false">IF(BM290,CHOOSE($C$7,AO290/BS290,AO290/AP290*LN(1+AP290/BS290),AO290/(2*SQRT(2)*AP290)*LN((BS290+(1+SQRT(2))*AP290)/(BS290+(1-SQRT(2))*AP290))),0)</f>
        <v>0</v>
      </c>
      <c r="BW290" s="60" t="n">
        <f aca="false">IF(BM290,BS290-1-LN(BS290-AP290)-BV290,0)</f>
        <v>0</v>
      </c>
      <c r="BX290" s="60" t="n">
        <f aca="false">AND(BM290,BW290&lt;BU290)</f>
        <v>0</v>
      </c>
      <c r="BY290" s="60" t="n">
        <f aca="false">IF(BX290,BS290,BR290)</f>
        <v>0.91158844983184</v>
      </c>
      <c r="BZ290" s="60" t="n">
        <f aca="false">IF(BX290,BV290,BT290)</f>
        <v>0.218240791233887</v>
      </c>
      <c r="CA290" s="60" t="n">
        <f aca="false">LN(BY290-AP290)</f>
        <v>-0.198812070380318</v>
      </c>
      <c r="CB290" s="60" t="n">
        <f aca="false">$E$27/AN290*(BY290-1)-CA290-BZ290*(2*AA290/AM290-$E$27/AN290)</f>
        <v>-0.107840271021729</v>
      </c>
      <c r="CC290" s="60" t="n">
        <f aca="false">$F$27/AN290*(BY290-1)-CA290-BZ290*(2*AB290/AM290-$F$27/AN290)</f>
        <v>0.198812070380318</v>
      </c>
      <c r="CD290" s="60" t="n">
        <f aca="false">$G$27/AN290*(BY290-1)-CA290-BZ290*(2*AC290/AM290-$G$27/AN290)</f>
        <v>0.198812070380318</v>
      </c>
      <c r="CE290" s="60" t="n">
        <f aca="false">$H$27/AN290*(BY290-1)-CA290-BZ290*(2*AD290/AM290-$H$27/AN290)</f>
        <v>0.198812070380318</v>
      </c>
      <c r="CF290" s="60" t="n">
        <f aca="false">$I$27/AN290*(BY290-1)-CA290-BZ290*(2*AE290/AM290-$I$27/AN290)</f>
        <v>0.198812070380318</v>
      </c>
      <c r="CG290" s="60" t="n">
        <f aca="false">$J$27/AN290*(BY290-1)-CA290-BZ290*(2*AF290/AM290-$J$27/AN290)</f>
        <v>0.198812070380318</v>
      </c>
      <c r="CH290" s="60" t="n">
        <f aca="false">$K$27/AN290*(BY290-1)-CA290-BZ290*(2*AG290/AM290-$K$27/AN290)</f>
        <v>0.198812070380318</v>
      </c>
      <c r="CI290" s="60" t="n">
        <f aca="false">$L$27/AN290*(BY290-1)-CA290-BZ290*(2*AH290/AM290-$L$27/AN290)</f>
        <v>0.198812070380318</v>
      </c>
      <c r="CJ290" s="60" t="n">
        <f aca="false">$M$27/AN290*(BY290-1)-CA290-BZ290*(2*AI290/AM290-$M$27/AN290)</f>
        <v>0.198812070380318</v>
      </c>
      <c r="CK290" s="60" t="n">
        <f aca="false">$N$27/AN290*(BY290-1)-CA290-BZ290*(2*AJ290/AM290-$N$27/AN290)</f>
        <v>0.198812070380318</v>
      </c>
      <c r="CL290" s="60" t="n">
        <f aca="false">$O$27/AN290*(BY290-1)-CA290-BZ290*(2*AK290/AM290-$O$27/AN290)</f>
        <v>0.198812070380318</v>
      </c>
      <c r="CM290" s="60" t="n">
        <f aca="false">$P$27/AN290*(BY290-1)-CA290-BZ290*(2*AL290/AM290-$P$27/AN290)</f>
        <v>0.198812070380318</v>
      </c>
      <c r="CN290" s="60" t="n">
        <f aca="false">AP290/BY290&gt;$C$22</f>
        <v>0</v>
      </c>
      <c r="CO290" s="60" t="n">
        <f aca="false">1-N290+SUMPRODUCT(B290:M290,CB290:CM290)-SUMPRODUCT(B290:M290,CB289:CM289)</f>
        <v>0</v>
      </c>
      <c r="CP290" s="60" t="n">
        <f aca="false">SUMXMY2(O290:Z290,$E$13:$P$13)</f>
        <v>0</v>
      </c>
    </row>
    <row r="291" customFormat="false" ht="15" hidden="false" customHeight="false" outlineLevel="0" collapsed="false">
      <c r="A291" s="59" t="n">
        <v>38</v>
      </c>
      <c r="B291" s="60" t="n">
        <f aca="false">$E$13*EXP(MAX(-700,MIN(700,$E$86-CB290)))</f>
        <v>1</v>
      </c>
      <c r="C291" s="60" t="n">
        <f aca="false">$F$13*EXP(MAX(-700,MIN(700,$F$86-CC290)))</f>
        <v>0</v>
      </c>
      <c r="D291" s="60" t="n">
        <f aca="false">$G$13*EXP(MAX(-700,MIN(700,$G$86-CD290)))</f>
        <v>0</v>
      </c>
      <c r="E291" s="60" t="n">
        <f aca="false">$H$13*EXP(MAX(-700,MIN(700,$H$86-CE290)))</f>
        <v>0</v>
      </c>
      <c r="F291" s="60" t="n">
        <f aca="false">$I$13*EXP(MAX(-700,MIN(700,$I$86-CF290)))</f>
        <v>0</v>
      </c>
      <c r="G291" s="60" t="n">
        <f aca="false">$J$13*EXP(MAX(-700,MIN(700,$J$86-CG290)))</f>
        <v>0</v>
      </c>
      <c r="H291" s="60" t="n">
        <f aca="false">$K$13*EXP(MAX(-700,MIN(700,$K$86-CH290)))</f>
        <v>0</v>
      </c>
      <c r="I291" s="60" t="n">
        <f aca="false">$L$13*EXP(MAX(-700,MIN(700,$L$86-CI290)))</f>
        <v>0</v>
      </c>
      <c r="J291" s="60" t="n">
        <f aca="false">$M$13*EXP(MAX(-700,MIN(700,$M$86-CJ290)))</f>
        <v>0</v>
      </c>
      <c r="K291" s="60" t="n">
        <f aca="false">$N$13*EXP(MAX(-700,MIN(700,$N$86-CK290)))</f>
        <v>0</v>
      </c>
      <c r="L291" s="60" t="n">
        <f aca="false">$O$13*EXP(MAX(-700,MIN(700,$O$86-CL290)))</f>
        <v>0</v>
      </c>
      <c r="M291" s="60" t="n">
        <f aca="false">$P$13*EXP(MAX(-700,MIN(700,$P$86-CM290)))</f>
        <v>0</v>
      </c>
      <c r="N291" s="60" t="n">
        <f aca="false">SUM(B291:M291)</f>
        <v>1</v>
      </c>
      <c r="O291" s="60" t="n">
        <f aca="false">B291/N291</f>
        <v>1</v>
      </c>
      <c r="P291" s="60" t="n">
        <f aca="false">C291/N291</f>
        <v>0</v>
      </c>
      <c r="Q291" s="60" t="n">
        <f aca="false">D291/N291</f>
        <v>0</v>
      </c>
      <c r="R291" s="60" t="n">
        <f aca="false">E291/N291</f>
        <v>0</v>
      </c>
      <c r="S291" s="60" t="n">
        <f aca="false">F291/N291</f>
        <v>0</v>
      </c>
      <c r="T291" s="60" t="n">
        <f aca="false">G291/N291</f>
        <v>0</v>
      </c>
      <c r="U291" s="60" t="n">
        <f aca="false">H291/N291</f>
        <v>0</v>
      </c>
      <c r="V291" s="60" t="n">
        <f aca="false">I291/N291</f>
        <v>0</v>
      </c>
      <c r="W291" s="60" t="n">
        <f aca="false">J291/N291</f>
        <v>0</v>
      </c>
      <c r="X291" s="60" t="n">
        <f aca="false">K291/N291</f>
        <v>0</v>
      </c>
      <c r="Y291" s="60" t="n">
        <f aca="false">L291/N291</f>
        <v>0</v>
      </c>
      <c r="Z291" s="60" t="n">
        <f aca="false">M291/N291</f>
        <v>0</v>
      </c>
      <c r="AA291" s="60" t="n">
        <f aca="false">$E$28*SUMPRODUCT($E$31:$P$31,O291:Z291,$E$28:$P$28)</f>
        <v>0.184416866619846</v>
      </c>
      <c r="AB291" s="60" t="n">
        <f aca="false">$F$28*SUMPRODUCT($E$32:$P$32,O291:Z291,$E$28:$P$28)</f>
        <v>0</v>
      </c>
      <c r="AC291" s="60" t="n">
        <f aca="false">$G$28*SUMPRODUCT($E$33:$P$33,O291:Z291,$E$28:$P$28)</f>
        <v>0</v>
      </c>
      <c r="AD291" s="60" t="n">
        <f aca="false">$H$28*SUMPRODUCT($E$34:$P$34,O291:Z291,$E$28:$P$28)</f>
        <v>0</v>
      </c>
      <c r="AE291" s="60" t="n">
        <f aca="false">$I$28*SUMPRODUCT($E$35:$P$35,O291:Z291,$E$28:$P$28)</f>
        <v>0</v>
      </c>
      <c r="AF291" s="60" t="n">
        <f aca="false">$J$28*SUMPRODUCT($E$36:$P$36,O291:Z291,$E$28:$P$28)</f>
        <v>0</v>
      </c>
      <c r="AG291" s="60" t="n">
        <f aca="false">$K$28*SUMPRODUCT($E$37:$P$37,O291:Z291,$E$28:$P$28)</f>
        <v>0</v>
      </c>
      <c r="AH291" s="60" t="n">
        <f aca="false">$L$28*SUMPRODUCT($E$38:$P$38,O291:Z291,$E$28:$P$28)</f>
        <v>0</v>
      </c>
      <c r="AI291" s="60" t="n">
        <f aca="false">$M$28*SUMPRODUCT($E$39:$P$39,O291:Z291,$E$28:$P$28)</f>
        <v>0</v>
      </c>
      <c r="AJ291" s="60" t="n">
        <f aca="false">$N$28*SUMPRODUCT($E$40:$P$40,O291:Z291,$E$28:$P$28)</f>
        <v>0</v>
      </c>
      <c r="AK291" s="60" t="n">
        <f aca="false">$O$28*SUMPRODUCT($E$41:$P$41,O291:Z291,$E$28:$P$28)</f>
        <v>0</v>
      </c>
      <c r="AL291" s="60" t="n">
        <f aca="false">$P$28*SUMPRODUCT($E$42:$P$42,O291:Z291,$E$28:$P$28)</f>
        <v>0</v>
      </c>
      <c r="AM291" s="60" t="n">
        <f aca="false">SUMPRODUCT(O291:Z291,AA291:AL291)</f>
        <v>0.184416866619846</v>
      </c>
      <c r="AN291" s="60" t="n">
        <f aca="false">SUMPRODUCT(O291:Z291,$E$27:$P$27)</f>
        <v>2.67389635063809E-005</v>
      </c>
      <c r="AO291" s="60" t="n">
        <f aca="false">AM291*$C$9/($C$10*$C$8)^2</f>
        <v>0.21776909410545</v>
      </c>
      <c r="AP291" s="60" t="n">
        <f aca="false">AN291*$C$9/($C$10*$C$8)</f>
        <v>0.0918845243259994</v>
      </c>
      <c r="AQ291" s="60" t="n">
        <f aca="false">CHOOSE($C$7,-(1+AP291),-1,-(1-AP291))</f>
        <v>-0.908115475674001</v>
      </c>
      <c r="AR291" s="60" t="n">
        <f aca="false">CHOOSE($C$7,AO291,AO291-AP291-AP291^2,AO291-3*AP291^2-2*AP291)</f>
        <v>0.00867174802160559</v>
      </c>
      <c r="AS291" s="60" t="n">
        <f aca="false">CHOOSE($C$7,-AO291*AP291,-AO291*AP291,-(AO291*AP291-AP291^2-AP291^3))</f>
        <v>-0.0107910842936637</v>
      </c>
      <c r="AT291" s="60" t="n">
        <f aca="false">AR291-AQ291^2/3</f>
        <v>-0.266219491031267</v>
      </c>
      <c r="AU291" s="60" t="n">
        <f aca="false">2*AQ291^3/27-AQ291*AR291/3+AS291</f>
        <v>-0.0636400988362784</v>
      </c>
      <c r="AV291" s="60" t="n">
        <f aca="false">AU291^2/4+AT291^3/27</f>
        <v>0.000313710901361829</v>
      </c>
      <c r="AW291" s="60" t="n">
        <f aca="false">-AU291/2-IF(AU291&gt;=0,1,-1)*SQRT(MAX(AV291,0))</f>
        <v>0.0495319352963236</v>
      </c>
      <c r="AX291" s="60" t="n">
        <f aca="false">SIGN(AW291)*ABS(AW291)^(1/3)</f>
        <v>0.367249967174439</v>
      </c>
      <c r="AY291" s="60" t="n">
        <f aca="false">IF(AX291=0,0,AX291-AT291/(3*AX291))</f>
        <v>0.60888329127384</v>
      </c>
      <c r="AZ291" s="60" t="n">
        <f aca="false">2*SQRT(MAX(-AT291,0)/3)</f>
        <v>0.595784626668918</v>
      </c>
      <c r="BA291" s="60" t="n">
        <f aca="false">ACOS(IF(AZ291=0,0,MAX(-1,MIN(1,3*AU291/(AT291*AZ291)))))</f>
        <v>0</v>
      </c>
      <c r="BB291" s="60" t="n">
        <f aca="false">AZ291*COS(BA291/3)</f>
        <v>0.595784626668918</v>
      </c>
      <c r="BC291" s="60" t="n">
        <f aca="false">IF(AV291&lt;0,BB291,AY291)-AQ291/3</f>
        <v>0.91158844983184</v>
      </c>
      <c r="BD291" s="60" t="n">
        <f aca="false">IFERROR((((BC291+AQ291)*BC291+AR291)*BC291+AS291)/((3*BC291+2*AQ291)*BC291+AR291),0)</f>
        <v>0</v>
      </c>
      <c r="BE291" s="60" t="n">
        <f aca="false">IF(ABS(BD291)&lt;0.1*ABS(BC291),BC291-BD291,BC291)</f>
        <v>0.91158844983184</v>
      </c>
      <c r="BF291" s="60" t="n">
        <f aca="false">IFERROR((((BE291+AQ291)*BE291+AR291)*BE291+AS291)/((3*BE291+2*AQ291)*BE291+AR291),0)</f>
        <v>0</v>
      </c>
      <c r="BG291" s="60" t="n">
        <f aca="false">IF(ABS(BF291)&lt;0.1*ABS(BE291),BE291-BF291,BE291)</f>
        <v>0.91158844983184</v>
      </c>
      <c r="BH291" s="60" t="n">
        <f aca="false">-AS291/BG291</f>
        <v>0.0118376711504565</v>
      </c>
      <c r="BI291" s="60" t="n">
        <f aca="false">(AR291-BH291)/BG291</f>
        <v>-0.00347297415783941</v>
      </c>
      <c r="BJ291" s="60" t="n">
        <f aca="false">BI291^2-4*BH291</f>
        <v>-0.0473386230523248</v>
      </c>
      <c r="BK291" s="60" t="n">
        <f aca="false">IF(BJ291&gt;=0,(BI291+IF(BI291&gt;=0,1,-1)*SQRT(BJ291))/2,0)</f>
        <v>0</v>
      </c>
      <c r="BL291" s="60" t="n">
        <f aca="false">IF(AND(BJ291&gt;=0,BK291&lt;&gt;0),MIN(BK291,BH291/BK291),-1)</f>
        <v>-1</v>
      </c>
      <c r="BM291" s="60" t="n">
        <f aca="false">AND(BJ291&gt;=0,BL291&gt;AP291,ABS(BG291-BL291)&gt;=0.00005*MAX(BG291,BL291))</f>
        <v>0</v>
      </c>
      <c r="BN291" s="60" t="n">
        <f aca="false">IF(BM291,IFERROR((((BL291+AQ291)*BL291+AR291)*BL291+AS291)/((3*BL291+2*AQ291)*BL291+AR291),0),0)</f>
        <v>0</v>
      </c>
      <c r="BO291" s="60" t="n">
        <f aca="false">IF(ABS(BN291)&lt;0.1*ABS(BL291),BL291-BN291,BL291)</f>
        <v>-1</v>
      </c>
      <c r="BP291" s="60" t="n">
        <f aca="false">IF(BM291,IFERROR((((BO291+AQ291)*BO291+AR291)*BO291+AS291)/((3*BO291+2*AQ291)*BO291+AR291),0),0)</f>
        <v>0</v>
      </c>
      <c r="BQ291" s="60" t="n">
        <f aca="false">IF(ABS(BP291)&lt;0.1*ABS(BO291),BO291-BP291,BO291)</f>
        <v>-1</v>
      </c>
      <c r="BR291" s="60" t="n">
        <f aca="false">IF(BM291,MAX(BG291,BQ291),BG291)</f>
        <v>0.91158844983184</v>
      </c>
      <c r="BS291" s="60" t="n">
        <f aca="false">IF(BM291,MIN(BG291,BQ291),-1)</f>
        <v>-1</v>
      </c>
      <c r="BT291" s="60" t="n">
        <f aca="false">CHOOSE($C$7,AO291/BR291,AO291/AP291*LN(1+AP291/BR291),AO291/(2*SQRT(2)*AP291)*LN((BR291+(1+SQRT(2))*AP291)/(BR291+(1-SQRT(2))*AP291)))</f>
        <v>0.218240791233887</v>
      </c>
      <c r="BU291" s="60" t="n">
        <f aca="false">BR291-1-LN(BR291-AP291)-BT291</f>
        <v>-0.107840271021729</v>
      </c>
      <c r="BV291" s="60" t="n">
        <f aca="false">IF(BM291,CHOOSE($C$7,AO291/BS291,AO291/AP291*LN(1+AP291/BS291),AO291/(2*SQRT(2)*AP291)*LN((BS291+(1+SQRT(2))*AP291)/(BS291+(1-SQRT(2))*AP291))),0)</f>
        <v>0</v>
      </c>
      <c r="BW291" s="60" t="n">
        <f aca="false">IF(BM291,BS291-1-LN(BS291-AP291)-BV291,0)</f>
        <v>0</v>
      </c>
      <c r="BX291" s="60" t="n">
        <f aca="false">AND(BM291,BW291&lt;BU291)</f>
        <v>0</v>
      </c>
      <c r="BY291" s="60" t="n">
        <f aca="false">IF(BX291,BS291,BR291)</f>
        <v>0.91158844983184</v>
      </c>
      <c r="BZ291" s="60" t="n">
        <f aca="false">IF(BX291,BV291,BT291)</f>
        <v>0.218240791233887</v>
      </c>
      <c r="CA291" s="60" t="n">
        <f aca="false">LN(BY291-AP291)</f>
        <v>-0.198812070380318</v>
      </c>
      <c r="CB291" s="60" t="n">
        <f aca="false">$E$27/AN291*(BY291-1)-CA291-BZ291*(2*AA291/AM291-$E$27/AN291)</f>
        <v>-0.107840271021729</v>
      </c>
      <c r="CC291" s="60" t="n">
        <f aca="false">$F$27/AN291*(BY291-1)-CA291-BZ291*(2*AB291/AM291-$F$27/AN291)</f>
        <v>0.198812070380318</v>
      </c>
      <c r="CD291" s="60" t="n">
        <f aca="false">$G$27/AN291*(BY291-1)-CA291-BZ291*(2*AC291/AM291-$G$27/AN291)</f>
        <v>0.198812070380318</v>
      </c>
      <c r="CE291" s="60" t="n">
        <f aca="false">$H$27/AN291*(BY291-1)-CA291-BZ291*(2*AD291/AM291-$H$27/AN291)</f>
        <v>0.198812070380318</v>
      </c>
      <c r="CF291" s="60" t="n">
        <f aca="false">$I$27/AN291*(BY291-1)-CA291-BZ291*(2*AE291/AM291-$I$27/AN291)</f>
        <v>0.198812070380318</v>
      </c>
      <c r="CG291" s="60" t="n">
        <f aca="false">$J$27/AN291*(BY291-1)-CA291-BZ291*(2*AF291/AM291-$J$27/AN291)</f>
        <v>0.198812070380318</v>
      </c>
      <c r="CH291" s="60" t="n">
        <f aca="false">$K$27/AN291*(BY291-1)-CA291-BZ291*(2*AG291/AM291-$K$27/AN291)</f>
        <v>0.198812070380318</v>
      </c>
      <c r="CI291" s="60" t="n">
        <f aca="false">$L$27/AN291*(BY291-1)-CA291-BZ291*(2*AH291/AM291-$L$27/AN291)</f>
        <v>0.198812070380318</v>
      </c>
      <c r="CJ291" s="60" t="n">
        <f aca="false">$M$27/AN291*(BY291-1)-CA291-BZ291*(2*AI291/AM291-$M$27/AN291)</f>
        <v>0.198812070380318</v>
      </c>
      <c r="CK291" s="60" t="n">
        <f aca="false">$N$27/AN291*(BY291-1)-CA291-BZ291*(2*AJ291/AM291-$N$27/AN291)</f>
        <v>0.198812070380318</v>
      </c>
      <c r="CL291" s="60" t="n">
        <f aca="false">$O$27/AN291*(BY291-1)-CA291-BZ291*(2*AK291/AM291-$O$27/AN291)</f>
        <v>0.198812070380318</v>
      </c>
      <c r="CM291" s="60" t="n">
        <f aca="false">$P$27/AN291*(BY291-1)-CA291-BZ291*(2*AL291/AM291-$P$27/AN291)</f>
        <v>0.198812070380318</v>
      </c>
      <c r="CN291" s="60" t="n">
        <f aca="false">AP291/BY291&gt;$C$22</f>
        <v>0</v>
      </c>
      <c r="CO291" s="60" t="n">
        <f aca="false">1-N291+SUMPRODUCT(B291:M291,CB291:CM291)-SUMPRODUCT(B291:M291,CB290:CM290)</f>
        <v>0</v>
      </c>
      <c r="CP291" s="60" t="n">
        <f aca="false">SUMXMY2(O291:Z291,$E$13:$P$13)</f>
        <v>0</v>
      </c>
    </row>
    <row r="292" customFormat="false" ht="15" hidden="false" customHeight="false" outlineLevel="0" collapsed="false">
      <c r="A292" s="59" t="n">
        <v>39</v>
      </c>
      <c r="B292" s="60" t="n">
        <f aca="false">$E$13*EXP(MAX(-700,MIN(700,$E$86-CB291)))</f>
        <v>1</v>
      </c>
      <c r="C292" s="60" t="n">
        <f aca="false">$F$13*EXP(MAX(-700,MIN(700,$F$86-CC291)))</f>
        <v>0</v>
      </c>
      <c r="D292" s="60" t="n">
        <f aca="false">$G$13*EXP(MAX(-700,MIN(700,$G$86-CD291)))</f>
        <v>0</v>
      </c>
      <c r="E292" s="60" t="n">
        <f aca="false">$H$13*EXP(MAX(-700,MIN(700,$H$86-CE291)))</f>
        <v>0</v>
      </c>
      <c r="F292" s="60" t="n">
        <f aca="false">$I$13*EXP(MAX(-700,MIN(700,$I$86-CF291)))</f>
        <v>0</v>
      </c>
      <c r="G292" s="60" t="n">
        <f aca="false">$J$13*EXP(MAX(-700,MIN(700,$J$86-CG291)))</f>
        <v>0</v>
      </c>
      <c r="H292" s="60" t="n">
        <f aca="false">$K$13*EXP(MAX(-700,MIN(700,$K$86-CH291)))</f>
        <v>0</v>
      </c>
      <c r="I292" s="60" t="n">
        <f aca="false">$L$13*EXP(MAX(-700,MIN(700,$L$86-CI291)))</f>
        <v>0</v>
      </c>
      <c r="J292" s="60" t="n">
        <f aca="false">$M$13*EXP(MAX(-700,MIN(700,$M$86-CJ291)))</f>
        <v>0</v>
      </c>
      <c r="K292" s="60" t="n">
        <f aca="false">$N$13*EXP(MAX(-700,MIN(700,$N$86-CK291)))</f>
        <v>0</v>
      </c>
      <c r="L292" s="60" t="n">
        <f aca="false">$O$13*EXP(MAX(-700,MIN(700,$O$86-CL291)))</f>
        <v>0</v>
      </c>
      <c r="M292" s="60" t="n">
        <f aca="false">$P$13*EXP(MAX(-700,MIN(700,$P$86-CM291)))</f>
        <v>0</v>
      </c>
      <c r="N292" s="60" t="n">
        <f aca="false">SUM(B292:M292)</f>
        <v>1</v>
      </c>
      <c r="O292" s="60" t="n">
        <f aca="false">B292/N292</f>
        <v>1</v>
      </c>
      <c r="P292" s="60" t="n">
        <f aca="false">C292/N292</f>
        <v>0</v>
      </c>
      <c r="Q292" s="60" t="n">
        <f aca="false">D292/N292</f>
        <v>0</v>
      </c>
      <c r="R292" s="60" t="n">
        <f aca="false">E292/N292</f>
        <v>0</v>
      </c>
      <c r="S292" s="60" t="n">
        <f aca="false">F292/N292</f>
        <v>0</v>
      </c>
      <c r="T292" s="60" t="n">
        <f aca="false">G292/N292</f>
        <v>0</v>
      </c>
      <c r="U292" s="60" t="n">
        <f aca="false">H292/N292</f>
        <v>0</v>
      </c>
      <c r="V292" s="60" t="n">
        <f aca="false">I292/N292</f>
        <v>0</v>
      </c>
      <c r="W292" s="60" t="n">
        <f aca="false">J292/N292</f>
        <v>0</v>
      </c>
      <c r="X292" s="60" t="n">
        <f aca="false">K292/N292</f>
        <v>0</v>
      </c>
      <c r="Y292" s="60" t="n">
        <f aca="false">L292/N292</f>
        <v>0</v>
      </c>
      <c r="Z292" s="60" t="n">
        <f aca="false">M292/N292</f>
        <v>0</v>
      </c>
      <c r="AA292" s="60" t="n">
        <f aca="false">$E$28*SUMPRODUCT($E$31:$P$31,O292:Z292,$E$28:$P$28)</f>
        <v>0.184416866619846</v>
      </c>
      <c r="AB292" s="60" t="n">
        <f aca="false">$F$28*SUMPRODUCT($E$32:$P$32,O292:Z292,$E$28:$P$28)</f>
        <v>0</v>
      </c>
      <c r="AC292" s="60" t="n">
        <f aca="false">$G$28*SUMPRODUCT($E$33:$P$33,O292:Z292,$E$28:$P$28)</f>
        <v>0</v>
      </c>
      <c r="AD292" s="60" t="n">
        <f aca="false">$H$28*SUMPRODUCT($E$34:$P$34,O292:Z292,$E$28:$P$28)</f>
        <v>0</v>
      </c>
      <c r="AE292" s="60" t="n">
        <f aca="false">$I$28*SUMPRODUCT($E$35:$P$35,O292:Z292,$E$28:$P$28)</f>
        <v>0</v>
      </c>
      <c r="AF292" s="60" t="n">
        <f aca="false">$J$28*SUMPRODUCT($E$36:$P$36,O292:Z292,$E$28:$P$28)</f>
        <v>0</v>
      </c>
      <c r="AG292" s="60" t="n">
        <f aca="false">$K$28*SUMPRODUCT($E$37:$P$37,O292:Z292,$E$28:$P$28)</f>
        <v>0</v>
      </c>
      <c r="AH292" s="60" t="n">
        <f aca="false">$L$28*SUMPRODUCT($E$38:$P$38,O292:Z292,$E$28:$P$28)</f>
        <v>0</v>
      </c>
      <c r="AI292" s="60" t="n">
        <f aca="false">$M$28*SUMPRODUCT($E$39:$P$39,O292:Z292,$E$28:$P$28)</f>
        <v>0</v>
      </c>
      <c r="AJ292" s="60" t="n">
        <f aca="false">$N$28*SUMPRODUCT($E$40:$P$40,O292:Z292,$E$28:$P$28)</f>
        <v>0</v>
      </c>
      <c r="AK292" s="60" t="n">
        <f aca="false">$O$28*SUMPRODUCT($E$41:$P$41,O292:Z292,$E$28:$P$28)</f>
        <v>0</v>
      </c>
      <c r="AL292" s="60" t="n">
        <f aca="false">$P$28*SUMPRODUCT($E$42:$P$42,O292:Z292,$E$28:$P$28)</f>
        <v>0</v>
      </c>
      <c r="AM292" s="60" t="n">
        <f aca="false">SUMPRODUCT(O292:Z292,AA292:AL292)</f>
        <v>0.184416866619846</v>
      </c>
      <c r="AN292" s="60" t="n">
        <f aca="false">SUMPRODUCT(O292:Z292,$E$27:$P$27)</f>
        <v>2.67389635063809E-005</v>
      </c>
      <c r="AO292" s="60" t="n">
        <f aca="false">AM292*$C$9/($C$10*$C$8)^2</f>
        <v>0.21776909410545</v>
      </c>
      <c r="AP292" s="60" t="n">
        <f aca="false">AN292*$C$9/($C$10*$C$8)</f>
        <v>0.0918845243259994</v>
      </c>
      <c r="AQ292" s="60" t="n">
        <f aca="false">CHOOSE($C$7,-(1+AP292),-1,-(1-AP292))</f>
        <v>-0.908115475674001</v>
      </c>
      <c r="AR292" s="60" t="n">
        <f aca="false">CHOOSE($C$7,AO292,AO292-AP292-AP292^2,AO292-3*AP292^2-2*AP292)</f>
        <v>0.00867174802160559</v>
      </c>
      <c r="AS292" s="60" t="n">
        <f aca="false">CHOOSE($C$7,-AO292*AP292,-AO292*AP292,-(AO292*AP292-AP292^2-AP292^3))</f>
        <v>-0.0107910842936637</v>
      </c>
      <c r="AT292" s="60" t="n">
        <f aca="false">AR292-AQ292^2/3</f>
        <v>-0.266219491031267</v>
      </c>
      <c r="AU292" s="60" t="n">
        <f aca="false">2*AQ292^3/27-AQ292*AR292/3+AS292</f>
        <v>-0.0636400988362784</v>
      </c>
      <c r="AV292" s="60" t="n">
        <f aca="false">AU292^2/4+AT292^3/27</f>
        <v>0.000313710901361829</v>
      </c>
      <c r="AW292" s="60" t="n">
        <f aca="false">-AU292/2-IF(AU292&gt;=0,1,-1)*SQRT(MAX(AV292,0))</f>
        <v>0.0495319352963236</v>
      </c>
      <c r="AX292" s="60" t="n">
        <f aca="false">SIGN(AW292)*ABS(AW292)^(1/3)</f>
        <v>0.367249967174439</v>
      </c>
      <c r="AY292" s="60" t="n">
        <f aca="false">IF(AX292=0,0,AX292-AT292/(3*AX292))</f>
        <v>0.60888329127384</v>
      </c>
      <c r="AZ292" s="60" t="n">
        <f aca="false">2*SQRT(MAX(-AT292,0)/3)</f>
        <v>0.595784626668918</v>
      </c>
      <c r="BA292" s="60" t="n">
        <f aca="false">ACOS(IF(AZ292=0,0,MAX(-1,MIN(1,3*AU292/(AT292*AZ292)))))</f>
        <v>0</v>
      </c>
      <c r="BB292" s="60" t="n">
        <f aca="false">AZ292*COS(BA292/3)</f>
        <v>0.595784626668918</v>
      </c>
      <c r="BC292" s="60" t="n">
        <f aca="false">IF(AV292&lt;0,BB292,AY292)-AQ292/3</f>
        <v>0.91158844983184</v>
      </c>
      <c r="BD292" s="60" t="n">
        <f aca="false">IFERROR((((BC292+AQ292)*BC292+AR292)*BC292+AS292)/((3*BC292+2*AQ292)*BC292+AR292),0)</f>
        <v>0</v>
      </c>
      <c r="BE292" s="60" t="n">
        <f aca="false">IF(ABS(BD292)&lt;0.1*ABS(BC292),BC292-BD292,BC292)</f>
        <v>0.91158844983184</v>
      </c>
      <c r="BF292" s="60" t="n">
        <f aca="false">IFERROR((((BE292+AQ292)*BE292+AR292)*BE292+AS292)/((3*BE292+2*AQ292)*BE292+AR292),0)</f>
        <v>0</v>
      </c>
      <c r="BG292" s="60" t="n">
        <f aca="false">IF(ABS(BF292)&lt;0.1*ABS(BE292),BE292-BF292,BE292)</f>
        <v>0.91158844983184</v>
      </c>
      <c r="BH292" s="60" t="n">
        <f aca="false">-AS292/BG292</f>
        <v>0.0118376711504565</v>
      </c>
      <c r="BI292" s="60" t="n">
        <f aca="false">(AR292-BH292)/BG292</f>
        <v>-0.00347297415783941</v>
      </c>
      <c r="BJ292" s="60" t="n">
        <f aca="false">BI292^2-4*BH292</f>
        <v>-0.0473386230523248</v>
      </c>
      <c r="BK292" s="60" t="n">
        <f aca="false">IF(BJ292&gt;=0,(BI292+IF(BI292&gt;=0,1,-1)*SQRT(BJ292))/2,0)</f>
        <v>0</v>
      </c>
      <c r="BL292" s="60" t="n">
        <f aca="false">IF(AND(BJ292&gt;=0,BK292&lt;&gt;0),MIN(BK292,BH292/BK292),-1)</f>
        <v>-1</v>
      </c>
      <c r="BM292" s="60" t="n">
        <f aca="false">AND(BJ292&gt;=0,BL292&gt;AP292,ABS(BG292-BL292)&gt;=0.00005*MAX(BG292,BL292))</f>
        <v>0</v>
      </c>
      <c r="BN292" s="60" t="n">
        <f aca="false">IF(BM292,IFERROR((((BL292+AQ292)*BL292+AR292)*BL292+AS292)/((3*BL292+2*AQ292)*BL292+AR292),0),0)</f>
        <v>0</v>
      </c>
      <c r="BO292" s="60" t="n">
        <f aca="false">IF(ABS(BN292)&lt;0.1*ABS(BL292),BL292-BN292,BL292)</f>
        <v>-1</v>
      </c>
      <c r="BP292" s="60" t="n">
        <f aca="false">IF(BM292,IFERROR((((BO292+AQ292)*BO292+AR292)*BO292+AS292)/((3*BO292+2*AQ292)*BO292+AR292),0),0)</f>
        <v>0</v>
      </c>
      <c r="BQ292" s="60" t="n">
        <f aca="false">IF(ABS(BP292)&lt;0.1*ABS(BO292),BO292-BP292,BO292)</f>
        <v>-1</v>
      </c>
      <c r="BR292" s="60" t="n">
        <f aca="false">IF(BM292,MAX(BG292,BQ292),BG292)</f>
        <v>0.91158844983184</v>
      </c>
      <c r="BS292" s="60" t="n">
        <f aca="false">IF(BM292,MIN(BG292,BQ292),-1)</f>
        <v>-1</v>
      </c>
      <c r="BT292" s="60" t="n">
        <f aca="false">CHOOSE($C$7,AO292/BR292,AO292/AP292*LN(1+AP292/BR292),AO292/(2*SQRT(2)*AP292)*LN((BR292+(1+SQRT(2))*AP292)/(BR292+(1-SQRT(2))*AP292)))</f>
        <v>0.218240791233887</v>
      </c>
      <c r="BU292" s="60" t="n">
        <f aca="false">BR292-1-LN(BR292-AP292)-BT292</f>
        <v>-0.107840271021729</v>
      </c>
      <c r="BV292" s="60" t="n">
        <f aca="false">IF(BM292,CHOOSE($C$7,AO292/BS292,AO292/AP292*LN(1+AP292/BS292),AO292/(2*SQRT(2)*AP292)*LN((BS292+(1+SQRT(2))*AP292)/(BS292+(1-SQRT(2))*AP292))),0)</f>
        <v>0</v>
      </c>
      <c r="BW292" s="60" t="n">
        <f aca="false">IF(BM292,BS292-1-LN(BS292-AP292)-BV292,0)</f>
        <v>0</v>
      </c>
      <c r="BX292" s="60" t="n">
        <f aca="false">AND(BM292,BW292&lt;BU292)</f>
        <v>0</v>
      </c>
      <c r="BY292" s="60" t="n">
        <f aca="false">IF(BX292,BS292,BR292)</f>
        <v>0.91158844983184</v>
      </c>
      <c r="BZ292" s="60" t="n">
        <f aca="false">IF(BX292,BV292,BT292)</f>
        <v>0.218240791233887</v>
      </c>
      <c r="CA292" s="60" t="n">
        <f aca="false">LN(BY292-AP292)</f>
        <v>-0.198812070380318</v>
      </c>
      <c r="CB292" s="60" t="n">
        <f aca="false">$E$27/AN292*(BY292-1)-CA292-BZ292*(2*AA292/AM292-$E$27/AN292)</f>
        <v>-0.107840271021729</v>
      </c>
      <c r="CC292" s="60" t="n">
        <f aca="false">$F$27/AN292*(BY292-1)-CA292-BZ292*(2*AB292/AM292-$F$27/AN292)</f>
        <v>0.198812070380318</v>
      </c>
      <c r="CD292" s="60" t="n">
        <f aca="false">$G$27/AN292*(BY292-1)-CA292-BZ292*(2*AC292/AM292-$G$27/AN292)</f>
        <v>0.198812070380318</v>
      </c>
      <c r="CE292" s="60" t="n">
        <f aca="false">$H$27/AN292*(BY292-1)-CA292-BZ292*(2*AD292/AM292-$H$27/AN292)</f>
        <v>0.198812070380318</v>
      </c>
      <c r="CF292" s="60" t="n">
        <f aca="false">$I$27/AN292*(BY292-1)-CA292-BZ292*(2*AE292/AM292-$I$27/AN292)</f>
        <v>0.198812070380318</v>
      </c>
      <c r="CG292" s="60" t="n">
        <f aca="false">$J$27/AN292*(BY292-1)-CA292-BZ292*(2*AF292/AM292-$J$27/AN292)</f>
        <v>0.198812070380318</v>
      </c>
      <c r="CH292" s="60" t="n">
        <f aca="false">$K$27/AN292*(BY292-1)-CA292-BZ292*(2*AG292/AM292-$K$27/AN292)</f>
        <v>0.198812070380318</v>
      </c>
      <c r="CI292" s="60" t="n">
        <f aca="false">$L$27/AN292*(BY292-1)-CA292-BZ292*(2*AH292/AM292-$L$27/AN292)</f>
        <v>0.198812070380318</v>
      </c>
      <c r="CJ292" s="60" t="n">
        <f aca="false">$M$27/AN292*(BY292-1)-CA292-BZ292*(2*AI292/AM292-$M$27/AN292)</f>
        <v>0.198812070380318</v>
      </c>
      <c r="CK292" s="60" t="n">
        <f aca="false">$N$27/AN292*(BY292-1)-CA292-BZ292*(2*AJ292/AM292-$N$27/AN292)</f>
        <v>0.198812070380318</v>
      </c>
      <c r="CL292" s="60" t="n">
        <f aca="false">$O$27/AN292*(BY292-1)-CA292-BZ292*(2*AK292/AM292-$O$27/AN292)</f>
        <v>0.198812070380318</v>
      </c>
      <c r="CM292" s="60" t="n">
        <f aca="false">$P$27/AN292*(BY292-1)-CA292-BZ292*(2*AL292/AM292-$P$27/AN292)</f>
        <v>0.198812070380318</v>
      </c>
      <c r="CN292" s="60" t="n">
        <f aca="false">AP292/BY292&gt;$C$22</f>
        <v>0</v>
      </c>
      <c r="CO292" s="60" t="n">
        <f aca="false">1-N292+SUMPRODUCT(B292:M292,CB292:CM292)-SUMPRODUCT(B292:M292,CB291:CM291)</f>
        <v>0</v>
      </c>
      <c r="CP292" s="60" t="n">
        <f aca="false">SUMXMY2(O292:Z292,$E$13:$P$13)</f>
        <v>0</v>
      </c>
    </row>
    <row r="293" customFormat="false" ht="15" hidden="false" customHeight="false" outlineLevel="0" collapsed="false">
      <c r="A293" s="59" t="n">
        <v>40</v>
      </c>
      <c r="B293" s="60" t="n">
        <f aca="false">$E$13*EXP(MAX(-700,MIN(700,$E$86-CB292)))</f>
        <v>1</v>
      </c>
      <c r="C293" s="60" t="n">
        <f aca="false">$F$13*EXP(MAX(-700,MIN(700,$F$86-CC292)))</f>
        <v>0</v>
      </c>
      <c r="D293" s="60" t="n">
        <f aca="false">$G$13*EXP(MAX(-700,MIN(700,$G$86-CD292)))</f>
        <v>0</v>
      </c>
      <c r="E293" s="60" t="n">
        <f aca="false">$H$13*EXP(MAX(-700,MIN(700,$H$86-CE292)))</f>
        <v>0</v>
      </c>
      <c r="F293" s="60" t="n">
        <f aca="false">$I$13*EXP(MAX(-700,MIN(700,$I$86-CF292)))</f>
        <v>0</v>
      </c>
      <c r="G293" s="60" t="n">
        <f aca="false">$J$13*EXP(MAX(-700,MIN(700,$J$86-CG292)))</f>
        <v>0</v>
      </c>
      <c r="H293" s="60" t="n">
        <f aca="false">$K$13*EXP(MAX(-700,MIN(700,$K$86-CH292)))</f>
        <v>0</v>
      </c>
      <c r="I293" s="60" t="n">
        <f aca="false">$L$13*EXP(MAX(-700,MIN(700,$L$86-CI292)))</f>
        <v>0</v>
      </c>
      <c r="J293" s="60" t="n">
        <f aca="false">$M$13*EXP(MAX(-700,MIN(700,$M$86-CJ292)))</f>
        <v>0</v>
      </c>
      <c r="K293" s="60" t="n">
        <f aca="false">$N$13*EXP(MAX(-700,MIN(700,$N$86-CK292)))</f>
        <v>0</v>
      </c>
      <c r="L293" s="60" t="n">
        <f aca="false">$O$13*EXP(MAX(-700,MIN(700,$O$86-CL292)))</f>
        <v>0</v>
      </c>
      <c r="M293" s="60" t="n">
        <f aca="false">$P$13*EXP(MAX(-700,MIN(700,$P$86-CM292)))</f>
        <v>0</v>
      </c>
      <c r="N293" s="60" t="n">
        <f aca="false">SUM(B293:M293)</f>
        <v>1</v>
      </c>
      <c r="O293" s="60" t="n">
        <f aca="false">B293/N293</f>
        <v>1</v>
      </c>
      <c r="P293" s="60" t="n">
        <f aca="false">C293/N293</f>
        <v>0</v>
      </c>
      <c r="Q293" s="60" t="n">
        <f aca="false">D293/N293</f>
        <v>0</v>
      </c>
      <c r="R293" s="60" t="n">
        <f aca="false">E293/N293</f>
        <v>0</v>
      </c>
      <c r="S293" s="60" t="n">
        <f aca="false">F293/N293</f>
        <v>0</v>
      </c>
      <c r="T293" s="60" t="n">
        <f aca="false">G293/N293</f>
        <v>0</v>
      </c>
      <c r="U293" s="60" t="n">
        <f aca="false">H293/N293</f>
        <v>0</v>
      </c>
      <c r="V293" s="60" t="n">
        <f aca="false">I293/N293</f>
        <v>0</v>
      </c>
      <c r="W293" s="60" t="n">
        <f aca="false">J293/N293</f>
        <v>0</v>
      </c>
      <c r="X293" s="60" t="n">
        <f aca="false">K293/N293</f>
        <v>0</v>
      </c>
      <c r="Y293" s="60" t="n">
        <f aca="false">L293/N293</f>
        <v>0</v>
      </c>
      <c r="Z293" s="60" t="n">
        <f aca="false">M293/N293</f>
        <v>0</v>
      </c>
      <c r="AA293" s="60" t="n">
        <f aca="false">$E$28*SUMPRODUCT($E$31:$P$31,O293:Z293,$E$28:$P$28)</f>
        <v>0.184416866619846</v>
      </c>
      <c r="AB293" s="60" t="n">
        <f aca="false">$F$28*SUMPRODUCT($E$32:$P$32,O293:Z293,$E$28:$P$28)</f>
        <v>0</v>
      </c>
      <c r="AC293" s="60" t="n">
        <f aca="false">$G$28*SUMPRODUCT($E$33:$P$33,O293:Z293,$E$28:$P$28)</f>
        <v>0</v>
      </c>
      <c r="AD293" s="60" t="n">
        <f aca="false">$H$28*SUMPRODUCT($E$34:$P$34,O293:Z293,$E$28:$P$28)</f>
        <v>0</v>
      </c>
      <c r="AE293" s="60" t="n">
        <f aca="false">$I$28*SUMPRODUCT($E$35:$P$35,O293:Z293,$E$28:$P$28)</f>
        <v>0</v>
      </c>
      <c r="AF293" s="60" t="n">
        <f aca="false">$J$28*SUMPRODUCT($E$36:$P$36,O293:Z293,$E$28:$P$28)</f>
        <v>0</v>
      </c>
      <c r="AG293" s="60" t="n">
        <f aca="false">$K$28*SUMPRODUCT($E$37:$P$37,O293:Z293,$E$28:$P$28)</f>
        <v>0</v>
      </c>
      <c r="AH293" s="60" t="n">
        <f aca="false">$L$28*SUMPRODUCT($E$38:$P$38,O293:Z293,$E$28:$P$28)</f>
        <v>0</v>
      </c>
      <c r="AI293" s="60" t="n">
        <f aca="false">$M$28*SUMPRODUCT($E$39:$P$39,O293:Z293,$E$28:$P$28)</f>
        <v>0</v>
      </c>
      <c r="AJ293" s="60" t="n">
        <f aca="false">$N$28*SUMPRODUCT($E$40:$P$40,O293:Z293,$E$28:$P$28)</f>
        <v>0</v>
      </c>
      <c r="AK293" s="60" t="n">
        <f aca="false">$O$28*SUMPRODUCT($E$41:$P$41,O293:Z293,$E$28:$P$28)</f>
        <v>0</v>
      </c>
      <c r="AL293" s="60" t="n">
        <f aca="false">$P$28*SUMPRODUCT($E$42:$P$42,O293:Z293,$E$28:$P$28)</f>
        <v>0</v>
      </c>
      <c r="AM293" s="60" t="n">
        <f aca="false">SUMPRODUCT(O293:Z293,AA293:AL293)</f>
        <v>0.184416866619846</v>
      </c>
      <c r="AN293" s="60" t="n">
        <f aca="false">SUMPRODUCT(O293:Z293,$E$27:$P$27)</f>
        <v>2.67389635063809E-005</v>
      </c>
      <c r="AO293" s="60" t="n">
        <f aca="false">AM293*$C$9/($C$10*$C$8)^2</f>
        <v>0.21776909410545</v>
      </c>
      <c r="AP293" s="60" t="n">
        <f aca="false">AN293*$C$9/($C$10*$C$8)</f>
        <v>0.0918845243259994</v>
      </c>
      <c r="AQ293" s="60" t="n">
        <f aca="false">CHOOSE($C$7,-(1+AP293),-1,-(1-AP293))</f>
        <v>-0.908115475674001</v>
      </c>
      <c r="AR293" s="60" t="n">
        <f aca="false">CHOOSE($C$7,AO293,AO293-AP293-AP293^2,AO293-3*AP293^2-2*AP293)</f>
        <v>0.00867174802160559</v>
      </c>
      <c r="AS293" s="60" t="n">
        <f aca="false">CHOOSE($C$7,-AO293*AP293,-AO293*AP293,-(AO293*AP293-AP293^2-AP293^3))</f>
        <v>-0.0107910842936637</v>
      </c>
      <c r="AT293" s="60" t="n">
        <f aca="false">AR293-AQ293^2/3</f>
        <v>-0.266219491031267</v>
      </c>
      <c r="AU293" s="60" t="n">
        <f aca="false">2*AQ293^3/27-AQ293*AR293/3+AS293</f>
        <v>-0.0636400988362784</v>
      </c>
      <c r="AV293" s="60" t="n">
        <f aca="false">AU293^2/4+AT293^3/27</f>
        <v>0.000313710901361829</v>
      </c>
      <c r="AW293" s="60" t="n">
        <f aca="false">-AU293/2-IF(AU293&gt;=0,1,-1)*SQRT(MAX(AV293,0))</f>
        <v>0.0495319352963236</v>
      </c>
      <c r="AX293" s="60" t="n">
        <f aca="false">SIGN(AW293)*ABS(AW293)^(1/3)</f>
        <v>0.367249967174439</v>
      </c>
      <c r="AY293" s="60" t="n">
        <f aca="false">IF(AX293=0,0,AX293-AT293/(3*AX293))</f>
        <v>0.60888329127384</v>
      </c>
      <c r="AZ293" s="60" t="n">
        <f aca="false">2*SQRT(MAX(-AT293,0)/3)</f>
        <v>0.595784626668918</v>
      </c>
      <c r="BA293" s="60" t="n">
        <f aca="false">ACOS(IF(AZ293=0,0,MAX(-1,MIN(1,3*AU293/(AT293*AZ293)))))</f>
        <v>0</v>
      </c>
      <c r="BB293" s="60" t="n">
        <f aca="false">AZ293*COS(BA293/3)</f>
        <v>0.595784626668918</v>
      </c>
      <c r="BC293" s="60" t="n">
        <f aca="false">IF(AV293&lt;0,BB293,AY293)-AQ293/3</f>
        <v>0.91158844983184</v>
      </c>
      <c r="BD293" s="60" t="n">
        <f aca="false">IFERROR((((BC293+AQ293)*BC293+AR293)*BC293+AS293)/((3*BC293+2*AQ293)*BC293+AR293),0)</f>
        <v>0</v>
      </c>
      <c r="BE293" s="60" t="n">
        <f aca="false">IF(ABS(BD293)&lt;0.1*ABS(BC293),BC293-BD293,BC293)</f>
        <v>0.91158844983184</v>
      </c>
      <c r="BF293" s="60" t="n">
        <f aca="false">IFERROR((((BE293+AQ293)*BE293+AR293)*BE293+AS293)/((3*BE293+2*AQ293)*BE293+AR293),0)</f>
        <v>0</v>
      </c>
      <c r="BG293" s="60" t="n">
        <f aca="false">IF(ABS(BF293)&lt;0.1*ABS(BE293),BE293-BF293,BE293)</f>
        <v>0.91158844983184</v>
      </c>
      <c r="BH293" s="60" t="n">
        <f aca="false">-AS293/BG293</f>
        <v>0.0118376711504565</v>
      </c>
      <c r="BI293" s="60" t="n">
        <f aca="false">(AR293-BH293)/BG293</f>
        <v>-0.00347297415783941</v>
      </c>
      <c r="BJ293" s="60" t="n">
        <f aca="false">BI293^2-4*BH293</f>
        <v>-0.0473386230523248</v>
      </c>
      <c r="BK293" s="60" t="n">
        <f aca="false">IF(BJ293&gt;=0,(BI293+IF(BI293&gt;=0,1,-1)*SQRT(BJ293))/2,0)</f>
        <v>0</v>
      </c>
      <c r="BL293" s="60" t="n">
        <f aca="false">IF(AND(BJ293&gt;=0,BK293&lt;&gt;0),MIN(BK293,BH293/BK293),-1)</f>
        <v>-1</v>
      </c>
      <c r="BM293" s="60" t="n">
        <f aca="false">AND(BJ293&gt;=0,BL293&gt;AP293,ABS(BG293-BL293)&gt;=0.00005*MAX(BG293,BL293))</f>
        <v>0</v>
      </c>
      <c r="BN293" s="60" t="n">
        <f aca="false">IF(BM293,IFERROR((((BL293+AQ293)*BL293+AR293)*BL293+AS293)/((3*BL293+2*AQ293)*BL293+AR293),0),0)</f>
        <v>0</v>
      </c>
      <c r="BO293" s="60" t="n">
        <f aca="false">IF(ABS(BN293)&lt;0.1*ABS(BL293),BL293-BN293,BL293)</f>
        <v>-1</v>
      </c>
      <c r="BP293" s="60" t="n">
        <f aca="false">IF(BM293,IFERROR((((BO293+AQ293)*BO293+AR293)*BO293+AS293)/((3*BO293+2*AQ293)*BO293+AR293),0),0)</f>
        <v>0</v>
      </c>
      <c r="BQ293" s="60" t="n">
        <f aca="false">IF(ABS(BP293)&lt;0.1*ABS(BO293),BO293-BP293,BO293)</f>
        <v>-1</v>
      </c>
      <c r="BR293" s="60" t="n">
        <f aca="false">IF(BM293,MAX(BG293,BQ293),BG293)</f>
        <v>0.91158844983184</v>
      </c>
      <c r="BS293" s="60" t="n">
        <f aca="false">IF(BM293,MIN(BG293,BQ293),-1)</f>
        <v>-1</v>
      </c>
      <c r="BT293" s="60" t="n">
        <f aca="false">CHOOSE($C$7,AO293/BR293,AO293/AP293*LN(1+AP293/BR293),AO293/(2*SQRT(2)*AP293)*LN((BR293+(1+SQRT(2))*AP293)/(BR293+(1-SQRT(2))*AP293)))</f>
        <v>0.218240791233887</v>
      </c>
      <c r="BU293" s="60" t="n">
        <f aca="false">BR293-1-LN(BR293-AP293)-BT293</f>
        <v>-0.107840271021729</v>
      </c>
      <c r="BV293" s="60" t="n">
        <f aca="false">IF(BM293,CHOOSE($C$7,AO293/BS293,AO293/AP293*LN(1+AP293/BS293),AO293/(2*SQRT(2)*AP293)*LN((BS293+(1+SQRT(2))*AP293)/(BS293+(1-SQRT(2))*AP293))),0)</f>
        <v>0</v>
      </c>
      <c r="BW293" s="60" t="n">
        <f aca="false">IF(BM293,BS293-1-LN(BS293-AP293)-BV293,0)</f>
        <v>0</v>
      </c>
      <c r="BX293" s="60" t="n">
        <f aca="false">AND(BM293,BW293&lt;BU293)</f>
        <v>0</v>
      </c>
      <c r="BY293" s="61" t="n">
        <f aca="false">IF(BX293,BS293,BR293)</f>
        <v>0.91158844983184</v>
      </c>
      <c r="BZ293" s="60" t="n">
        <f aca="false">IF(BX293,BV293,BT293)</f>
        <v>0.218240791233887</v>
      </c>
      <c r="CA293" s="60" t="n">
        <f aca="false">LN(BY293-AP293)</f>
        <v>-0.198812070380318</v>
      </c>
      <c r="CB293" s="60" t="n">
        <f aca="false">$E$27/AN293*(BY293-1)-CA293-BZ293*(2*AA293/AM293-$E$27/AN293)</f>
        <v>-0.107840271021729</v>
      </c>
      <c r="CC293" s="60" t="n">
        <f aca="false">$F$27/AN293*(BY293-1)-CA293-BZ293*(2*AB293/AM293-$F$27/AN293)</f>
        <v>0.198812070380318</v>
      </c>
      <c r="CD293" s="60" t="n">
        <f aca="false">$G$27/AN293*(BY293-1)-CA293-BZ293*(2*AC293/AM293-$G$27/AN293)</f>
        <v>0.198812070380318</v>
      </c>
      <c r="CE293" s="60" t="n">
        <f aca="false">$H$27/AN293*(BY293-1)-CA293-BZ293*(2*AD293/AM293-$H$27/AN293)</f>
        <v>0.198812070380318</v>
      </c>
      <c r="CF293" s="60" t="n">
        <f aca="false">$I$27/AN293*(BY293-1)-CA293-BZ293*(2*AE293/AM293-$I$27/AN293)</f>
        <v>0.198812070380318</v>
      </c>
      <c r="CG293" s="60" t="n">
        <f aca="false">$J$27/AN293*(BY293-1)-CA293-BZ293*(2*AF293/AM293-$J$27/AN293)</f>
        <v>0.198812070380318</v>
      </c>
      <c r="CH293" s="60" t="n">
        <f aca="false">$K$27/AN293*(BY293-1)-CA293-BZ293*(2*AG293/AM293-$K$27/AN293)</f>
        <v>0.198812070380318</v>
      </c>
      <c r="CI293" s="60" t="n">
        <f aca="false">$L$27/AN293*(BY293-1)-CA293-BZ293*(2*AH293/AM293-$L$27/AN293)</f>
        <v>0.198812070380318</v>
      </c>
      <c r="CJ293" s="60" t="n">
        <f aca="false">$M$27/AN293*(BY293-1)-CA293-BZ293*(2*AI293/AM293-$M$27/AN293)</f>
        <v>0.198812070380318</v>
      </c>
      <c r="CK293" s="60" t="n">
        <f aca="false">$N$27/AN293*(BY293-1)-CA293-BZ293*(2*AJ293/AM293-$N$27/AN293)</f>
        <v>0.198812070380318</v>
      </c>
      <c r="CL293" s="60" t="n">
        <f aca="false">$O$27/AN293*(BY293-1)-CA293-BZ293*(2*AK293/AM293-$O$27/AN293)</f>
        <v>0.198812070380318</v>
      </c>
      <c r="CM293" s="60" t="n">
        <f aca="false">$P$27/AN293*(BY293-1)-CA293-BZ293*(2*AL293/AM293-$P$27/AN293)</f>
        <v>0.198812070380318</v>
      </c>
      <c r="CN293" s="60" t="n">
        <f aca="false">AP293/BY293&gt;$C$22</f>
        <v>0</v>
      </c>
      <c r="CO293" s="61" t="n">
        <f aca="false">1-N293+SUMPRODUCT(B293:M293,CB293:CM293)-SUMPRODUCT(B293:M293,CB292:CM292)</f>
        <v>0</v>
      </c>
      <c r="CP293" s="60" t="n">
        <f aca="false">SUMXMY2(O293:Z293,$E$13:$P$13)</f>
        <v>0</v>
      </c>
    </row>
    <row r="296" customFormat="false" ht="15" hidden="false" customHeight="false" outlineLevel="0" collapsed="false">
      <c r="A296" s="4" t="s">
        <v>596</v>
      </c>
    </row>
    <row r="297" customFormat="false" ht="15" hidden="false" customHeight="false" outlineLevel="0" collapsed="false">
      <c r="A297" s="8" t="s">
        <v>300</v>
      </c>
      <c r="B297" s="8" t="s">
        <v>597</v>
      </c>
      <c r="C297" s="8" t="s">
        <v>598</v>
      </c>
      <c r="D297" s="8" t="s">
        <v>599</v>
      </c>
      <c r="E297" s="8" t="s">
        <v>600</v>
      </c>
      <c r="F297" s="8" t="s">
        <v>601</v>
      </c>
      <c r="G297" s="8" t="s">
        <v>602</v>
      </c>
      <c r="H297" s="8" t="s">
        <v>603</v>
      </c>
      <c r="I297" s="8" t="s">
        <v>604</v>
      </c>
      <c r="J297" s="8" t="s">
        <v>605</v>
      </c>
      <c r="K297" s="8" t="s">
        <v>606</v>
      </c>
      <c r="L297" s="8" t="s">
        <v>607</v>
      </c>
      <c r="M297" s="8" t="s">
        <v>608</v>
      </c>
      <c r="N297" s="8" t="s">
        <v>609</v>
      </c>
      <c r="O297" s="8" t="s">
        <v>610</v>
      </c>
      <c r="P297" s="8" t="s">
        <v>611</v>
      </c>
      <c r="Q297" s="8" t="s">
        <v>612</v>
      </c>
      <c r="R297" s="8" t="s">
        <v>613</v>
      </c>
      <c r="S297" s="8" t="s">
        <v>614</v>
      </c>
      <c r="T297" s="8" t="s">
        <v>615</v>
      </c>
      <c r="U297" s="8" t="s">
        <v>616</v>
      </c>
      <c r="V297" s="8" t="s">
        <v>617</v>
      </c>
      <c r="W297" s="8" t="s">
        <v>618</v>
      </c>
      <c r="X297" s="8" t="s">
        <v>619</v>
      </c>
      <c r="Y297" s="8" t="s">
        <v>620</v>
      </c>
      <c r="Z297" s="8" t="s">
        <v>621</v>
      </c>
      <c r="AA297" s="8" t="s">
        <v>622</v>
      </c>
      <c r="AB297" s="8" t="s">
        <v>623</v>
      </c>
      <c r="AC297" s="8" t="s">
        <v>624</v>
      </c>
      <c r="AD297" s="8" t="s">
        <v>625</v>
      </c>
      <c r="AE297" s="8" t="s">
        <v>626</v>
      </c>
      <c r="AF297" s="8" t="s">
        <v>627</v>
      </c>
      <c r="AG297" s="8" t="s">
        <v>628</v>
      </c>
      <c r="AH297" s="8" t="s">
        <v>629</v>
      </c>
      <c r="AI297" s="8" t="s">
        <v>630</v>
      </c>
      <c r="AJ297" s="8" t="s">
        <v>631</v>
      </c>
      <c r="AK297" s="8" t="s">
        <v>632</v>
      </c>
      <c r="AL297" s="8" t="s">
        <v>633</v>
      </c>
      <c r="AM297" s="8" t="s">
        <v>634</v>
      </c>
      <c r="AN297" s="8" t="s">
        <v>635</v>
      </c>
      <c r="AO297" s="8" t="s">
        <v>636</v>
      </c>
      <c r="AP297" s="8" t="s">
        <v>637</v>
      </c>
      <c r="AQ297" s="8" t="s">
        <v>638</v>
      </c>
      <c r="AR297" s="8" t="s">
        <v>639</v>
      </c>
      <c r="AS297" s="8" t="s">
        <v>640</v>
      </c>
      <c r="AT297" s="8" t="s">
        <v>641</v>
      </c>
      <c r="AU297" s="8" t="s">
        <v>642</v>
      </c>
      <c r="AV297" s="8" t="s">
        <v>643</v>
      </c>
      <c r="AW297" s="8" t="s">
        <v>644</v>
      </c>
      <c r="AX297" s="8" t="s">
        <v>645</v>
      </c>
      <c r="AY297" s="8" t="s">
        <v>646</v>
      </c>
      <c r="AZ297" s="8" t="s">
        <v>647</v>
      </c>
      <c r="BA297" s="8" t="s">
        <v>648</v>
      </c>
      <c r="BB297" s="8" t="s">
        <v>649</v>
      </c>
      <c r="BC297" s="8" t="s">
        <v>650</v>
      </c>
      <c r="BD297" s="8" t="s">
        <v>651</v>
      </c>
      <c r="BE297" s="8" t="s">
        <v>652</v>
      </c>
      <c r="BF297" s="8" t="s">
        <v>653</v>
      </c>
      <c r="BG297" s="8" t="s">
        <v>654</v>
      </c>
      <c r="BH297" s="8" t="s">
        <v>655</v>
      </c>
      <c r="BI297" s="8" t="s">
        <v>656</v>
      </c>
      <c r="BJ297" s="8" t="s">
        <v>657</v>
      </c>
      <c r="BK297" s="8" t="s">
        <v>658</v>
      </c>
      <c r="BL297" s="8" t="s">
        <v>659</v>
      </c>
      <c r="BM297" s="8" t="s">
        <v>660</v>
      </c>
      <c r="BN297" s="8" t="s">
        <v>661</v>
      </c>
      <c r="BO297" s="8" t="s">
        <v>662</v>
      </c>
      <c r="BP297" s="8" t="s">
        <v>663</v>
      </c>
      <c r="BQ297" s="8" t="s">
        <v>664</v>
      </c>
      <c r="BR297" s="8" t="s">
        <v>665</v>
      </c>
      <c r="BS297" s="8" t="s">
        <v>666</v>
      </c>
      <c r="BT297" s="8" t="s">
        <v>667</v>
      </c>
      <c r="BU297" s="8" t="s">
        <v>668</v>
      </c>
      <c r="BV297" s="8" t="s">
        <v>212</v>
      </c>
      <c r="BW297" s="8" t="s">
        <v>669</v>
      </c>
      <c r="BX297" s="8" t="s">
        <v>670</v>
      </c>
      <c r="BY297" s="8" t="s">
        <v>671</v>
      </c>
      <c r="BZ297" s="8" t="s">
        <v>672</v>
      </c>
      <c r="CA297" s="8" t="s">
        <v>673</v>
      </c>
      <c r="CB297" s="8" t="s">
        <v>674</v>
      </c>
      <c r="CC297" s="8" t="s">
        <v>675</v>
      </c>
      <c r="CD297" s="8" t="s">
        <v>676</v>
      </c>
      <c r="CE297" s="8" t="s">
        <v>677</v>
      </c>
      <c r="CF297" s="8" t="s">
        <v>678</v>
      </c>
      <c r="CG297" s="8" t="s">
        <v>679</v>
      </c>
      <c r="CH297" s="8" t="s">
        <v>680</v>
      </c>
      <c r="CI297" s="8" t="s">
        <v>681</v>
      </c>
      <c r="CJ297" s="8" t="s">
        <v>682</v>
      </c>
      <c r="CK297" s="8" t="s">
        <v>683</v>
      </c>
      <c r="CL297" s="8" t="s">
        <v>684</v>
      </c>
      <c r="CM297" s="8" t="s">
        <v>685</v>
      </c>
      <c r="CN297" s="8" t="s">
        <v>686</v>
      </c>
      <c r="CO297" s="8" t="s">
        <v>687</v>
      </c>
      <c r="CP297" s="8" t="s">
        <v>688</v>
      </c>
      <c r="CQ297" s="8" t="s">
        <v>689</v>
      </c>
      <c r="CR297" s="8" t="s">
        <v>690</v>
      </c>
      <c r="CS297" s="8" t="s">
        <v>691</v>
      </c>
      <c r="CT297" s="8" t="s">
        <v>692</v>
      </c>
      <c r="CU297" s="8" t="s">
        <v>693</v>
      </c>
      <c r="CV297" s="8" t="s">
        <v>694</v>
      </c>
      <c r="CW297" s="8" t="s">
        <v>695</v>
      </c>
      <c r="CX297" s="8" t="s">
        <v>696</v>
      </c>
      <c r="CY297" s="8" t="s">
        <v>697</v>
      </c>
      <c r="CZ297" s="8" t="s">
        <v>698</v>
      </c>
      <c r="DA297" s="8" t="s">
        <v>699</v>
      </c>
      <c r="DB297" s="8" t="s">
        <v>700</v>
      </c>
      <c r="DC297" s="8" t="s">
        <v>701</v>
      </c>
      <c r="DD297" s="8" t="s">
        <v>702</v>
      </c>
      <c r="DE297" s="8" t="s">
        <v>703</v>
      </c>
      <c r="DF297" s="8" t="s">
        <v>704</v>
      </c>
      <c r="DG297" s="8" t="s">
        <v>705</v>
      </c>
      <c r="DH297" s="8" t="s">
        <v>706</v>
      </c>
      <c r="DI297" s="8" t="s">
        <v>707</v>
      </c>
      <c r="DJ297" s="8" t="s">
        <v>708</v>
      </c>
      <c r="DK297" s="8" t="s">
        <v>709</v>
      </c>
      <c r="DL297" s="8" t="s">
        <v>710</v>
      </c>
      <c r="DM297" s="8" t="s">
        <v>711</v>
      </c>
      <c r="DN297" s="8" t="s">
        <v>712</v>
      </c>
      <c r="DO297" s="8" t="s">
        <v>713</v>
      </c>
      <c r="DP297" s="8" t="s">
        <v>714</v>
      </c>
      <c r="DQ297" s="8" t="s">
        <v>715</v>
      </c>
      <c r="DR297" s="8" t="s">
        <v>716</v>
      </c>
      <c r="DS297" s="8" t="s">
        <v>717</v>
      </c>
      <c r="DT297" s="8" t="s">
        <v>718</v>
      </c>
      <c r="DU297" s="8" t="s">
        <v>719</v>
      </c>
      <c r="DV297" s="8" t="s">
        <v>720</v>
      </c>
      <c r="DW297" s="8" t="s">
        <v>721</v>
      </c>
      <c r="DX297" s="8" t="s">
        <v>722</v>
      </c>
      <c r="DY297" s="8" t="s">
        <v>723</v>
      </c>
      <c r="DZ297" s="8" t="s">
        <v>722</v>
      </c>
      <c r="EA297" s="8" t="s">
        <v>723</v>
      </c>
      <c r="EB297" s="8" t="s">
        <v>724</v>
      </c>
      <c r="EC297" s="8" t="s">
        <v>725</v>
      </c>
      <c r="ED297" s="8" t="s">
        <v>726</v>
      </c>
      <c r="EE297" s="8" t="s">
        <v>727</v>
      </c>
      <c r="EF297" s="8" t="s">
        <v>728</v>
      </c>
      <c r="EG297" s="8" t="s">
        <v>729</v>
      </c>
      <c r="EH297" s="8" t="s">
        <v>730</v>
      </c>
      <c r="EI297" s="8" t="s">
        <v>723</v>
      </c>
      <c r="EJ297" s="8" t="s">
        <v>729</v>
      </c>
      <c r="EK297" s="8" t="s">
        <v>723</v>
      </c>
      <c r="EL297" s="8" t="s">
        <v>731</v>
      </c>
      <c r="EM297" s="8" t="s">
        <v>732</v>
      </c>
      <c r="EN297" s="8" t="s">
        <v>733</v>
      </c>
      <c r="EO297" s="8" t="s">
        <v>734</v>
      </c>
      <c r="EP297" s="8" t="s">
        <v>735</v>
      </c>
      <c r="EQ297" s="8" t="s">
        <v>736</v>
      </c>
      <c r="ER297" s="8" t="s">
        <v>737</v>
      </c>
      <c r="ES297" s="8" t="s">
        <v>738</v>
      </c>
      <c r="ET297" s="8" t="s">
        <v>739</v>
      </c>
      <c r="EU297" s="8" t="s">
        <v>740</v>
      </c>
      <c r="EV297" s="8" t="s">
        <v>741</v>
      </c>
      <c r="EW297" s="8" t="s">
        <v>742</v>
      </c>
      <c r="EX297" s="8" t="s">
        <v>743</v>
      </c>
      <c r="EY297" s="8" t="s">
        <v>744</v>
      </c>
      <c r="EZ297" s="8" t="s">
        <v>745</v>
      </c>
      <c r="FA297" s="8" t="s">
        <v>746</v>
      </c>
      <c r="FB297" s="8" t="s">
        <v>747</v>
      </c>
      <c r="FC297" s="8" t="s">
        <v>748</v>
      </c>
      <c r="FD297" s="8" t="s">
        <v>749</v>
      </c>
      <c r="FE297" s="8" t="s">
        <v>750</v>
      </c>
      <c r="FF297" s="8" t="s">
        <v>751</v>
      </c>
      <c r="FG297" s="8" t="s">
        <v>752</v>
      </c>
      <c r="FH297" s="8" t="s">
        <v>753</v>
      </c>
      <c r="FI297" s="8" t="s">
        <v>754</v>
      </c>
      <c r="FJ297" s="8" t="s">
        <v>755</v>
      </c>
      <c r="FK297" s="8" t="s">
        <v>756</v>
      </c>
      <c r="FL297" s="8" t="s">
        <v>757</v>
      </c>
      <c r="FM297" s="8" t="s">
        <v>758</v>
      </c>
      <c r="FN297" s="8" t="s">
        <v>759</v>
      </c>
      <c r="FO297" s="8" t="s">
        <v>760</v>
      </c>
      <c r="FP297" s="8" t="s">
        <v>761</v>
      </c>
      <c r="FQ297" s="8" t="s">
        <v>762</v>
      </c>
      <c r="FR297" s="8" t="s">
        <v>763</v>
      </c>
      <c r="FS297" s="8" t="s">
        <v>764</v>
      </c>
      <c r="FT297" s="8" t="s">
        <v>765</v>
      </c>
      <c r="FU297" s="8" t="s">
        <v>766</v>
      </c>
      <c r="FV297" s="8" t="s">
        <v>767</v>
      </c>
      <c r="FW297" s="8" t="s">
        <v>768</v>
      </c>
      <c r="FX297" s="8" t="s">
        <v>769</v>
      </c>
      <c r="FY297" s="8" t="s">
        <v>770</v>
      </c>
      <c r="FZ297" s="8" t="s">
        <v>771</v>
      </c>
      <c r="GA297" s="8" t="s">
        <v>772</v>
      </c>
      <c r="GB297" s="8" t="s">
        <v>773</v>
      </c>
      <c r="GC297" s="8" t="s">
        <v>774</v>
      </c>
      <c r="GD297" s="8" t="s">
        <v>775</v>
      </c>
      <c r="GE297" s="8" t="s">
        <v>776</v>
      </c>
      <c r="GF297" s="8" t="s">
        <v>777</v>
      </c>
      <c r="GG297" s="8" t="s">
        <v>778</v>
      </c>
      <c r="GH297" s="8" t="s">
        <v>779</v>
      </c>
      <c r="GI297" s="8" t="s">
        <v>780</v>
      </c>
      <c r="GJ297" s="8" t="s">
        <v>781</v>
      </c>
      <c r="GK297" s="8" t="s">
        <v>782</v>
      </c>
      <c r="GL297" s="8" t="s">
        <v>783</v>
      </c>
      <c r="GM297" s="8" t="s">
        <v>784</v>
      </c>
      <c r="GN297" s="8" t="s">
        <v>783</v>
      </c>
      <c r="GO297" s="8" t="s">
        <v>784</v>
      </c>
      <c r="GP297" s="8" t="s">
        <v>785</v>
      </c>
      <c r="GQ297" s="8" t="s">
        <v>786</v>
      </c>
      <c r="GR297" s="8" t="s">
        <v>787</v>
      </c>
      <c r="GS297" s="8" t="s">
        <v>788</v>
      </c>
      <c r="GT297" s="8" t="s">
        <v>789</v>
      </c>
      <c r="GU297" s="8" t="s">
        <v>790</v>
      </c>
      <c r="GV297" s="8" t="s">
        <v>791</v>
      </c>
      <c r="GW297" s="8" t="s">
        <v>784</v>
      </c>
      <c r="GX297" s="8" t="s">
        <v>790</v>
      </c>
      <c r="GY297" s="8" t="s">
        <v>784</v>
      </c>
      <c r="GZ297" s="8" t="s">
        <v>792</v>
      </c>
      <c r="HA297" s="8" t="s">
        <v>793</v>
      </c>
      <c r="HB297" s="8" t="s">
        <v>794</v>
      </c>
      <c r="HC297" s="8" t="s">
        <v>795</v>
      </c>
      <c r="HD297" s="8" t="s">
        <v>796</v>
      </c>
      <c r="HE297" s="8" t="s">
        <v>797</v>
      </c>
      <c r="HF297" s="8" t="s">
        <v>798</v>
      </c>
      <c r="HG297" s="8" t="s">
        <v>799</v>
      </c>
      <c r="HH297" s="8" t="s">
        <v>800</v>
      </c>
      <c r="HI297" s="8" t="s">
        <v>801</v>
      </c>
      <c r="HJ297" s="8" t="s">
        <v>802</v>
      </c>
      <c r="HK297" s="8" t="s">
        <v>803</v>
      </c>
      <c r="HL297" s="8" t="s">
        <v>804</v>
      </c>
      <c r="HM297" s="8" t="s">
        <v>805</v>
      </c>
      <c r="HN297" s="8" t="s">
        <v>806</v>
      </c>
      <c r="HO297" s="8" t="s">
        <v>807</v>
      </c>
      <c r="HP297" s="8" t="s">
        <v>808</v>
      </c>
      <c r="HQ297" s="8" t="s">
        <v>809</v>
      </c>
      <c r="HR297" s="8" t="s">
        <v>810</v>
      </c>
      <c r="HS297" s="8" t="s">
        <v>811</v>
      </c>
      <c r="HT297" s="8" t="s">
        <v>812</v>
      </c>
      <c r="HU297" s="8" t="s">
        <v>813</v>
      </c>
      <c r="HV297" s="8" t="s">
        <v>814</v>
      </c>
      <c r="HW297" s="8" t="s">
        <v>815</v>
      </c>
      <c r="HX297" s="8" t="s">
        <v>816</v>
      </c>
      <c r="HY297" s="8" t="s">
        <v>817</v>
      </c>
      <c r="HZ297" s="8" t="s">
        <v>818</v>
      </c>
      <c r="IA297" s="8" t="s">
        <v>819</v>
      </c>
      <c r="IB297" s="8" t="s">
        <v>820</v>
      </c>
      <c r="IC297" s="8" t="s">
        <v>821</v>
      </c>
      <c r="ID297" s="8" t="s">
        <v>822</v>
      </c>
      <c r="IE297" s="8" t="s">
        <v>823</v>
      </c>
      <c r="IF297" s="8" t="s">
        <v>824</v>
      </c>
      <c r="IG297" s="8" t="s">
        <v>825</v>
      </c>
      <c r="IH297" s="8" t="s">
        <v>826</v>
      </c>
      <c r="II297" s="8" t="s">
        <v>827</v>
      </c>
      <c r="IJ297" s="8" t="s">
        <v>828</v>
      </c>
      <c r="IK297" s="8" t="s">
        <v>829</v>
      </c>
    </row>
    <row r="298" customFormat="false" ht="15" hidden="false" customHeight="false" outlineLevel="0" collapsed="false">
      <c r="A298" s="59" t="n">
        <v>1</v>
      </c>
      <c r="B298" s="60" t="n">
        <f aca="false">MAX(-300,MIN(300,LN($E$112)))</f>
        <v>0</v>
      </c>
      <c r="C298" s="60" t="n">
        <f aca="false">MAX(-300,MIN(300,LN($F$112)))</f>
        <v>0</v>
      </c>
      <c r="D298" s="60" t="n">
        <f aca="false">MAX(-300,MIN(300,LN($G$112)))</f>
        <v>0</v>
      </c>
      <c r="E298" s="60" t="n">
        <f aca="false">MAX(-300,MIN(300,LN($H$112)))</f>
        <v>0</v>
      </c>
      <c r="F298" s="60" t="n">
        <f aca="false">MAX(-300,MIN(300,LN($I$112)))</f>
        <v>0</v>
      </c>
      <c r="G298" s="60" t="n">
        <f aca="false">MAX(-300,MIN(300,LN($J$112)))</f>
        <v>0</v>
      </c>
      <c r="H298" s="60" t="n">
        <f aca="false">MAX(-300,MIN(300,LN($K$112)))</f>
        <v>0</v>
      </c>
      <c r="I298" s="60" t="n">
        <f aca="false">MAX(-300,MIN(300,LN($L$112)))</f>
        <v>0</v>
      </c>
      <c r="J298" s="60" t="n">
        <f aca="false">MAX(-300,MIN(300,LN($M$112)))</f>
        <v>0</v>
      </c>
      <c r="K298" s="60" t="n">
        <f aca="false">MAX(-300,MIN(300,LN($N$112)))</f>
        <v>0</v>
      </c>
      <c r="L298" s="60" t="n">
        <f aca="false">MAX(-300,MIN(300,LN($O$112)))</f>
        <v>0</v>
      </c>
      <c r="M298" s="60" t="n">
        <f aca="false">MAX(-300,MIN(300,LN($P$112)))</f>
        <v>0</v>
      </c>
      <c r="N298" s="60" t="n">
        <f aca="false">EXP(B298)</f>
        <v>1</v>
      </c>
      <c r="O298" s="60" t="n">
        <f aca="false">EXP(C298)</f>
        <v>1</v>
      </c>
      <c r="P298" s="60" t="n">
        <f aca="false">EXP(D298)</f>
        <v>1</v>
      </c>
      <c r="Q298" s="60" t="n">
        <f aca="false">EXP(E298)</f>
        <v>1</v>
      </c>
      <c r="R298" s="60" t="n">
        <f aca="false">EXP(F298)</f>
        <v>1</v>
      </c>
      <c r="S298" s="60" t="n">
        <f aca="false">EXP(G298)</f>
        <v>1</v>
      </c>
      <c r="T298" s="60" t="n">
        <f aca="false">EXP(H298)</f>
        <v>1</v>
      </c>
      <c r="U298" s="60" t="n">
        <f aca="false">EXP(I298)</f>
        <v>1</v>
      </c>
      <c r="V298" s="60" t="n">
        <f aca="false">EXP(J298)</f>
        <v>1</v>
      </c>
      <c r="W298" s="60" t="n">
        <f aca="false">EXP(K298)</f>
        <v>1</v>
      </c>
      <c r="X298" s="60" t="n">
        <f aca="false">EXP(L298)</f>
        <v>1</v>
      </c>
      <c r="Y298" s="60" t="n">
        <f aca="false">EXP(M298)</f>
        <v>1</v>
      </c>
      <c r="Z298" s="60" t="n">
        <f aca="false">MAX(N298:Y298)</f>
        <v>1</v>
      </c>
      <c r="AA298" s="60" t="n">
        <f aca="false">MIN(N298:Y298)</f>
        <v>1</v>
      </c>
      <c r="AB298" s="60" t="n">
        <f aca="false">AND(Z298&gt;1,AA298&lt;1)</f>
        <v>0</v>
      </c>
      <c r="AC298" s="60" t="n">
        <f aca="false">IF(AB298,1/(1-Z298),0)</f>
        <v>0</v>
      </c>
      <c r="AD298" s="60" t="n">
        <f aca="false">IF(AB298,1/(1-AA298),1)</f>
        <v>1</v>
      </c>
      <c r="AE298" s="60" t="n">
        <f aca="false">IF(AB298,MIN(MAX(0.5,AC298+0.000000001*(AD298-AC298)),AD298-0.000000001*(AD298-AC298)),IF(AA298&gt;=1,1,0))</f>
        <v>1</v>
      </c>
      <c r="AF298" s="60" t="n">
        <f aca="false">SUMPRODUCT($E$13:$P$13*(N298:Y298-1)/(1+AE298*(N298:Y298-1)))</f>
        <v>0</v>
      </c>
      <c r="AG298" s="60" t="n">
        <f aca="false">-SUMPRODUCT($E$13:$P$13*(N298:Y298-1)^2/(1+AE298*(N298:Y298-1))^2)</f>
        <v>-0</v>
      </c>
      <c r="AH298" s="60" t="n">
        <f aca="false">IF(OR(NOT(AB298),AG298=0),AE298,IF(AE298-AF298/AG298&lt;=AC298,(AE298+AC298)/2,IF(AE298-AF298/AG298&gt;=AD298,(AE298+AD298)/2,AE298-AF298/AG298)))</f>
        <v>1</v>
      </c>
      <c r="AI298" s="60" t="n">
        <f aca="false">SUMPRODUCT($E$13:$P$13*(N298:Y298-1)/(1+AH298*(N298:Y298-1)))</f>
        <v>0</v>
      </c>
      <c r="AJ298" s="60" t="n">
        <f aca="false">-SUMPRODUCT($E$13:$P$13*(N298:Y298-1)^2/(1+AH298*(N298:Y298-1))^2)</f>
        <v>-0</v>
      </c>
      <c r="AK298" s="60" t="n">
        <f aca="false">IF(OR(NOT(AB298),AJ298=0),AH298,IF(AH298-AI298/AJ298&lt;=AC298,(AH298+AC298)/2,IF(AH298-AI298/AJ298&gt;=AD298,(AH298+AD298)/2,AH298-AI298/AJ298)))</f>
        <v>1</v>
      </c>
      <c r="AL298" s="60" t="n">
        <f aca="false">SUMPRODUCT($E$13:$P$13*(N298:Y298-1)/(1+AK298*(N298:Y298-1)))</f>
        <v>0</v>
      </c>
      <c r="AM298" s="60" t="n">
        <f aca="false">-SUMPRODUCT($E$13:$P$13*(N298:Y298-1)^2/(1+AK298*(N298:Y298-1))^2)</f>
        <v>-0</v>
      </c>
      <c r="AN298" s="60" t="n">
        <f aca="false">IF(OR(NOT(AB298),AM298=0),AK298,IF(AK298-AL298/AM298&lt;=AC298,(AK298+AC298)/2,IF(AK298-AL298/AM298&gt;=AD298,(AK298+AD298)/2,AK298-AL298/AM298)))</f>
        <v>1</v>
      </c>
      <c r="AO298" s="60" t="n">
        <f aca="false">SUMPRODUCT($E$13:$P$13*(N298:Y298-1)/(1+AN298*(N298:Y298-1)))</f>
        <v>0</v>
      </c>
      <c r="AP298" s="60" t="n">
        <f aca="false">-SUMPRODUCT($E$13:$P$13*(N298:Y298-1)^2/(1+AN298*(N298:Y298-1))^2)</f>
        <v>-0</v>
      </c>
      <c r="AQ298" s="60" t="n">
        <f aca="false">IF(OR(NOT(AB298),AP298=0),AN298,IF(AN298-AO298/AP298&lt;=AC298,(AN298+AC298)/2,IF(AN298-AO298/AP298&gt;=AD298,(AN298+AD298)/2,AN298-AO298/AP298)))</f>
        <v>1</v>
      </c>
      <c r="AR298" s="60" t="n">
        <f aca="false">SUMPRODUCT($E$13:$P$13*(N298:Y298-1)/(1+AQ298*(N298:Y298-1)))</f>
        <v>0</v>
      </c>
      <c r="AS298" s="60" t="n">
        <f aca="false">-SUMPRODUCT($E$13:$P$13*(N298:Y298-1)^2/(1+AQ298*(N298:Y298-1))^2)</f>
        <v>-0</v>
      </c>
      <c r="AT298" s="60" t="n">
        <f aca="false">IF(OR(NOT(AB298),AS298=0),AQ298,IF(AQ298-AR298/AS298&lt;=AC298,(AQ298+AC298)/2,IF(AQ298-AR298/AS298&gt;=AD298,(AQ298+AD298)/2,AQ298-AR298/AS298)))</f>
        <v>1</v>
      </c>
      <c r="AU298" s="60" t="n">
        <f aca="false">SUMPRODUCT($E$13:$P$13*(N298:Y298-1)/(1+AT298*(N298:Y298-1)))</f>
        <v>0</v>
      </c>
      <c r="AV298" s="60" t="n">
        <f aca="false">-SUMPRODUCT($E$13:$P$13*(N298:Y298-1)^2/(1+AT298*(N298:Y298-1))^2)</f>
        <v>-0</v>
      </c>
      <c r="AW298" s="60" t="n">
        <f aca="false">IF(OR(NOT(AB298),AV298=0),AT298,IF(AT298-AU298/AV298&lt;=AC298,(AT298+AC298)/2,IF(AT298-AU298/AV298&gt;=AD298,(AT298+AD298)/2,AT298-AU298/AV298)))</f>
        <v>1</v>
      </c>
      <c r="AX298" s="60" t="n">
        <f aca="false">SUMPRODUCT($E$13:$P$13*(N298:Y298-1)/(1+AW298*(N298:Y298-1)))</f>
        <v>0</v>
      </c>
      <c r="AY298" s="60" t="n">
        <f aca="false">-SUMPRODUCT($E$13:$P$13*(N298:Y298-1)^2/(1+AW298*(N298:Y298-1))^2)</f>
        <v>-0</v>
      </c>
      <c r="AZ298" s="60" t="n">
        <f aca="false">IF(OR(NOT(AB298),AY298=0),AW298,IF(AW298-AX298/AY298&lt;=AC298,(AW298+AC298)/2,IF(AW298-AX298/AY298&gt;=AD298,(AW298+AD298)/2,AW298-AX298/AY298)))</f>
        <v>1</v>
      </c>
      <c r="BA298" s="60" t="n">
        <f aca="false">SUMPRODUCT($E$13:$P$13*(N298:Y298-1)/(1+AZ298*(N298:Y298-1)))</f>
        <v>0</v>
      </c>
      <c r="BB298" s="60" t="n">
        <f aca="false">-SUMPRODUCT($E$13:$P$13*(N298:Y298-1)^2/(1+AZ298*(N298:Y298-1))^2)</f>
        <v>-0</v>
      </c>
      <c r="BC298" s="60" t="n">
        <f aca="false">IF(OR(NOT(AB298),BB298=0),AZ298,IF(AZ298-BA298/BB298&lt;=AC298,(AZ298+AC298)/2,IF(AZ298-BA298/BB298&gt;=AD298,(AZ298+AD298)/2,AZ298-BA298/BB298)))</f>
        <v>1</v>
      </c>
      <c r="BD298" s="60" t="n">
        <f aca="false">SUMPRODUCT($E$13:$P$13*(N298:Y298-1)/(1+BC298*(N298:Y298-1)))</f>
        <v>0</v>
      </c>
      <c r="BE298" s="60" t="n">
        <f aca="false">-SUMPRODUCT($E$13:$P$13*(N298:Y298-1)^2/(1+BC298*(N298:Y298-1))^2)</f>
        <v>-0</v>
      </c>
      <c r="BF298" s="60" t="n">
        <f aca="false">IF(OR(NOT(AB298),BE298=0),BC298,IF(BC298-BD298/BE298&lt;=AC298,(BC298+AC298)/2,IF(BC298-BD298/BE298&gt;=AD298,(BC298+AD298)/2,BC298-BD298/BE298)))</f>
        <v>1</v>
      </c>
      <c r="BG298" s="60" t="n">
        <f aca="false">SUMPRODUCT($E$13:$P$13*(N298:Y298-1)/(1+BF298*(N298:Y298-1)))</f>
        <v>0</v>
      </c>
      <c r="BH298" s="60" t="n">
        <f aca="false">-SUMPRODUCT($E$13:$P$13*(N298:Y298-1)^2/(1+BF298*(N298:Y298-1))^2)</f>
        <v>-0</v>
      </c>
      <c r="BI298" s="60" t="n">
        <f aca="false">IF(OR(NOT(AB298),BH298=0),BF298,IF(BF298-BG298/BH298&lt;=AC298,(BF298+AC298)/2,IF(BF298-BG298/BH298&gt;=AD298,(BF298+AD298)/2,BF298-BG298/BH298)))</f>
        <v>1</v>
      </c>
      <c r="BJ298" s="60" t="n">
        <f aca="false">$E$13/(1+BI298*(N298-1))</f>
        <v>1</v>
      </c>
      <c r="BK298" s="60" t="n">
        <f aca="false">$F$13/(1+BI298*(O298-1))</f>
        <v>0</v>
      </c>
      <c r="BL298" s="60" t="n">
        <f aca="false">$G$13/(1+BI298*(P298-1))</f>
        <v>0</v>
      </c>
      <c r="BM298" s="60" t="n">
        <f aca="false">$H$13/(1+BI298*(Q298-1))</f>
        <v>0</v>
      </c>
      <c r="BN298" s="60" t="n">
        <f aca="false">$I$13/(1+BI298*(R298-1))</f>
        <v>0</v>
      </c>
      <c r="BO298" s="60" t="n">
        <f aca="false">$J$13/(1+BI298*(S298-1))</f>
        <v>0</v>
      </c>
      <c r="BP298" s="60" t="n">
        <f aca="false">$K$13/(1+BI298*(T298-1))</f>
        <v>0</v>
      </c>
      <c r="BQ298" s="60" t="n">
        <f aca="false">$L$13/(1+BI298*(U298-1))</f>
        <v>0</v>
      </c>
      <c r="BR298" s="60" t="n">
        <f aca="false">$M$13/(1+BI298*(V298-1))</f>
        <v>0</v>
      </c>
      <c r="BS298" s="60" t="n">
        <f aca="false">$N$13/(1+BI298*(W298-1))</f>
        <v>0</v>
      </c>
      <c r="BT298" s="60" t="n">
        <f aca="false">$O$13/(1+BI298*(X298-1))</f>
        <v>0</v>
      </c>
      <c r="BU298" s="60" t="n">
        <f aca="false">$P$13/(1+BI298*(Y298-1))</f>
        <v>0</v>
      </c>
      <c r="BV298" s="60" t="n">
        <f aca="false">SUM(BJ298:BU298)</f>
        <v>1</v>
      </c>
      <c r="BW298" s="60" t="n">
        <f aca="false">SUMPRODUCT(N298:Y298,BJ298:BU298)</f>
        <v>1</v>
      </c>
      <c r="BX298" s="60" t="n">
        <f aca="false">BJ298/BV298</f>
        <v>1</v>
      </c>
      <c r="BY298" s="60" t="n">
        <f aca="false">BK298/BV298</f>
        <v>0</v>
      </c>
      <c r="BZ298" s="60" t="n">
        <f aca="false">BL298/BV298</f>
        <v>0</v>
      </c>
      <c r="CA298" s="60" t="n">
        <f aca="false">BM298/BV298</f>
        <v>0</v>
      </c>
      <c r="CB298" s="60" t="n">
        <f aca="false">BN298/BV298</f>
        <v>0</v>
      </c>
      <c r="CC298" s="60" t="n">
        <f aca="false">BO298/BV298</f>
        <v>0</v>
      </c>
      <c r="CD298" s="60" t="n">
        <f aca="false">BP298/BV298</f>
        <v>0</v>
      </c>
      <c r="CE298" s="60" t="n">
        <f aca="false">BQ298/BV298</f>
        <v>0</v>
      </c>
      <c r="CF298" s="60" t="n">
        <f aca="false">BR298/BV298</f>
        <v>0</v>
      </c>
      <c r="CG298" s="60" t="n">
        <f aca="false">BS298/BV298</f>
        <v>0</v>
      </c>
      <c r="CH298" s="60" t="n">
        <f aca="false">BT298/BV298</f>
        <v>0</v>
      </c>
      <c r="CI298" s="60" t="n">
        <f aca="false">BU298/BV298</f>
        <v>0</v>
      </c>
      <c r="CJ298" s="60" t="n">
        <f aca="false">N298*BJ298/BW298</f>
        <v>1</v>
      </c>
      <c r="CK298" s="60" t="n">
        <f aca="false">O298*BK298/BW298</f>
        <v>0</v>
      </c>
      <c r="CL298" s="60" t="n">
        <f aca="false">P298*BL298/BW298</f>
        <v>0</v>
      </c>
      <c r="CM298" s="60" t="n">
        <f aca="false">Q298*BM298/BW298</f>
        <v>0</v>
      </c>
      <c r="CN298" s="60" t="n">
        <f aca="false">R298*BN298/BW298</f>
        <v>0</v>
      </c>
      <c r="CO298" s="60" t="n">
        <f aca="false">S298*BO298/BW298</f>
        <v>0</v>
      </c>
      <c r="CP298" s="60" t="n">
        <f aca="false">T298*BP298/BW298</f>
        <v>0</v>
      </c>
      <c r="CQ298" s="60" t="n">
        <f aca="false">U298*BQ298/BW298</f>
        <v>0</v>
      </c>
      <c r="CR298" s="60" t="n">
        <f aca="false">V298*BR298/BW298</f>
        <v>0</v>
      </c>
      <c r="CS298" s="60" t="n">
        <f aca="false">W298*BS298/BW298</f>
        <v>0</v>
      </c>
      <c r="CT298" s="60" t="n">
        <f aca="false">X298*BT298/BW298</f>
        <v>0</v>
      </c>
      <c r="CU298" s="60" t="n">
        <f aca="false">Y298*BU298/BW298</f>
        <v>0</v>
      </c>
      <c r="CV298" s="60" t="n">
        <f aca="false">$E$28*SUMPRODUCT($E$31:$P$31,BX298:CI298,$E$28:$P$28)</f>
        <v>0.184416866619846</v>
      </c>
      <c r="CW298" s="60" t="n">
        <f aca="false">$F$28*SUMPRODUCT($E$32:$P$32,BX298:CI298,$E$28:$P$28)</f>
        <v>0</v>
      </c>
      <c r="CX298" s="60" t="n">
        <f aca="false">$G$28*SUMPRODUCT($E$33:$P$33,BX298:CI298,$E$28:$P$28)</f>
        <v>0</v>
      </c>
      <c r="CY298" s="60" t="n">
        <f aca="false">$H$28*SUMPRODUCT($E$34:$P$34,BX298:CI298,$E$28:$P$28)</f>
        <v>0</v>
      </c>
      <c r="CZ298" s="60" t="n">
        <f aca="false">$I$28*SUMPRODUCT($E$35:$P$35,BX298:CI298,$E$28:$P$28)</f>
        <v>0</v>
      </c>
      <c r="DA298" s="60" t="n">
        <f aca="false">$J$28*SUMPRODUCT($E$36:$P$36,BX298:CI298,$E$28:$P$28)</f>
        <v>0</v>
      </c>
      <c r="DB298" s="60" t="n">
        <f aca="false">$K$28*SUMPRODUCT($E$37:$P$37,BX298:CI298,$E$28:$P$28)</f>
        <v>0</v>
      </c>
      <c r="DC298" s="60" t="n">
        <f aca="false">$L$28*SUMPRODUCT($E$38:$P$38,BX298:CI298,$E$28:$P$28)</f>
        <v>0</v>
      </c>
      <c r="DD298" s="60" t="n">
        <f aca="false">$M$28*SUMPRODUCT($E$39:$P$39,BX298:CI298,$E$28:$P$28)</f>
        <v>0</v>
      </c>
      <c r="DE298" s="60" t="n">
        <f aca="false">$N$28*SUMPRODUCT($E$40:$P$40,BX298:CI298,$E$28:$P$28)</f>
        <v>0</v>
      </c>
      <c r="DF298" s="60" t="n">
        <f aca="false">$O$28*SUMPRODUCT($E$41:$P$41,BX298:CI298,$E$28:$P$28)</f>
        <v>0</v>
      </c>
      <c r="DG298" s="60" t="n">
        <f aca="false">$P$28*SUMPRODUCT($E$42:$P$42,BX298:CI298,$E$28:$P$28)</f>
        <v>0</v>
      </c>
      <c r="DH298" s="60" t="n">
        <f aca="false">SUMPRODUCT(BX298:CI298,CV298:DG298)</f>
        <v>0.184416866619846</v>
      </c>
      <c r="DI298" s="60" t="n">
        <f aca="false">SUMPRODUCT(BX298:CI298,$E$27:$P$27)</f>
        <v>2.67389635063809E-005</v>
      </c>
      <c r="DJ298" s="60" t="n">
        <f aca="false">DH298*$C$9/($C$10*$C$8)^2</f>
        <v>0.21776909410545</v>
      </c>
      <c r="DK298" s="60" t="n">
        <f aca="false">DI298*$C$9/($C$10*$C$8)</f>
        <v>0.0918845243259994</v>
      </c>
      <c r="DL298" s="60" t="n">
        <f aca="false">CHOOSE($C$7,-(1+DK298),-1,-(1-DK298))</f>
        <v>-0.908115475674001</v>
      </c>
      <c r="DM298" s="60" t="n">
        <f aca="false">CHOOSE($C$7,DJ298,DJ298-DK298-DK298^2,DJ298-3*DK298^2-2*DK298)</f>
        <v>0.00867174802160559</v>
      </c>
      <c r="DN298" s="60" t="n">
        <f aca="false">CHOOSE($C$7,-DJ298*DK298,-DJ298*DK298,-(DJ298*DK298-DK298^2-DK298^3))</f>
        <v>-0.0107910842936637</v>
      </c>
      <c r="DO298" s="60" t="n">
        <f aca="false">DM298-DL298^2/3</f>
        <v>-0.266219491031267</v>
      </c>
      <c r="DP298" s="60" t="n">
        <f aca="false">2*DL298^3/27-DL298*DM298/3+DN298</f>
        <v>-0.0636400988362784</v>
      </c>
      <c r="DQ298" s="60" t="n">
        <f aca="false">DP298^2/4+DO298^3/27</f>
        <v>0.000313710901361829</v>
      </c>
      <c r="DR298" s="60" t="n">
        <f aca="false">-DP298/2-IF(DP298&gt;=0,1,-1)*SQRT(MAX(DQ298,0))</f>
        <v>0.0495319352963236</v>
      </c>
      <c r="DS298" s="60" t="n">
        <f aca="false">SIGN(DR298)*ABS(DR298)^(1/3)</f>
        <v>0.367249967174439</v>
      </c>
      <c r="DT298" s="60" t="n">
        <f aca="false">IF(DS298=0,0,DS298-DO298/(3*DS298))</f>
        <v>0.60888329127384</v>
      </c>
      <c r="DU298" s="60" t="n">
        <f aca="false">2*SQRT(MAX(-DO298,0)/3)</f>
        <v>0.595784626668918</v>
      </c>
      <c r="DV298" s="60" t="n">
        <f aca="false">ACOS(IF(DU298=0,0,MAX(-1,MIN(1,3*DP298/(DO298*DU298)))))</f>
        <v>0</v>
      </c>
      <c r="DW298" s="60" t="n">
        <f aca="false">DU298*COS(DV298/3)</f>
        <v>0.595784626668918</v>
      </c>
      <c r="DX298" s="60" t="n">
        <f aca="false">IF(DQ298&lt;0,DW298,DT298)-DL298/3</f>
        <v>0.91158844983184</v>
      </c>
      <c r="DY298" s="60" t="n">
        <f aca="false">IFERROR((((DX298+DL298)*DX298+DM298)*DX298+DN298)/((3*DX298+2*DL298)*DX298+DM298),0)</f>
        <v>0</v>
      </c>
      <c r="DZ298" s="60" t="n">
        <f aca="false">IF(ABS(DY298)&lt;0.1*ABS(DX298),DX298-DY298,DX298)</f>
        <v>0.91158844983184</v>
      </c>
      <c r="EA298" s="60" t="n">
        <f aca="false">IFERROR((((DZ298+DL298)*DZ298+DM298)*DZ298+DN298)/((3*DZ298+2*DL298)*DZ298+DM298),0)</f>
        <v>0</v>
      </c>
      <c r="EB298" s="60" t="n">
        <f aca="false">IF(ABS(EA298)&lt;0.1*ABS(DZ298),DZ298-EA298,DZ298)</f>
        <v>0.91158844983184</v>
      </c>
      <c r="EC298" s="60" t="n">
        <f aca="false">-DN298/EB298</f>
        <v>0.0118376711504565</v>
      </c>
      <c r="ED298" s="60" t="n">
        <f aca="false">(DM298-EC298)/EB298</f>
        <v>-0.00347297415783941</v>
      </c>
      <c r="EE298" s="60" t="n">
        <f aca="false">ED298^2-4*EC298</f>
        <v>-0.0473386230523248</v>
      </c>
      <c r="EF298" s="60" t="n">
        <f aca="false">IF(EE298&gt;=0,(ED298+IF(ED298&gt;=0,1,-1)*SQRT(EE298))/2,0)</f>
        <v>0</v>
      </c>
      <c r="EG298" s="60" t="n">
        <f aca="false">IF(AND(EE298&gt;=0,EF298&lt;&gt;0),MIN(EF298,EC298/EF298),-1)</f>
        <v>-1</v>
      </c>
      <c r="EH298" s="60" t="n">
        <f aca="false">AND(EE298&gt;=0,EG298&gt;DK298,ABS(EB298-EG298)&gt;=0.00005*MAX(EB298,EG298))</f>
        <v>0</v>
      </c>
      <c r="EI298" s="60" t="n">
        <f aca="false">IF(EH298,IFERROR((((EG298+DL298)*EG298+DM298)*EG298+DN298)/((3*EG298+2*DL298)*EG298+DM298),0),0)</f>
        <v>0</v>
      </c>
      <c r="EJ298" s="60" t="n">
        <f aca="false">IF(ABS(EI298)&lt;0.1*ABS(EG298),EG298-EI298,EG298)</f>
        <v>-1</v>
      </c>
      <c r="EK298" s="60" t="n">
        <f aca="false">IF(EH298,IFERROR((((EJ298+DL298)*EJ298+DM298)*EJ298+DN298)/((3*EJ298+2*DL298)*EJ298+DM298),0),0)</f>
        <v>0</v>
      </c>
      <c r="EL298" s="60" t="n">
        <f aca="false">IF(ABS(EK298)&lt;0.1*ABS(EJ298),EJ298-EK298,EJ298)</f>
        <v>-1</v>
      </c>
      <c r="EM298" s="60" t="n">
        <f aca="false">IF(EH298,MAX(EB298,EL298),EB298)</f>
        <v>0.91158844983184</v>
      </c>
      <c r="EN298" s="60" t="n">
        <f aca="false">IF(EH298,MIN(EB298,EL298),-1)</f>
        <v>-1</v>
      </c>
      <c r="EO298" s="60" t="n">
        <f aca="false">CHOOSE($C$7,DJ298/EM298,DJ298/DK298*LN(1+DK298/EM298),DJ298/(2*SQRT(2)*DK298)*LN((EM298+(1+SQRT(2))*DK298)/(EM298+(1-SQRT(2))*DK298)))</f>
        <v>0.218240791233887</v>
      </c>
      <c r="EP298" s="60" t="n">
        <f aca="false">EM298-1-LN(EM298-DK298)-EO298</f>
        <v>-0.107840271021729</v>
      </c>
      <c r="EQ298" s="60" t="n">
        <f aca="false">IF(EH298,CHOOSE($C$7,DJ298/EN298,DJ298/DK298*LN(1+DK298/EN298),DJ298/(2*SQRT(2)*DK298)*LN((EN298+(1+SQRT(2))*DK298)/(EN298+(1-SQRT(2))*DK298))),0)</f>
        <v>0</v>
      </c>
      <c r="ER298" s="60" t="n">
        <f aca="false">IF(EH298,EN298-1-LN(EN298-DK298)-EQ298,0)</f>
        <v>0</v>
      </c>
      <c r="ES298" s="60" t="n">
        <f aca="false">AND(EH298,ER298&lt;EP298)</f>
        <v>0</v>
      </c>
      <c r="ET298" s="60" t="n">
        <f aca="false">IF(ES298,EN298,EM298)</f>
        <v>0.91158844983184</v>
      </c>
      <c r="EU298" s="60" t="n">
        <f aca="false">IF(ES298,EQ298,EO298)</f>
        <v>0.218240791233887</v>
      </c>
      <c r="EV298" s="60" t="n">
        <f aca="false">LN(ET298-DK298)</f>
        <v>-0.198812070380318</v>
      </c>
      <c r="EW298" s="60" t="n">
        <f aca="false">$E$27/DI298*(ET298-1)-EV298-EU298*(2*CV298/DH298-$E$27/DI298)</f>
        <v>-0.107840271021729</v>
      </c>
      <c r="EX298" s="60" t="n">
        <f aca="false">$F$27/DI298*(ET298-1)-EV298-EU298*(2*CW298/DH298-$F$27/DI298)</f>
        <v>0.198812070380318</v>
      </c>
      <c r="EY298" s="60" t="n">
        <f aca="false">$G$27/DI298*(ET298-1)-EV298-EU298*(2*CX298/DH298-$G$27/DI298)</f>
        <v>0.198812070380318</v>
      </c>
      <c r="EZ298" s="60" t="n">
        <f aca="false">$H$27/DI298*(ET298-1)-EV298-EU298*(2*CY298/DH298-$H$27/DI298)</f>
        <v>0.198812070380318</v>
      </c>
      <c r="FA298" s="60" t="n">
        <f aca="false">$I$27/DI298*(ET298-1)-EV298-EU298*(2*CZ298/DH298-$I$27/DI298)</f>
        <v>0.198812070380318</v>
      </c>
      <c r="FB298" s="60" t="n">
        <f aca="false">$J$27/DI298*(ET298-1)-EV298-EU298*(2*DA298/DH298-$J$27/DI298)</f>
        <v>0.198812070380318</v>
      </c>
      <c r="FC298" s="60" t="n">
        <f aca="false">$K$27/DI298*(ET298-1)-EV298-EU298*(2*DB298/DH298-$K$27/DI298)</f>
        <v>0.198812070380318</v>
      </c>
      <c r="FD298" s="60" t="n">
        <f aca="false">$L$27/DI298*(ET298-1)-EV298-EU298*(2*DC298/DH298-$L$27/DI298)</f>
        <v>0.198812070380318</v>
      </c>
      <c r="FE298" s="60" t="n">
        <f aca="false">$M$27/DI298*(ET298-1)-EV298-EU298*(2*DD298/DH298-$M$27/DI298)</f>
        <v>0.198812070380318</v>
      </c>
      <c r="FF298" s="60" t="n">
        <f aca="false">$N$27/DI298*(ET298-1)-EV298-EU298*(2*DE298/DH298-$N$27/DI298)</f>
        <v>0.198812070380318</v>
      </c>
      <c r="FG298" s="60" t="n">
        <f aca="false">$O$27/DI298*(ET298-1)-EV298-EU298*(2*DF298/DH298-$O$27/DI298)</f>
        <v>0.198812070380318</v>
      </c>
      <c r="FH298" s="60" t="n">
        <f aca="false">$P$27/DI298*(ET298-1)-EV298-EU298*(2*DG298/DH298-$P$27/DI298)</f>
        <v>0.198812070380318</v>
      </c>
      <c r="FI298" s="60" t="n">
        <f aca="false">DK298/ET298&gt;$C$22</f>
        <v>0</v>
      </c>
      <c r="FJ298" s="60" t="n">
        <f aca="false">$E$28*SUMPRODUCT($E$31:$P$31,CJ298:CU298,$E$28:$P$28)</f>
        <v>0.184416866619846</v>
      </c>
      <c r="FK298" s="60" t="n">
        <f aca="false">$F$28*SUMPRODUCT($E$32:$P$32,CJ298:CU298,$E$28:$P$28)</f>
        <v>0</v>
      </c>
      <c r="FL298" s="60" t="n">
        <f aca="false">$G$28*SUMPRODUCT($E$33:$P$33,CJ298:CU298,$E$28:$P$28)</f>
        <v>0</v>
      </c>
      <c r="FM298" s="60" t="n">
        <f aca="false">$H$28*SUMPRODUCT($E$34:$P$34,CJ298:CU298,$E$28:$P$28)</f>
        <v>0</v>
      </c>
      <c r="FN298" s="60" t="n">
        <f aca="false">$I$28*SUMPRODUCT($E$35:$P$35,CJ298:CU298,$E$28:$P$28)</f>
        <v>0</v>
      </c>
      <c r="FO298" s="60" t="n">
        <f aca="false">$J$28*SUMPRODUCT($E$36:$P$36,CJ298:CU298,$E$28:$P$28)</f>
        <v>0</v>
      </c>
      <c r="FP298" s="60" t="n">
        <f aca="false">$K$28*SUMPRODUCT($E$37:$P$37,CJ298:CU298,$E$28:$P$28)</f>
        <v>0</v>
      </c>
      <c r="FQ298" s="60" t="n">
        <f aca="false">$L$28*SUMPRODUCT($E$38:$P$38,CJ298:CU298,$E$28:$P$28)</f>
        <v>0</v>
      </c>
      <c r="FR298" s="60" t="n">
        <f aca="false">$M$28*SUMPRODUCT($E$39:$P$39,CJ298:CU298,$E$28:$P$28)</f>
        <v>0</v>
      </c>
      <c r="FS298" s="60" t="n">
        <f aca="false">$N$28*SUMPRODUCT($E$40:$P$40,CJ298:CU298,$E$28:$P$28)</f>
        <v>0</v>
      </c>
      <c r="FT298" s="60" t="n">
        <f aca="false">$O$28*SUMPRODUCT($E$41:$P$41,CJ298:CU298,$E$28:$P$28)</f>
        <v>0</v>
      </c>
      <c r="FU298" s="60" t="n">
        <f aca="false">$P$28*SUMPRODUCT($E$42:$P$42,CJ298:CU298,$E$28:$P$28)</f>
        <v>0</v>
      </c>
      <c r="FV298" s="60" t="n">
        <f aca="false">SUMPRODUCT(CJ298:CU298,FJ298:FU298)</f>
        <v>0.184416866619846</v>
      </c>
      <c r="FW298" s="60" t="n">
        <f aca="false">SUMPRODUCT(CJ298:CU298,$E$27:$P$27)</f>
        <v>2.67389635063809E-005</v>
      </c>
      <c r="FX298" s="60" t="n">
        <f aca="false">FV298*$C$9/($C$10*$C$8)^2</f>
        <v>0.21776909410545</v>
      </c>
      <c r="FY298" s="60" t="n">
        <f aca="false">FW298*$C$9/($C$10*$C$8)</f>
        <v>0.0918845243259994</v>
      </c>
      <c r="FZ298" s="60" t="n">
        <f aca="false">CHOOSE($C$7,-(1+FY298),-1,-(1-FY298))</f>
        <v>-0.908115475674001</v>
      </c>
      <c r="GA298" s="60" t="n">
        <f aca="false">CHOOSE($C$7,FX298,FX298-FY298-FY298^2,FX298-3*FY298^2-2*FY298)</f>
        <v>0.00867174802160559</v>
      </c>
      <c r="GB298" s="60" t="n">
        <f aca="false">CHOOSE($C$7,-FX298*FY298,-FX298*FY298,-(FX298*FY298-FY298^2-FY298^3))</f>
        <v>-0.0107910842936637</v>
      </c>
      <c r="GC298" s="60" t="n">
        <f aca="false">GA298-FZ298^2/3</f>
        <v>-0.266219491031267</v>
      </c>
      <c r="GD298" s="60" t="n">
        <f aca="false">2*FZ298^3/27-FZ298*GA298/3+GB298</f>
        <v>-0.0636400988362784</v>
      </c>
      <c r="GE298" s="60" t="n">
        <f aca="false">GD298^2/4+GC298^3/27</f>
        <v>0.000313710901361829</v>
      </c>
      <c r="GF298" s="60" t="n">
        <f aca="false">-GD298/2-IF(GD298&gt;=0,1,-1)*SQRT(MAX(GE298,0))</f>
        <v>0.0495319352963236</v>
      </c>
      <c r="GG298" s="60" t="n">
        <f aca="false">SIGN(GF298)*ABS(GF298)^(1/3)</f>
        <v>0.367249967174439</v>
      </c>
      <c r="GH298" s="60" t="n">
        <f aca="false">IF(GG298=0,0,GG298-GC298/(3*GG298))</f>
        <v>0.60888329127384</v>
      </c>
      <c r="GI298" s="60" t="n">
        <f aca="false">2*SQRT(MAX(-GC298,0)/3)</f>
        <v>0.595784626668918</v>
      </c>
      <c r="GJ298" s="60" t="n">
        <f aca="false">ACOS(IF(GI298=0,0,MAX(-1,MIN(1,3*GD298/(GC298*GI298)))))</f>
        <v>0</v>
      </c>
      <c r="GK298" s="60" t="n">
        <f aca="false">GI298*COS(GJ298/3)</f>
        <v>0.595784626668918</v>
      </c>
      <c r="GL298" s="60" t="n">
        <f aca="false">IF(GE298&lt;0,GK298,GH298)-FZ298/3</f>
        <v>0.91158844983184</v>
      </c>
      <c r="GM298" s="60" t="n">
        <f aca="false">IFERROR((((GL298+FZ298)*GL298+GA298)*GL298+GB298)/((3*GL298+2*FZ298)*GL298+GA298),0)</f>
        <v>0</v>
      </c>
      <c r="GN298" s="60" t="n">
        <f aca="false">IF(ABS(GM298)&lt;0.1*ABS(GL298),GL298-GM298,GL298)</f>
        <v>0.91158844983184</v>
      </c>
      <c r="GO298" s="60" t="n">
        <f aca="false">IFERROR((((GN298+FZ298)*GN298+GA298)*GN298+GB298)/((3*GN298+2*FZ298)*GN298+GA298),0)</f>
        <v>0</v>
      </c>
      <c r="GP298" s="60" t="n">
        <f aca="false">IF(ABS(GO298)&lt;0.1*ABS(GN298),GN298-GO298,GN298)</f>
        <v>0.91158844983184</v>
      </c>
      <c r="GQ298" s="60" t="n">
        <f aca="false">-GB298/GP298</f>
        <v>0.0118376711504565</v>
      </c>
      <c r="GR298" s="60" t="n">
        <f aca="false">(GA298-GQ298)/GP298</f>
        <v>-0.00347297415783941</v>
      </c>
      <c r="GS298" s="60" t="n">
        <f aca="false">GR298^2-4*GQ298</f>
        <v>-0.0473386230523248</v>
      </c>
      <c r="GT298" s="60" t="n">
        <f aca="false">IF(GS298&gt;=0,(GR298+IF(GR298&gt;=0,1,-1)*SQRT(GS298))/2,0)</f>
        <v>0</v>
      </c>
      <c r="GU298" s="60" t="n">
        <f aca="false">IF(AND(GS298&gt;=0,GT298&lt;&gt;0),MIN(GT298,GQ298/GT298),-1)</f>
        <v>-1</v>
      </c>
      <c r="GV298" s="60" t="n">
        <f aca="false">AND(GS298&gt;=0,GU298&gt;FY298,ABS(GP298-GU298)&gt;=0.00005*MAX(GP298,GU298))</f>
        <v>0</v>
      </c>
      <c r="GW298" s="60" t="n">
        <f aca="false">IF(GV298,IFERROR((((GU298+FZ298)*GU298+GA298)*GU298+GB298)/((3*GU298+2*FZ298)*GU298+GA298),0),0)</f>
        <v>0</v>
      </c>
      <c r="GX298" s="60" t="n">
        <f aca="false">IF(ABS(GW298)&lt;0.1*ABS(GU298),GU298-GW298,GU298)</f>
        <v>-1</v>
      </c>
      <c r="GY298" s="60" t="n">
        <f aca="false">IF(GV298,IFERROR((((GX298+FZ298)*GX298+GA298)*GX298+GB298)/((3*GX298+2*FZ298)*GX298+GA298),0),0)</f>
        <v>0</v>
      </c>
      <c r="GZ298" s="60" t="n">
        <f aca="false">IF(ABS(GY298)&lt;0.1*ABS(GX298),GX298-GY298,GX298)</f>
        <v>-1</v>
      </c>
      <c r="HA298" s="60" t="n">
        <f aca="false">IF(GV298,MAX(GP298,GZ298),GP298)</f>
        <v>0.91158844983184</v>
      </c>
      <c r="HB298" s="60" t="n">
        <f aca="false">IF(GV298,MIN(GP298,GZ298),-1)</f>
        <v>-1</v>
      </c>
      <c r="HC298" s="60" t="n">
        <f aca="false">CHOOSE($C$7,FX298/HA298,FX298/FY298*LN(1+FY298/HA298),FX298/(2*SQRT(2)*FY298)*LN((HA298+(1+SQRT(2))*FY298)/(HA298+(1-SQRT(2))*FY298)))</f>
        <v>0.218240791233887</v>
      </c>
      <c r="HD298" s="60" t="n">
        <f aca="false">HA298-1-LN(HA298-FY298)-HC298</f>
        <v>-0.107840271021729</v>
      </c>
      <c r="HE298" s="60" t="n">
        <f aca="false">IF(GV298,CHOOSE($C$7,FX298/HB298,FX298/FY298*LN(1+FY298/HB298),FX298/(2*SQRT(2)*FY298)*LN((HB298+(1+SQRT(2))*FY298)/(HB298+(1-SQRT(2))*FY298))),0)</f>
        <v>0</v>
      </c>
      <c r="HF298" s="60" t="n">
        <f aca="false">IF(GV298,HB298-1-LN(HB298-FY298)-HE298,0)</f>
        <v>0</v>
      </c>
      <c r="HG298" s="60" t="n">
        <f aca="false">AND(GV298,HF298&lt;HD298)</f>
        <v>0</v>
      </c>
      <c r="HH298" s="60" t="n">
        <f aca="false">IF(HG298,HB298,HA298)</f>
        <v>0.91158844983184</v>
      </c>
      <c r="HI298" s="60" t="n">
        <f aca="false">IF(HG298,HE298,HC298)</f>
        <v>0.218240791233887</v>
      </c>
      <c r="HJ298" s="60" t="n">
        <f aca="false">LN(HH298-FY298)</f>
        <v>-0.198812070380318</v>
      </c>
      <c r="HK298" s="60" t="n">
        <f aca="false">$E$27/FW298*(HH298-1)-HJ298-HI298*(2*FJ298/FV298-$E$27/FW298)</f>
        <v>-0.107840271021729</v>
      </c>
      <c r="HL298" s="60" t="n">
        <f aca="false">$F$27/FW298*(HH298-1)-HJ298-HI298*(2*FK298/FV298-$F$27/FW298)</f>
        <v>0.198812070380318</v>
      </c>
      <c r="HM298" s="60" t="n">
        <f aca="false">$G$27/FW298*(HH298-1)-HJ298-HI298*(2*FL298/FV298-$G$27/FW298)</f>
        <v>0.198812070380318</v>
      </c>
      <c r="HN298" s="60" t="n">
        <f aca="false">$H$27/FW298*(HH298-1)-HJ298-HI298*(2*FM298/FV298-$H$27/FW298)</f>
        <v>0.198812070380318</v>
      </c>
      <c r="HO298" s="60" t="n">
        <f aca="false">$I$27/FW298*(HH298-1)-HJ298-HI298*(2*FN298/FV298-$I$27/FW298)</f>
        <v>0.198812070380318</v>
      </c>
      <c r="HP298" s="60" t="n">
        <f aca="false">$J$27/FW298*(HH298-1)-HJ298-HI298*(2*FO298/FV298-$J$27/FW298)</f>
        <v>0.198812070380318</v>
      </c>
      <c r="HQ298" s="60" t="n">
        <f aca="false">$K$27/FW298*(HH298-1)-HJ298-HI298*(2*FP298/FV298-$K$27/FW298)</f>
        <v>0.198812070380318</v>
      </c>
      <c r="HR298" s="60" t="n">
        <f aca="false">$L$27/FW298*(HH298-1)-HJ298-HI298*(2*FQ298/FV298-$L$27/FW298)</f>
        <v>0.198812070380318</v>
      </c>
      <c r="HS298" s="60" t="n">
        <f aca="false">$M$27/FW298*(HH298-1)-HJ298-HI298*(2*FR298/FV298-$M$27/FW298)</f>
        <v>0.198812070380318</v>
      </c>
      <c r="HT298" s="60" t="n">
        <f aca="false">$N$27/FW298*(HH298-1)-HJ298-HI298*(2*FS298/FV298-$N$27/FW298)</f>
        <v>0.198812070380318</v>
      </c>
      <c r="HU298" s="60" t="n">
        <f aca="false">$O$27/FW298*(HH298-1)-HJ298-HI298*(2*FT298/FV298-$O$27/FW298)</f>
        <v>0.198812070380318</v>
      </c>
      <c r="HV298" s="60" t="n">
        <f aca="false">$P$27/FW298*(HH298-1)-HJ298-HI298*(2*FU298/FV298-$P$27/FW298)</f>
        <v>0.198812070380318</v>
      </c>
      <c r="HW298" s="60" t="n">
        <f aca="false">FY298/HH298&gt;$C$22</f>
        <v>0</v>
      </c>
      <c r="HX298" s="60" t="n">
        <f aca="false">IF($E$13&gt;0,MAX(-300,MIN(300,EW298-HK298)),0)</f>
        <v>0</v>
      </c>
      <c r="HY298" s="60" t="n">
        <f aca="false">IF($F$13&gt;0,MAX(-300,MIN(300,EX298-HL298)),0)</f>
        <v>0</v>
      </c>
      <c r="HZ298" s="60" t="n">
        <f aca="false">IF($G$13&gt;0,MAX(-300,MIN(300,EY298-HM298)),0)</f>
        <v>0</v>
      </c>
      <c r="IA298" s="60" t="n">
        <f aca="false">IF($H$13&gt;0,MAX(-300,MIN(300,EZ298-HN298)),0)</f>
        <v>0</v>
      </c>
      <c r="IB298" s="60" t="n">
        <f aca="false">IF($I$13&gt;0,MAX(-300,MIN(300,FA298-HO298)),0)</f>
        <v>0</v>
      </c>
      <c r="IC298" s="60" t="n">
        <f aca="false">IF($J$13&gt;0,MAX(-300,MIN(300,FB298-HP298)),0)</f>
        <v>0</v>
      </c>
      <c r="ID298" s="60" t="n">
        <f aca="false">IF($K$13&gt;0,MAX(-300,MIN(300,FC298-HQ298)),0)</f>
        <v>0</v>
      </c>
      <c r="IE298" s="60" t="n">
        <f aca="false">IF($L$13&gt;0,MAX(-300,MIN(300,FD298-HR298)),0)</f>
        <v>0</v>
      </c>
      <c r="IF298" s="60" t="n">
        <f aca="false">IF($M$13&gt;0,MAX(-300,MIN(300,FE298-HS298)),0)</f>
        <v>0</v>
      </c>
      <c r="IG298" s="60" t="n">
        <f aca="false">IF($N$13&gt;0,MAX(-300,MIN(300,FF298-HT298)),0)</f>
        <v>0</v>
      </c>
      <c r="IH298" s="60" t="n">
        <f aca="false">IF($O$13&gt;0,MAX(-300,MIN(300,FG298-HU298)),0)</f>
        <v>0</v>
      </c>
      <c r="II298" s="60" t="n">
        <f aca="false">IF($P$13&gt;0,MAX(-300,MIN(300,FH298-HV298)),0)</f>
        <v>0</v>
      </c>
      <c r="IJ298" s="60" t="n">
        <f aca="false">SUMXMY2(HX298:II298,B298:M298)</f>
        <v>0</v>
      </c>
      <c r="IK298" s="60" t="n">
        <f aca="false">SUMSQ(B298:M298)</f>
        <v>0</v>
      </c>
    </row>
    <row r="299" customFormat="false" ht="15" hidden="false" customHeight="false" outlineLevel="0" collapsed="false">
      <c r="A299" s="59" t="n">
        <v>2</v>
      </c>
      <c r="B299" s="60" t="n">
        <f aca="false">HX298</f>
        <v>0</v>
      </c>
      <c r="C299" s="60" t="n">
        <f aca="false">HY298</f>
        <v>0</v>
      </c>
      <c r="D299" s="60" t="n">
        <f aca="false">HZ298</f>
        <v>0</v>
      </c>
      <c r="E299" s="60" t="n">
        <f aca="false">IA298</f>
        <v>0</v>
      </c>
      <c r="F299" s="60" t="n">
        <f aca="false">IB298</f>
        <v>0</v>
      </c>
      <c r="G299" s="60" t="n">
        <f aca="false">IC298</f>
        <v>0</v>
      </c>
      <c r="H299" s="60" t="n">
        <f aca="false">ID298</f>
        <v>0</v>
      </c>
      <c r="I299" s="60" t="n">
        <f aca="false">IE298</f>
        <v>0</v>
      </c>
      <c r="J299" s="60" t="n">
        <f aca="false">IF298</f>
        <v>0</v>
      </c>
      <c r="K299" s="60" t="n">
        <f aca="false">IG298</f>
        <v>0</v>
      </c>
      <c r="L299" s="60" t="n">
        <f aca="false">IH298</f>
        <v>0</v>
      </c>
      <c r="M299" s="60" t="n">
        <f aca="false">II298</f>
        <v>0</v>
      </c>
      <c r="N299" s="60" t="n">
        <f aca="false">EXP(B299)</f>
        <v>1</v>
      </c>
      <c r="O299" s="60" t="n">
        <f aca="false">EXP(C299)</f>
        <v>1</v>
      </c>
      <c r="P299" s="60" t="n">
        <f aca="false">EXP(D299)</f>
        <v>1</v>
      </c>
      <c r="Q299" s="60" t="n">
        <f aca="false">EXP(E299)</f>
        <v>1</v>
      </c>
      <c r="R299" s="60" t="n">
        <f aca="false">EXP(F299)</f>
        <v>1</v>
      </c>
      <c r="S299" s="60" t="n">
        <f aca="false">EXP(G299)</f>
        <v>1</v>
      </c>
      <c r="T299" s="60" t="n">
        <f aca="false">EXP(H299)</f>
        <v>1</v>
      </c>
      <c r="U299" s="60" t="n">
        <f aca="false">EXP(I299)</f>
        <v>1</v>
      </c>
      <c r="V299" s="60" t="n">
        <f aca="false">EXP(J299)</f>
        <v>1</v>
      </c>
      <c r="W299" s="60" t="n">
        <f aca="false">EXP(K299)</f>
        <v>1</v>
      </c>
      <c r="X299" s="60" t="n">
        <f aca="false">EXP(L299)</f>
        <v>1</v>
      </c>
      <c r="Y299" s="60" t="n">
        <f aca="false">EXP(M299)</f>
        <v>1</v>
      </c>
      <c r="Z299" s="60" t="n">
        <f aca="false">MAX(N299:Y299)</f>
        <v>1</v>
      </c>
      <c r="AA299" s="60" t="n">
        <f aca="false">MIN(N299:Y299)</f>
        <v>1</v>
      </c>
      <c r="AB299" s="60" t="n">
        <f aca="false">AND(Z299&gt;1,AA299&lt;1)</f>
        <v>0</v>
      </c>
      <c r="AC299" s="60" t="n">
        <f aca="false">IF(AB299,1/(1-Z299),0)</f>
        <v>0</v>
      </c>
      <c r="AD299" s="60" t="n">
        <f aca="false">IF(AB299,1/(1-AA299),1)</f>
        <v>1</v>
      </c>
      <c r="AE299" s="60" t="n">
        <f aca="false">IF(AB299,MIN(MAX(BI298,AC299+0.000000001*(AD299-AC299)),AD299-0.000000001*(AD299-AC299)),IF(AA299&gt;=1,1,0))</f>
        <v>1</v>
      </c>
      <c r="AF299" s="60" t="n">
        <f aca="false">SUMPRODUCT($E$13:$P$13*(N299:Y299-1)/(1+AE299*(N299:Y299-1)))</f>
        <v>0</v>
      </c>
      <c r="AG299" s="60" t="n">
        <f aca="false">-SUMPRODUCT($E$13:$P$13*(N299:Y299-1)^2/(1+AE299*(N299:Y299-1))^2)</f>
        <v>-0</v>
      </c>
      <c r="AH299" s="60" t="n">
        <f aca="false">IF(OR(NOT(AB299),AG299=0),AE299,IF(AE299-AF299/AG299&lt;=AC299,(AE299+AC299)/2,IF(AE299-AF299/AG299&gt;=AD299,(AE299+AD299)/2,AE299-AF299/AG299)))</f>
        <v>1</v>
      </c>
      <c r="AI299" s="60" t="n">
        <f aca="false">SUMPRODUCT($E$13:$P$13*(N299:Y299-1)/(1+AH299*(N299:Y299-1)))</f>
        <v>0</v>
      </c>
      <c r="AJ299" s="60" t="n">
        <f aca="false">-SUMPRODUCT($E$13:$P$13*(N299:Y299-1)^2/(1+AH299*(N299:Y299-1))^2)</f>
        <v>-0</v>
      </c>
      <c r="AK299" s="60" t="n">
        <f aca="false">IF(OR(NOT(AB299),AJ299=0),AH299,IF(AH299-AI299/AJ299&lt;=AC299,(AH299+AC299)/2,IF(AH299-AI299/AJ299&gt;=AD299,(AH299+AD299)/2,AH299-AI299/AJ299)))</f>
        <v>1</v>
      </c>
      <c r="AL299" s="60" t="n">
        <f aca="false">SUMPRODUCT($E$13:$P$13*(N299:Y299-1)/(1+AK299*(N299:Y299-1)))</f>
        <v>0</v>
      </c>
      <c r="AM299" s="60" t="n">
        <f aca="false">-SUMPRODUCT($E$13:$P$13*(N299:Y299-1)^2/(1+AK299*(N299:Y299-1))^2)</f>
        <v>-0</v>
      </c>
      <c r="AN299" s="60" t="n">
        <f aca="false">IF(OR(NOT(AB299),AM299=0),AK299,IF(AK299-AL299/AM299&lt;=AC299,(AK299+AC299)/2,IF(AK299-AL299/AM299&gt;=AD299,(AK299+AD299)/2,AK299-AL299/AM299)))</f>
        <v>1</v>
      </c>
      <c r="AO299" s="60" t="n">
        <f aca="false">SUMPRODUCT($E$13:$P$13*(N299:Y299-1)/(1+AN299*(N299:Y299-1)))</f>
        <v>0</v>
      </c>
      <c r="AP299" s="60" t="n">
        <f aca="false">-SUMPRODUCT($E$13:$P$13*(N299:Y299-1)^2/(1+AN299*(N299:Y299-1))^2)</f>
        <v>-0</v>
      </c>
      <c r="AQ299" s="60" t="n">
        <f aca="false">IF(OR(NOT(AB299),AP299=0),AN299,IF(AN299-AO299/AP299&lt;=AC299,(AN299+AC299)/2,IF(AN299-AO299/AP299&gt;=AD299,(AN299+AD299)/2,AN299-AO299/AP299)))</f>
        <v>1</v>
      </c>
      <c r="AR299" s="60" t="n">
        <f aca="false">SUMPRODUCT($E$13:$P$13*(N299:Y299-1)/(1+AQ299*(N299:Y299-1)))</f>
        <v>0</v>
      </c>
      <c r="AS299" s="60" t="n">
        <f aca="false">-SUMPRODUCT($E$13:$P$13*(N299:Y299-1)^2/(1+AQ299*(N299:Y299-1))^2)</f>
        <v>-0</v>
      </c>
      <c r="AT299" s="60" t="n">
        <f aca="false">IF(OR(NOT(AB299),AS299=0),AQ299,IF(AQ299-AR299/AS299&lt;=AC299,(AQ299+AC299)/2,IF(AQ299-AR299/AS299&gt;=AD299,(AQ299+AD299)/2,AQ299-AR299/AS299)))</f>
        <v>1</v>
      </c>
      <c r="AU299" s="60" t="n">
        <f aca="false">SUMPRODUCT($E$13:$P$13*(N299:Y299-1)/(1+AT299*(N299:Y299-1)))</f>
        <v>0</v>
      </c>
      <c r="AV299" s="60" t="n">
        <f aca="false">-SUMPRODUCT($E$13:$P$13*(N299:Y299-1)^2/(1+AT299*(N299:Y299-1))^2)</f>
        <v>-0</v>
      </c>
      <c r="AW299" s="60" t="n">
        <f aca="false">IF(OR(NOT(AB299),AV299=0),AT299,IF(AT299-AU299/AV299&lt;=AC299,(AT299+AC299)/2,IF(AT299-AU299/AV299&gt;=AD299,(AT299+AD299)/2,AT299-AU299/AV299)))</f>
        <v>1</v>
      </c>
      <c r="AX299" s="60" t="n">
        <f aca="false">SUMPRODUCT($E$13:$P$13*(N299:Y299-1)/(1+AW299*(N299:Y299-1)))</f>
        <v>0</v>
      </c>
      <c r="AY299" s="60" t="n">
        <f aca="false">-SUMPRODUCT($E$13:$P$13*(N299:Y299-1)^2/(1+AW299*(N299:Y299-1))^2)</f>
        <v>-0</v>
      </c>
      <c r="AZ299" s="60" t="n">
        <f aca="false">IF(OR(NOT(AB299),AY299=0),AW299,IF(AW299-AX299/AY299&lt;=AC299,(AW299+AC299)/2,IF(AW299-AX299/AY299&gt;=AD299,(AW299+AD299)/2,AW299-AX299/AY299)))</f>
        <v>1</v>
      </c>
      <c r="BA299" s="60" t="n">
        <f aca="false">SUMPRODUCT($E$13:$P$13*(N299:Y299-1)/(1+AZ299*(N299:Y299-1)))</f>
        <v>0</v>
      </c>
      <c r="BB299" s="60" t="n">
        <f aca="false">-SUMPRODUCT($E$13:$P$13*(N299:Y299-1)^2/(1+AZ299*(N299:Y299-1))^2)</f>
        <v>-0</v>
      </c>
      <c r="BC299" s="60" t="n">
        <f aca="false">IF(OR(NOT(AB299),BB299=0),AZ299,IF(AZ299-BA299/BB299&lt;=AC299,(AZ299+AC299)/2,IF(AZ299-BA299/BB299&gt;=AD299,(AZ299+AD299)/2,AZ299-BA299/BB299)))</f>
        <v>1</v>
      </c>
      <c r="BD299" s="60" t="n">
        <f aca="false">SUMPRODUCT($E$13:$P$13*(N299:Y299-1)/(1+BC299*(N299:Y299-1)))</f>
        <v>0</v>
      </c>
      <c r="BE299" s="60" t="n">
        <f aca="false">-SUMPRODUCT($E$13:$P$13*(N299:Y299-1)^2/(1+BC299*(N299:Y299-1))^2)</f>
        <v>-0</v>
      </c>
      <c r="BF299" s="60" t="n">
        <f aca="false">IF(OR(NOT(AB299),BE299=0),BC299,IF(BC299-BD299/BE299&lt;=AC299,(BC299+AC299)/2,IF(BC299-BD299/BE299&gt;=AD299,(BC299+AD299)/2,BC299-BD299/BE299)))</f>
        <v>1</v>
      </c>
      <c r="BG299" s="60" t="n">
        <f aca="false">SUMPRODUCT($E$13:$P$13*(N299:Y299-1)/(1+BF299*(N299:Y299-1)))</f>
        <v>0</v>
      </c>
      <c r="BH299" s="60" t="n">
        <f aca="false">-SUMPRODUCT($E$13:$P$13*(N299:Y299-1)^2/(1+BF299*(N299:Y299-1))^2)</f>
        <v>-0</v>
      </c>
      <c r="BI299" s="60" t="n">
        <f aca="false">IF(OR(NOT(AB299),BH299=0),BF299,IF(BF299-BG299/BH299&lt;=AC299,(BF299+AC299)/2,IF(BF299-BG299/BH299&gt;=AD299,(BF299+AD299)/2,BF299-BG299/BH299)))</f>
        <v>1</v>
      </c>
      <c r="BJ299" s="60" t="n">
        <f aca="false">$E$13/(1+BI299*(N299-1))</f>
        <v>1</v>
      </c>
      <c r="BK299" s="60" t="n">
        <f aca="false">$F$13/(1+BI299*(O299-1))</f>
        <v>0</v>
      </c>
      <c r="BL299" s="60" t="n">
        <f aca="false">$G$13/(1+BI299*(P299-1))</f>
        <v>0</v>
      </c>
      <c r="BM299" s="60" t="n">
        <f aca="false">$H$13/(1+BI299*(Q299-1))</f>
        <v>0</v>
      </c>
      <c r="BN299" s="60" t="n">
        <f aca="false">$I$13/(1+BI299*(R299-1))</f>
        <v>0</v>
      </c>
      <c r="BO299" s="60" t="n">
        <f aca="false">$J$13/(1+BI299*(S299-1))</f>
        <v>0</v>
      </c>
      <c r="BP299" s="60" t="n">
        <f aca="false">$K$13/(1+BI299*(T299-1))</f>
        <v>0</v>
      </c>
      <c r="BQ299" s="60" t="n">
        <f aca="false">$L$13/(1+BI299*(U299-1))</f>
        <v>0</v>
      </c>
      <c r="BR299" s="60" t="n">
        <f aca="false">$M$13/(1+BI299*(V299-1))</f>
        <v>0</v>
      </c>
      <c r="BS299" s="60" t="n">
        <f aca="false">$N$13/(1+BI299*(W299-1))</f>
        <v>0</v>
      </c>
      <c r="BT299" s="60" t="n">
        <f aca="false">$O$13/(1+BI299*(X299-1))</f>
        <v>0</v>
      </c>
      <c r="BU299" s="60" t="n">
        <f aca="false">$P$13/(1+BI299*(Y299-1))</f>
        <v>0</v>
      </c>
      <c r="BV299" s="60" t="n">
        <f aca="false">SUM(BJ299:BU299)</f>
        <v>1</v>
      </c>
      <c r="BW299" s="60" t="n">
        <f aca="false">SUMPRODUCT(N299:Y299,BJ299:BU299)</f>
        <v>1</v>
      </c>
      <c r="BX299" s="60" t="n">
        <f aca="false">BJ299/BV299</f>
        <v>1</v>
      </c>
      <c r="BY299" s="60" t="n">
        <f aca="false">BK299/BV299</f>
        <v>0</v>
      </c>
      <c r="BZ299" s="60" t="n">
        <f aca="false">BL299/BV299</f>
        <v>0</v>
      </c>
      <c r="CA299" s="60" t="n">
        <f aca="false">BM299/BV299</f>
        <v>0</v>
      </c>
      <c r="CB299" s="60" t="n">
        <f aca="false">BN299/BV299</f>
        <v>0</v>
      </c>
      <c r="CC299" s="60" t="n">
        <f aca="false">BO299/BV299</f>
        <v>0</v>
      </c>
      <c r="CD299" s="60" t="n">
        <f aca="false">BP299/BV299</f>
        <v>0</v>
      </c>
      <c r="CE299" s="60" t="n">
        <f aca="false">BQ299/BV299</f>
        <v>0</v>
      </c>
      <c r="CF299" s="60" t="n">
        <f aca="false">BR299/BV299</f>
        <v>0</v>
      </c>
      <c r="CG299" s="60" t="n">
        <f aca="false">BS299/BV299</f>
        <v>0</v>
      </c>
      <c r="CH299" s="60" t="n">
        <f aca="false">BT299/BV299</f>
        <v>0</v>
      </c>
      <c r="CI299" s="60" t="n">
        <f aca="false">BU299/BV299</f>
        <v>0</v>
      </c>
      <c r="CJ299" s="60" t="n">
        <f aca="false">N299*BJ299/BW299</f>
        <v>1</v>
      </c>
      <c r="CK299" s="60" t="n">
        <f aca="false">O299*BK299/BW299</f>
        <v>0</v>
      </c>
      <c r="CL299" s="60" t="n">
        <f aca="false">P299*BL299/BW299</f>
        <v>0</v>
      </c>
      <c r="CM299" s="60" t="n">
        <f aca="false">Q299*BM299/BW299</f>
        <v>0</v>
      </c>
      <c r="CN299" s="60" t="n">
        <f aca="false">R299*BN299/BW299</f>
        <v>0</v>
      </c>
      <c r="CO299" s="60" t="n">
        <f aca="false">S299*BO299/BW299</f>
        <v>0</v>
      </c>
      <c r="CP299" s="60" t="n">
        <f aca="false">T299*BP299/BW299</f>
        <v>0</v>
      </c>
      <c r="CQ299" s="60" t="n">
        <f aca="false">U299*BQ299/BW299</f>
        <v>0</v>
      </c>
      <c r="CR299" s="60" t="n">
        <f aca="false">V299*BR299/BW299</f>
        <v>0</v>
      </c>
      <c r="CS299" s="60" t="n">
        <f aca="false">W299*BS299/BW299</f>
        <v>0</v>
      </c>
      <c r="CT299" s="60" t="n">
        <f aca="false">X299*BT299/BW299</f>
        <v>0</v>
      </c>
      <c r="CU299" s="60" t="n">
        <f aca="false">Y299*BU299/BW299</f>
        <v>0</v>
      </c>
      <c r="CV299" s="60" t="n">
        <f aca="false">$E$28*SUMPRODUCT($E$31:$P$31,BX299:CI299,$E$28:$P$28)</f>
        <v>0.184416866619846</v>
      </c>
      <c r="CW299" s="60" t="n">
        <f aca="false">$F$28*SUMPRODUCT($E$32:$P$32,BX299:CI299,$E$28:$P$28)</f>
        <v>0</v>
      </c>
      <c r="CX299" s="60" t="n">
        <f aca="false">$G$28*SUMPRODUCT($E$33:$P$33,BX299:CI299,$E$28:$P$28)</f>
        <v>0</v>
      </c>
      <c r="CY299" s="60" t="n">
        <f aca="false">$H$28*SUMPRODUCT($E$34:$P$34,BX299:CI299,$E$28:$P$28)</f>
        <v>0</v>
      </c>
      <c r="CZ299" s="60" t="n">
        <f aca="false">$I$28*SUMPRODUCT($E$35:$P$35,BX299:CI299,$E$28:$P$28)</f>
        <v>0</v>
      </c>
      <c r="DA299" s="60" t="n">
        <f aca="false">$J$28*SUMPRODUCT($E$36:$P$36,BX299:CI299,$E$28:$P$28)</f>
        <v>0</v>
      </c>
      <c r="DB299" s="60" t="n">
        <f aca="false">$K$28*SUMPRODUCT($E$37:$P$37,BX299:CI299,$E$28:$P$28)</f>
        <v>0</v>
      </c>
      <c r="DC299" s="60" t="n">
        <f aca="false">$L$28*SUMPRODUCT($E$38:$P$38,BX299:CI299,$E$28:$P$28)</f>
        <v>0</v>
      </c>
      <c r="DD299" s="60" t="n">
        <f aca="false">$M$28*SUMPRODUCT($E$39:$P$39,BX299:CI299,$E$28:$P$28)</f>
        <v>0</v>
      </c>
      <c r="DE299" s="60" t="n">
        <f aca="false">$N$28*SUMPRODUCT($E$40:$P$40,BX299:CI299,$E$28:$P$28)</f>
        <v>0</v>
      </c>
      <c r="DF299" s="60" t="n">
        <f aca="false">$O$28*SUMPRODUCT($E$41:$P$41,BX299:CI299,$E$28:$P$28)</f>
        <v>0</v>
      </c>
      <c r="DG299" s="60" t="n">
        <f aca="false">$P$28*SUMPRODUCT($E$42:$P$42,BX299:CI299,$E$28:$P$28)</f>
        <v>0</v>
      </c>
      <c r="DH299" s="60" t="n">
        <f aca="false">SUMPRODUCT(BX299:CI299,CV299:DG299)</f>
        <v>0.184416866619846</v>
      </c>
      <c r="DI299" s="60" t="n">
        <f aca="false">SUMPRODUCT(BX299:CI299,$E$27:$P$27)</f>
        <v>2.67389635063809E-005</v>
      </c>
      <c r="DJ299" s="60" t="n">
        <f aca="false">DH299*$C$9/($C$10*$C$8)^2</f>
        <v>0.21776909410545</v>
      </c>
      <c r="DK299" s="60" t="n">
        <f aca="false">DI299*$C$9/($C$10*$C$8)</f>
        <v>0.0918845243259994</v>
      </c>
      <c r="DL299" s="60" t="n">
        <f aca="false">CHOOSE($C$7,-(1+DK299),-1,-(1-DK299))</f>
        <v>-0.908115475674001</v>
      </c>
      <c r="DM299" s="60" t="n">
        <f aca="false">CHOOSE($C$7,DJ299,DJ299-DK299-DK299^2,DJ299-3*DK299^2-2*DK299)</f>
        <v>0.00867174802160559</v>
      </c>
      <c r="DN299" s="60" t="n">
        <f aca="false">CHOOSE($C$7,-DJ299*DK299,-DJ299*DK299,-(DJ299*DK299-DK299^2-DK299^3))</f>
        <v>-0.0107910842936637</v>
      </c>
      <c r="DO299" s="60" t="n">
        <f aca="false">DM299-DL299^2/3</f>
        <v>-0.266219491031267</v>
      </c>
      <c r="DP299" s="60" t="n">
        <f aca="false">2*DL299^3/27-DL299*DM299/3+DN299</f>
        <v>-0.0636400988362784</v>
      </c>
      <c r="DQ299" s="60" t="n">
        <f aca="false">DP299^2/4+DO299^3/27</f>
        <v>0.000313710901361829</v>
      </c>
      <c r="DR299" s="60" t="n">
        <f aca="false">-DP299/2-IF(DP299&gt;=0,1,-1)*SQRT(MAX(DQ299,0))</f>
        <v>0.0495319352963236</v>
      </c>
      <c r="DS299" s="60" t="n">
        <f aca="false">SIGN(DR299)*ABS(DR299)^(1/3)</f>
        <v>0.367249967174439</v>
      </c>
      <c r="DT299" s="60" t="n">
        <f aca="false">IF(DS299=0,0,DS299-DO299/(3*DS299))</f>
        <v>0.60888329127384</v>
      </c>
      <c r="DU299" s="60" t="n">
        <f aca="false">2*SQRT(MAX(-DO299,0)/3)</f>
        <v>0.595784626668918</v>
      </c>
      <c r="DV299" s="60" t="n">
        <f aca="false">ACOS(IF(DU299=0,0,MAX(-1,MIN(1,3*DP299/(DO299*DU299)))))</f>
        <v>0</v>
      </c>
      <c r="DW299" s="60" t="n">
        <f aca="false">DU299*COS(DV299/3)</f>
        <v>0.595784626668918</v>
      </c>
      <c r="DX299" s="60" t="n">
        <f aca="false">IF(DQ299&lt;0,DW299,DT299)-DL299/3</f>
        <v>0.91158844983184</v>
      </c>
      <c r="DY299" s="60" t="n">
        <f aca="false">IFERROR((((DX299+DL299)*DX299+DM299)*DX299+DN299)/((3*DX299+2*DL299)*DX299+DM299),0)</f>
        <v>0</v>
      </c>
      <c r="DZ299" s="60" t="n">
        <f aca="false">IF(ABS(DY299)&lt;0.1*ABS(DX299),DX299-DY299,DX299)</f>
        <v>0.91158844983184</v>
      </c>
      <c r="EA299" s="60" t="n">
        <f aca="false">IFERROR((((DZ299+DL299)*DZ299+DM299)*DZ299+DN299)/((3*DZ299+2*DL299)*DZ299+DM299),0)</f>
        <v>0</v>
      </c>
      <c r="EB299" s="60" t="n">
        <f aca="false">IF(ABS(EA299)&lt;0.1*ABS(DZ299),DZ299-EA299,DZ299)</f>
        <v>0.91158844983184</v>
      </c>
      <c r="EC299" s="60" t="n">
        <f aca="false">-DN299/EB299</f>
        <v>0.0118376711504565</v>
      </c>
      <c r="ED299" s="60" t="n">
        <f aca="false">(DM299-EC299)/EB299</f>
        <v>-0.00347297415783941</v>
      </c>
      <c r="EE299" s="60" t="n">
        <f aca="false">ED299^2-4*EC299</f>
        <v>-0.0473386230523248</v>
      </c>
      <c r="EF299" s="60" t="n">
        <f aca="false">IF(EE299&gt;=0,(ED299+IF(ED299&gt;=0,1,-1)*SQRT(EE299))/2,0)</f>
        <v>0</v>
      </c>
      <c r="EG299" s="60" t="n">
        <f aca="false">IF(AND(EE299&gt;=0,EF299&lt;&gt;0),MIN(EF299,EC299/EF299),-1)</f>
        <v>-1</v>
      </c>
      <c r="EH299" s="60" t="n">
        <f aca="false">AND(EE299&gt;=0,EG299&gt;DK299,ABS(EB299-EG299)&gt;=0.00005*MAX(EB299,EG299))</f>
        <v>0</v>
      </c>
      <c r="EI299" s="60" t="n">
        <f aca="false">IF(EH299,IFERROR((((EG299+DL299)*EG299+DM299)*EG299+DN299)/((3*EG299+2*DL299)*EG299+DM299),0),0)</f>
        <v>0</v>
      </c>
      <c r="EJ299" s="60" t="n">
        <f aca="false">IF(ABS(EI299)&lt;0.1*ABS(EG299),EG299-EI299,EG299)</f>
        <v>-1</v>
      </c>
      <c r="EK299" s="60" t="n">
        <f aca="false">IF(EH299,IFERROR((((EJ299+DL299)*EJ299+DM299)*EJ299+DN299)/((3*EJ299+2*DL299)*EJ299+DM299),0),0)</f>
        <v>0</v>
      </c>
      <c r="EL299" s="60" t="n">
        <f aca="false">IF(ABS(EK299)&lt;0.1*ABS(EJ299),EJ299-EK299,EJ299)</f>
        <v>-1</v>
      </c>
      <c r="EM299" s="60" t="n">
        <f aca="false">IF(EH299,MAX(EB299,EL299),EB299)</f>
        <v>0.91158844983184</v>
      </c>
      <c r="EN299" s="60" t="n">
        <f aca="false">IF(EH299,MIN(EB299,EL299),-1)</f>
        <v>-1</v>
      </c>
      <c r="EO299" s="60" t="n">
        <f aca="false">CHOOSE($C$7,DJ299/EM299,DJ299/DK299*LN(1+DK299/EM299),DJ299/(2*SQRT(2)*DK299)*LN((EM299+(1+SQRT(2))*DK299)/(EM299+(1-SQRT(2))*DK299)))</f>
        <v>0.218240791233887</v>
      </c>
      <c r="EP299" s="60" t="n">
        <f aca="false">EM299-1-LN(EM299-DK299)-EO299</f>
        <v>-0.107840271021729</v>
      </c>
      <c r="EQ299" s="60" t="n">
        <f aca="false">IF(EH299,CHOOSE($C$7,DJ299/EN299,DJ299/DK299*LN(1+DK299/EN299),DJ299/(2*SQRT(2)*DK299)*LN((EN299+(1+SQRT(2))*DK299)/(EN299+(1-SQRT(2))*DK299))),0)</f>
        <v>0</v>
      </c>
      <c r="ER299" s="60" t="n">
        <f aca="false">IF(EH299,EN299-1-LN(EN299-DK299)-EQ299,0)</f>
        <v>0</v>
      </c>
      <c r="ES299" s="60" t="n">
        <f aca="false">AND(EH299,ER299&lt;EP299)</f>
        <v>0</v>
      </c>
      <c r="ET299" s="60" t="n">
        <f aca="false">IF(ES299,EN299,EM299)</f>
        <v>0.91158844983184</v>
      </c>
      <c r="EU299" s="60" t="n">
        <f aca="false">IF(ES299,EQ299,EO299)</f>
        <v>0.218240791233887</v>
      </c>
      <c r="EV299" s="60" t="n">
        <f aca="false">LN(ET299-DK299)</f>
        <v>-0.198812070380318</v>
      </c>
      <c r="EW299" s="60" t="n">
        <f aca="false">$E$27/DI299*(ET299-1)-EV299-EU299*(2*CV299/DH299-$E$27/DI299)</f>
        <v>-0.107840271021729</v>
      </c>
      <c r="EX299" s="60" t="n">
        <f aca="false">$F$27/DI299*(ET299-1)-EV299-EU299*(2*CW299/DH299-$F$27/DI299)</f>
        <v>0.198812070380318</v>
      </c>
      <c r="EY299" s="60" t="n">
        <f aca="false">$G$27/DI299*(ET299-1)-EV299-EU299*(2*CX299/DH299-$G$27/DI299)</f>
        <v>0.198812070380318</v>
      </c>
      <c r="EZ299" s="60" t="n">
        <f aca="false">$H$27/DI299*(ET299-1)-EV299-EU299*(2*CY299/DH299-$H$27/DI299)</f>
        <v>0.198812070380318</v>
      </c>
      <c r="FA299" s="60" t="n">
        <f aca="false">$I$27/DI299*(ET299-1)-EV299-EU299*(2*CZ299/DH299-$I$27/DI299)</f>
        <v>0.198812070380318</v>
      </c>
      <c r="FB299" s="60" t="n">
        <f aca="false">$J$27/DI299*(ET299-1)-EV299-EU299*(2*DA299/DH299-$J$27/DI299)</f>
        <v>0.198812070380318</v>
      </c>
      <c r="FC299" s="60" t="n">
        <f aca="false">$K$27/DI299*(ET299-1)-EV299-EU299*(2*DB299/DH299-$K$27/DI299)</f>
        <v>0.198812070380318</v>
      </c>
      <c r="FD299" s="60" t="n">
        <f aca="false">$L$27/DI299*(ET299-1)-EV299-EU299*(2*DC299/DH299-$L$27/DI299)</f>
        <v>0.198812070380318</v>
      </c>
      <c r="FE299" s="60" t="n">
        <f aca="false">$M$27/DI299*(ET299-1)-EV299-EU299*(2*DD299/DH299-$M$27/DI299)</f>
        <v>0.198812070380318</v>
      </c>
      <c r="FF299" s="60" t="n">
        <f aca="false">$N$27/DI299*(ET299-1)-EV299-EU299*(2*DE299/DH299-$N$27/DI299)</f>
        <v>0.198812070380318</v>
      </c>
      <c r="FG299" s="60" t="n">
        <f aca="false">$O$27/DI299*(ET299-1)-EV299-EU299*(2*DF299/DH299-$O$27/DI299)</f>
        <v>0.198812070380318</v>
      </c>
      <c r="FH299" s="60" t="n">
        <f aca="false">$P$27/DI299*(ET299-1)-EV299-EU299*(2*DG299/DH299-$P$27/DI299)</f>
        <v>0.198812070380318</v>
      </c>
      <c r="FI299" s="60" t="n">
        <f aca="false">DK299/ET299&gt;$C$22</f>
        <v>0</v>
      </c>
      <c r="FJ299" s="60" t="n">
        <f aca="false">$E$28*SUMPRODUCT($E$31:$P$31,CJ299:CU299,$E$28:$P$28)</f>
        <v>0.184416866619846</v>
      </c>
      <c r="FK299" s="60" t="n">
        <f aca="false">$F$28*SUMPRODUCT($E$32:$P$32,CJ299:CU299,$E$28:$P$28)</f>
        <v>0</v>
      </c>
      <c r="FL299" s="60" t="n">
        <f aca="false">$G$28*SUMPRODUCT($E$33:$P$33,CJ299:CU299,$E$28:$P$28)</f>
        <v>0</v>
      </c>
      <c r="FM299" s="60" t="n">
        <f aca="false">$H$28*SUMPRODUCT($E$34:$P$34,CJ299:CU299,$E$28:$P$28)</f>
        <v>0</v>
      </c>
      <c r="FN299" s="60" t="n">
        <f aca="false">$I$28*SUMPRODUCT($E$35:$P$35,CJ299:CU299,$E$28:$P$28)</f>
        <v>0</v>
      </c>
      <c r="FO299" s="60" t="n">
        <f aca="false">$J$28*SUMPRODUCT($E$36:$P$36,CJ299:CU299,$E$28:$P$28)</f>
        <v>0</v>
      </c>
      <c r="FP299" s="60" t="n">
        <f aca="false">$K$28*SUMPRODUCT($E$37:$P$37,CJ299:CU299,$E$28:$P$28)</f>
        <v>0</v>
      </c>
      <c r="FQ299" s="60" t="n">
        <f aca="false">$L$28*SUMPRODUCT($E$38:$P$38,CJ299:CU299,$E$28:$P$28)</f>
        <v>0</v>
      </c>
      <c r="FR299" s="60" t="n">
        <f aca="false">$M$28*SUMPRODUCT($E$39:$P$39,CJ299:CU299,$E$28:$P$28)</f>
        <v>0</v>
      </c>
      <c r="FS299" s="60" t="n">
        <f aca="false">$N$28*SUMPRODUCT($E$40:$P$40,CJ299:CU299,$E$28:$P$28)</f>
        <v>0</v>
      </c>
      <c r="FT299" s="60" t="n">
        <f aca="false">$O$28*SUMPRODUCT($E$41:$P$41,CJ299:CU299,$E$28:$P$28)</f>
        <v>0</v>
      </c>
      <c r="FU299" s="60" t="n">
        <f aca="false">$P$28*SUMPRODUCT($E$42:$P$42,CJ299:CU299,$E$28:$P$28)</f>
        <v>0</v>
      </c>
      <c r="FV299" s="60" t="n">
        <f aca="false">SUMPRODUCT(CJ299:CU299,FJ299:FU299)</f>
        <v>0.184416866619846</v>
      </c>
      <c r="FW299" s="60" t="n">
        <f aca="false">SUMPRODUCT(CJ299:CU299,$E$27:$P$27)</f>
        <v>2.67389635063809E-005</v>
      </c>
      <c r="FX299" s="60" t="n">
        <f aca="false">FV299*$C$9/($C$10*$C$8)^2</f>
        <v>0.21776909410545</v>
      </c>
      <c r="FY299" s="60" t="n">
        <f aca="false">FW299*$C$9/($C$10*$C$8)</f>
        <v>0.0918845243259994</v>
      </c>
      <c r="FZ299" s="60" t="n">
        <f aca="false">CHOOSE($C$7,-(1+FY299),-1,-(1-FY299))</f>
        <v>-0.908115475674001</v>
      </c>
      <c r="GA299" s="60" t="n">
        <f aca="false">CHOOSE($C$7,FX299,FX299-FY299-FY299^2,FX299-3*FY299^2-2*FY299)</f>
        <v>0.00867174802160559</v>
      </c>
      <c r="GB299" s="60" t="n">
        <f aca="false">CHOOSE($C$7,-FX299*FY299,-FX299*FY299,-(FX299*FY299-FY299^2-FY299^3))</f>
        <v>-0.0107910842936637</v>
      </c>
      <c r="GC299" s="60" t="n">
        <f aca="false">GA299-FZ299^2/3</f>
        <v>-0.266219491031267</v>
      </c>
      <c r="GD299" s="60" t="n">
        <f aca="false">2*FZ299^3/27-FZ299*GA299/3+GB299</f>
        <v>-0.0636400988362784</v>
      </c>
      <c r="GE299" s="60" t="n">
        <f aca="false">GD299^2/4+GC299^3/27</f>
        <v>0.000313710901361829</v>
      </c>
      <c r="GF299" s="60" t="n">
        <f aca="false">-GD299/2-IF(GD299&gt;=0,1,-1)*SQRT(MAX(GE299,0))</f>
        <v>0.0495319352963236</v>
      </c>
      <c r="GG299" s="60" t="n">
        <f aca="false">SIGN(GF299)*ABS(GF299)^(1/3)</f>
        <v>0.367249967174439</v>
      </c>
      <c r="GH299" s="60" t="n">
        <f aca="false">IF(GG299=0,0,GG299-GC299/(3*GG299))</f>
        <v>0.60888329127384</v>
      </c>
      <c r="GI299" s="60" t="n">
        <f aca="false">2*SQRT(MAX(-GC299,0)/3)</f>
        <v>0.595784626668918</v>
      </c>
      <c r="GJ299" s="60" t="n">
        <f aca="false">ACOS(IF(GI299=0,0,MAX(-1,MIN(1,3*GD299/(GC299*GI299)))))</f>
        <v>0</v>
      </c>
      <c r="GK299" s="60" t="n">
        <f aca="false">GI299*COS(GJ299/3)</f>
        <v>0.595784626668918</v>
      </c>
      <c r="GL299" s="60" t="n">
        <f aca="false">IF(GE299&lt;0,GK299,GH299)-FZ299/3</f>
        <v>0.91158844983184</v>
      </c>
      <c r="GM299" s="60" t="n">
        <f aca="false">IFERROR((((GL299+FZ299)*GL299+GA299)*GL299+GB299)/((3*GL299+2*FZ299)*GL299+GA299),0)</f>
        <v>0</v>
      </c>
      <c r="GN299" s="60" t="n">
        <f aca="false">IF(ABS(GM299)&lt;0.1*ABS(GL299),GL299-GM299,GL299)</f>
        <v>0.91158844983184</v>
      </c>
      <c r="GO299" s="60" t="n">
        <f aca="false">IFERROR((((GN299+FZ299)*GN299+GA299)*GN299+GB299)/((3*GN299+2*FZ299)*GN299+GA299),0)</f>
        <v>0</v>
      </c>
      <c r="GP299" s="60" t="n">
        <f aca="false">IF(ABS(GO299)&lt;0.1*ABS(GN299),GN299-GO299,GN299)</f>
        <v>0.91158844983184</v>
      </c>
      <c r="GQ299" s="60" t="n">
        <f aca="false">-GB299/GP299</f>
        <v>0.0118376711504565</v>
      </c>
      <c r="GR299" s="60" t="n">
        <f aca="false">(GA299-GQ299)/GP299</f>
        <v>-0.00347297415783941</v>
      </c>
      <c r="GS299" s="60" t="n">
        <f aca="false">GR299^2-4*GQ299</f>
        <v>-0.0473386230523248</v>
      </c>
      <c r="GT299" s="60" t="n">
        <f aca="false">IF(GS299&gt;=0,(GR299+IF(GR299&gt;=0,1,-1)*SQRT(GS299))/2,0)</f>
        <v>0</v>
      </c>
      <c r="GU299" s="60" t="n">
        <f aca="false">IF(AND(GS299&gt;=0,GT299&lt;&gt;0),MIN(GT299,GQ299/GT299),-1)</f>
        <v>-1</v>
      </c>
      <c r="GV299" s="60" t="n">
        <f aca="false">AND(GS299&gt;=0,GU299&gt;FY299,ABS(GP299-GU299)&gt;=0.00005*MAX(GP299,GU299))</f>
        <v>0</v>
      </c>
      <c r="GW299" s="60" t="n">
        <f aca="false">IF(GV299,IFERROR((((GU299+FZ299)*GU299+GA299)*GU299+GB299)/((3*GU299+2*FZ299)*GU299+GA299),0),0)</f>
        <v>0</v>
      </c>
      <c r="GX299" s="60" t="n">
        <f aca="false">IF(ABS(GW299)&lt;0.1*ABS(GU299),GU299-GW299,GU299)</f>
        <v>-1</v>
      </c>
      <c r="GY299" s="60" t="n">
        <f aca="false">IF(GV299,IFERROR((((GX299+FZ299)*GX299+GA299)*GX299+GB299)/((3*GX299+2*FZ299)*GX299+GA299),0),0)</f>
        <v>0</v>
      </c>
      <c r="GZ299" s="60" t="n">
        <f aca="false">IF(ABS(GY299)&lt;0.1*ABS(GX299),GX299-GY299,GX299)</f>
        <v>-1</v>
      </c>
      <c r="HA299" s="60" t="n">
        <f aca="false">IF(GV299,MAX(GP299,GZ299),GP299)</f>
        <v>0.91158844983184</v>
      </c>
      <c r="HB299" s="60" t="n">
        <f aca="false">IF(GV299,MIN(GP299,GZ299),-1)</f>
        <v>-1</v>
      </c>
      <c r="HC299" s="60" t="n">
        <f aca="false">CHOOSE($C$7,FX299/HA299,FX299/FY299*LN(1+FY299/HA299),FX299/(2*SQRT(2)*FY299)*LN((HA299+(1+SQRT(2))*FY299)/(HA299+(1-SQRT(2))*FY299)))</f>
        <v>0.218240791233887</v>
      </c>
      <c r="HD299" s="60" t="n">
        <f aca="false">HA299-1-LN(HA299-FY299)-HC299</f>
        <v>-0.107840271021729</v>
      </c>
      <c r="HE299" s="60" t="n">
        <f aca="false">IF(GV299,CHOOSE($C$7,FX299/HB299,FX299/FY299*LN(1+FY299/HB299),FX299/(2*SQRT(2)*FY299)*LN((HB299+(1+SQRT(2))*FY299)/(HB299+(1-SQRT(2))*FY299))),0)</f>
        <v>0</v>
      </c>
      <c r="HF299" s="60" t="n">
        <f aca="false">IF(GV299,HB299-1-LN(HB299-FY299)-HE299,0)</f>
        <v>0</v>
      </c>
      <c r="HG299" s="60" t="n">
        <f aca="false">AND(GV299,HF299&lt;HD299)</f>
        <v>0</v>
      </c>
      <c r="HH299" s="60" t="n">
        <f aca="false">IF(HG299,HB299,HA299)</f>
        <v>0.91158844983184</v>
      </c>
      <c r="HI299" s="60" t="n">
        <f aca="false">IF(HG299,HE299,HC299)</f>
        <v>0.218240791233887</v>
      </c>
      <c r="HJ299" s="60" t="n">
        <f aca="false">LN(HH299-FY299)</f>
        <v>-0.198812070380318</v>
      </c>
      <c r="HK299" s="60" t="n">
        <f aca="false">$E$27/FW299*(HH299-1)-HJ299-HI299*(2*FJ299/FV299-$E$27/FW299)</f>
        <v>-0.107840271021729</v>
      </c>
      <c r="HL299" s="60" t="n">
        <f aca="false">$F$27/FW299*(HH299-1)-HJ299-HI299*(2*FK299/FV299-$F$27/FW299)</f>
        <v>0.198812070380318</v>
      </c>
      <c r="HM299" s="60" t="n">
        <f aca="false">$G$27/FW299*(HH299-1)-HJ299-HI299*(2*FL299/FV299-$G$27/FW299)</f>
        <v>0.198812070380318</v>
      </c>
      <c r="HN299" s="60" t="n">
        <f aca="false">$H$27/FW299*(HH299-1)-HJ299-HI299*(2*FM299/FV299-$H$27/FW299)</f>
        <v>0.198812070380318</v>
      </c>
      <c r="HO299" s="60" t="n">
        <f aca="false">$I$27/FW299*(HH299-1)-HJ299-HI299*(2*FN299/FV299-$I$27/FW299)</f>
        <v>0.198812070380318</v>
      </c>
      <c r="HP299" s="60" t="n">
        <f aca="false">$J$27/FW299*(HH299-1)-HJ299-HI299*(2*FO299/FV299-$J$27/FW299)</f>
        <v>0.198812070380318</v>
      </c>
      <c r="HQ299" s="60" t="n">
        <f aca="false">$K$27/FW299*(HH299-1)-HJ299-HI299*(2*FP299/FV299-$K$27/FW299)</f>
        <v>0.198812070380318</v>
      </c>
      <c r="HR299" s="60" t="n">
        <f aca="false">$L$27/FW299*(HH299-1)-HJ299-HI299*(2*FQ299/FV299-$L$27/FW299)</f>
        <v>0.198812070380318</v>
      </c>
      <c r="HS299" s="60" t="n">
        <f aca="false">$M$27/FW299*(HH299-1)-HJ299-HI299*(2*FR299/FV299-$M$27/FW299)</f>
        <v>0.198812070380318</v>
      </c>
      <c r="HT299" s="60" t="n">
        <f aca="false">$N$27/FW299*(HH299-1)-HJ299-HI299*(2*FS299/FV299-$N$27/FW299)</f>
        <v>0.198812070380318</v>
      </c>
      <c r="HU299" s="60" t="n">
        <f aca="false">$O$27/FW299*(HH299-1)-HJ299-HI299*(2*FT299/FV299-$O$27/FW299)</f>
        <v>0.198812070380318</v>
      </c>
      <c r="HV299" s="60" t="n">
        <f aca="false">$P$27/FW299*(HH299-1)-HJ299-HI299*(2*FU299/FV299-$P$27/FW299)</f>
        <v>0.198812070380318</v>
      </c>
      <c r="HW299" s="60" t="n">
        <f aca="false">FY299/HH299&gt;$C$22</f>
        <v>0</v>
      </c>
      <c r="HX299" s="60" t="n">
        <f aca="false">IF($E$13&gt;0,MAX(-300,MIN(300,EW299-HK299)),0)</f>
        <v>0</v>
      </c>
      <c r="HY299" s="60" t="n">
        <f aca="false">IF($F$13&gt;0,MAX(-300,MIN(300,EX299-HL299)),0)</f>
        <v>0</v>
      </c>
      <c r="HZ299" s="60" t="n">
        <f aca="false">IF($G$13&gt;0,MAX(-300,MIN(300,EY299-HM299)),0)</f>
        <v>0</v>
      </c>
      <c r="IA299" s="60" t="n">
        <f aca="false">IF($H$13&gt;0,MAX(-300,MIN(300,EZ299-HN299)),0)</f>
        <v>0</v>
      </c>
      <c r="IB299" s="60" t="n">
        <f aca="false">IF($I$13&gt;0,MAX(-300,MIN(300,FA299-HO299)),0)</f>
        <v>0</v>
      </c>
      <c r="IC299" s="60" t="n">
        <f aca="false">IF($J$13&gt;0,MAX(-300,MIN(300,FB299-HP299)),0)</f>
        <v>0</v>
      </c>
      <c r="ID299" s="60" t="n">
        <f aca="false">IF($K$13&gt;0,MAX(-300,MIN(300,FC299-HQ299)),0)</f>
        <v>0</v>
      </c>
      <c r="IE299" s="60" t="n">
        <f aca="false">IF($L$13&gt;0,MAX(-300,MIN(300,FD299-HR299)),0)</f>
        <v>0</v>
      </c>
      <c r="IF299" s="60" t="n">
        <f aca="false">IF($M$13&gt;0,MAX(-300,MIN(300,FE299-HS299)),0)</f>
        <v>0</v>
      </c>
      <c r="IG299" s="60" t="n">
        <f aca="false">IF($N$13&gt;0,MAX(-300,MIN(300,FF299-HT299)),0)</f>
        <v>0</v>
      </c>
      <c r="IH299" s="60" t="n">
        <f aca="false">IF($O$13&gt;0,MAX(-300,MIN(300,FG299-HU299)),0)</f>
        <v>0</v>
      </c>
      <c r="II299" s="60" t="n">
        <f aca="false">IF($P$13&gt;0,MAX(-300,MIN(300,FH299-HV299)),0)</f>
        <v>0</v>
      </c>
      <c r="IJ299" s="60" t="n">
        <f aca="false">SUMXMY2(HX299:II299,B299:M299)</f>
        <v>0</v>
      </c>
      <c r="IK299" s="60" t="n">
        <f aca="false">SUMSQ(B299:M299)</f>
        <v>0</v>
      </c>
    </row>
    <row r="300" customFormat="false" ht="15" hidden="false" customHeight="false" outlineLevel="0" collapsed="false">
      <c r="A300" s="59" t="n">
        <v>3</v>
      </c>
      <c r="B300" s="60" t="n">
        <f aca="false">HX299</f>
        <v>0</v>
      </c>
      <c r="C300" s="60" t="n">
        <f aca="false">HY299</f>
        <v>0</v>
      </c>
      <c r="D300" s="60" t="n">
        <f aca="false">HZ299</f>
        <v>0</v>
      </c>
      <c r="E300" s="60" t="n">
        <f aca="false">IA299</f>
        <v>0</v>
      </c>
      <c r="F300" s="60" t="n">
        <f aca="false">IB299</f>
        <v>0</v>
      </c>
      <c r="G300" s="60" t="n">
        <f aca="false">IC299</f>
        <v>0</v>
      </c>
      <c r="H300" s="60" t="n">
        <f aca="false">ID299</f>
        <v>0</v>
      </c>
      <c r="I300" s="60" t="n">
        <f aca="false">IE299</f>
        <v>0</v>
      </c>
      <c r="J300" s="60" t="n">
        <f aca="false">IF299</f>
        <v>0</v>
      </c>
      <c r="K300" s="60" t="n">
        <f aca="false">IG299</f>
        <v>0</v>
      </c>
      <c r="L300" s="60" t="n">
        <f aca="false">IH299</f>
        <v>0</v>
      </c>
      <c r="M300" s="60" t="n">
        <f aca="false">II299</f>
        <v>0</v>
      </c>
      <c r="N300" s="60" t="n">
        <f aca="false">EXP(B300)</f>
        <v>1</v>
      </c>
      <c r="O300" s="60" t="n">
        <f aca="false">EXP(C300)</f>
        <v>1</v>
      </c>
      <c r="P300" s="60" t="n">
        <f aca="false">EXP(D300)</f>
        <v>1</v>
      </c>
      <c r="Q300" s="60" t="n">
        <f aca="false">EXP(E300)</f>
        <v>1</v>
      </c>
      <c r="R300" s="60" t="n">
        <f aca="false">EXP(F300)</f>
        <v>1</v>
      </c>
      <c r="S300" s="60" t="n">
        <f aca="false">EXP(G300)</f>
        <v>1</v>
      </c>
      <c r="T300" s="60" t="n">
        <f aca="false">EXP(H300)</f>
        <v>1</v>
      </c>
      <c r="U300" s="60" t="n">
        <f aca="false">EXP(I300)</f>
        <v>1</v>
      </c>
      <c r="V300" s="60" t="n">
        <f aca="false">EXP(J300)</f>
        <v>1</v>
      </c>
      <c r="W300" s="60" t="n">
        <f aca="false">EXP(K300)</f>
        <v>1</v>
      </c>
      <c r="X300" s="60" t="n">
        <f aca="false">EXP(L300)</f>
        <v>1</v>
      </c>
      <c r="Y300" s="60" t="n">
        <f aca="false">EXP(M300)</f>
        <v>1</v>
      </c>
      <c r="Z300" s="60" t="n">
        <f aca="false">MAX(N300:Y300)</f>
        <v>1</v>
      </c>
      <c r="AA300" s="60" t="n">
        <f aca="false">MIN(N300:Y300)</f>
        <v>1</v>
      </c>
      <c r="AB300" s="60" t="n">
        <f aca="false">AND(Z300&gt;1,AA300&lt;1)</f>
        <v>0</v>
      </c>
      <c r="AC300" s="60" t="n">
        <f aca="false">IF(AB300,1/(1-Z300),0)</f>
        <v>0</v>
      </c>
      <c r="AD300" s="60" t="n">
        <f aca="false">IF(AB300,1/(1-AA300),1)</f>
        <v>1</v>
      </c>
      <c r="AE300" s="60" t="n">
        <f aca="false">IF(AB300,MIN(MAX(BI299,AC300+0.000000001*(AD300-AC300)),AD300-0.000000001*(AD300-AC300)),IF(AA300&gt;=1,1,0))</f>
        <v>1</v>
      </c>
      <c r="AF300" s="60" t="n">
        <f aca="false">SUMPRODUCT($E$13:$P$13*(N300:Y300-1)/(1+AE300*(N300:Y300-1)))</f>
        <v>0</v>
      </c>
      <c r="AG300" s="60" t="n">
        <f aca="false">-SUMPRODUCT($E$13:$P$13*(N300:Y300-1)^2/(1+AE300*(N300:Y300-1))^2)</f>
        <v>-0</v>
      </c>
      <c r="AH300" s="60" t="n">
        <f aca="false">IF(OR(NOT(AB300),AG300=0),AE300,IF(AE300-AF300/AG300&lt;=AC300,(AE300+AC300)/2,IF(AE300-AF300/AG300&gt;=AD300,(AE300+AD300)/2,AE300-AF300/AG300)))</f>
        <v>1</v>
      </c>
      <c r="AI300" s="60" t="n">
        <f aca="false">SUMPRODUCT($E$13:$P$13*(N300:Y300-1)/(1+AH300*(N300:Y300-1)))</f>
        <v>0</v>
      </c>
      <c r="AJ300" s="60" t="n">
        <f aca="false">-SUMPRODUCT($E$13:$P$13*(N300:Y300-1)^2/(1+AH300*(N300:Y300-1))^2)</f>
        <v>-0</v>
      </c>
      <c r="AK300" s="60" t="n">
        <f aca="false">IF(OR(NOT(AB300),AJ300=0),AH300,IF(AH300-AI300/AJ300&lt;=AC300,(AH300+AC300)/2,IF(AH300-AI300/AJ300&gt;=AD300,(AH300+AD300)/2,AH300-AI300/AJ300)))</f>
        <v>1</v>
      </c>
      <c r="AL300" s="60" t="n">
        <f aca="false">SUMPRODUCT($E$13:$P$13*(N300:Y300-1)/(1+AK300*(N300:Y300-1)))</f>
        <v>0</v>
      </c>
      <c r="AM300" s="60" t="n">
        <f aca="false">-SUMPRODUCT($E$13:$P$13*(N300:Y300-1)^2/(1+AK300*(N300:Y300-1))^2)</f>
        <v>-0</v>
      </c>
      <c r="AN300" s="60" t="n">
        <f aca="false">IF(OR(NOT(AB300),AM300=0),AK300,IF(AK300-AL300/AM300&lt;=AC300,(AK300+AC300)/2,IF(AK300-AL300/AM300&gt;=AD300,(AK300+AD300)/2,AK300-AL300/AM300)))</f>
        <v>1</v>
      </c>
      <c r="AO300" s="60" t="n">
        <f aca="false">SUMPRODUCT($E$13:$P$13*(N300:Y300-1)/(1+AN300*(N300:Y300-1)))</f>
        <v>0</v>
      </c>
      <c r="AP300" s="60" t="n">
        <f aca="false">-SUMPRODUCT($E$13:$P$13*(N300:Y300-1)^2/(1+AN300*(N300:Y300-1))^2)</f>
        <v>-0</v>
      </c>
      <c r="AQ300" s="60" t="n">
        <f aca="false">IF(OR(NOT(AB300),AP300=0),AN300,IF(AN300-AO300/AP300&lt;=AC300,(AN300+AC300)/2,IF(AN300-AO300/AP300&gt;=AD300,(AN300+AD300)/2,AN300-AO300/AP300)))</f>
        <v>1</v>
      </c>
      <c r="AR300" s="60" t="n">
        <f aca="false">SUMPRODUCT($E$13:$P$13*(N300:Y300-1)/(1+AQ300*(N300:Y300-1)))</f>
        <v>0</v>
      </c>
      <c r="AS300" s="60" t="n">
        <f aca="false">-SUMPRODUCT($E$13:$P$13*(N300:Y300-1)^2/(1+AQ300*(N300:Y300-1))^2)</f>
        <v>-0</v>
      </c>
      <c r="AT300" s="60" t="n">
        <f aca="false">IF(OR(NOT(AB300),AS300=0),AQ300,IF(AQ300-AR300/AS300&lt;=AC300,(AQ300+AC300)/2,IF(AQ300-AR300/AS300&gt;=AD300,(AQ300+AD300)/2,AQ300-AR300/AS300)))</f>
        <v>1</v>
      </c>
      <c r="AU300" s="60" t="n">
        <f aca="false">SUMPRODUCT($E$13:$P$13*(N300:Y300-1)/(1+AT300*(N300:Y300-1)))</f>
        <v>0</v>
      </c>
      <c r="AV300" s="60" t="n">
        <f aca="false">-SUMPRODUCT($E$13:$P$13*(N300:Y300-1)^2/(1+AT300*(N300:Y300-1))^2)</f>
        <v>-0</v>
      </c>
      <c r="AW300" s="60" t="n">
        <f aca="false">IF(OR(NOT(AB300),AV300=0),AT300,IF(AT300-AU300/AV300&lt;=AC300,(AT300+AC300)/2,IF(AT300-AU300/AV300&gt;=AD300,(AT300+AD300)/2,AT300-AU300/AV300)))</f>
        <v>1</v>
      </c>
      <c r="AX300" s="60" t="n">
        <f aca="false">SUMPRODUCT($E$13:$P$13*(N300:Y300-1)/(1+AW300*(N300:Y300-1)))</f>
        <v>0</v>
      </c>
      <c r="AY300" s="60" t="n">
        <f aca="false">-SUMPRODUCT($E$13:$P$13*(N300:Y300-1)^2/(1+AW300*(N300:Y300-1))^2)</f>
        <v>-0</v>
      </c>
      <c r="AZ300" s="60" t="n">
        <f aca="false">IF(OR(NOT(AB300),AY300=0),AW300,IF(AW300-AX300/AY300&lt;=AC300,(AW300+AC300)/2,IF(AW300-AX300/AY300&gt;=AD300,(AW300+AD300)/2,AW300-AX300/AY300)))</f>
        <v>1</v>
      </c>
      <c r="BA300" s="60" t="n">
        <f aca="false">SUMPRODUCT($E$13:$P$13*(N300:Y300-1)/(1+AZ300*(N300:Y300-1)))</f>
        <v>0</v>
      </c>
      <c r="BB300" s="60" t="n">
        <f aca="false">-SUMPRODUCT($E$13:$P$13*(N300:Y300-1)^2/(1+AZ300*(N300:Y300-1))^2)</f>
        <v>-0</v>
      </c>
      <c r="BC300" s="60" t="n">
        <f aca="false">IF(OR(NOT(AB300),BB300=0),AZ300,IF(AZ300-BA300/BB300&lt;=AC300,(AZ300+AC300)/2,IF(AZ300-BA300/BB300&gt;=AD300,(AZ300+AD300)/2,AZ300-BA300/BB300)))</f>
        <v>1</v>
      </c>
      <c r="BD300" s="60" t="n">
        <f aca="false">SUMPRODUCT($E$13:$P$13*(N300:Y300-1)/(1+BC300*(N300:Y300-1)))</f>
        <v>0</v>
      </c>
      <c r="BE300" s="60" t="n">
        <f aca="false">-SUMPRODUCT($E$13:$P$13*(N300:Y300-1)^2/(1+BC300*(N300:Y300-1))^2)</f>
        <v>-0</v>
      </c>
      <c r="BF300" s="60" t="n">
        <f aca="false">IF(OR(NOT(AB300),BE300=0),BC300,IF(BC300-BD300/BE300&lt;=AC300,(BC300+AC300)/2,IF(BC300-BD300/BE300&gt;=AD300,(BC300+AD300)/2,BC300-BD300/BE300)))</f>
        <v>1</v>
      </c>
      <c r="BG300" s="60" t="n">
        <f aca="false">SUMPRODUCT($E$13:$P$13*(N300:Y300-1)/(1+BF300*(N300:Y300-1)))</f>
        <v>0</v>
      </c>
      <c r="BH300" s="60" t="n">
        <f aca="false">-SUMPRODUCT($E$13:$P$13*(N300:Y300-1)^2/(1+BF300*(N300:Y300-1))^2)</f>
        <v>-0</v>
      </c>
      <c r="BI300" s="60" t="n">
        <f aca="false">IF(OR(NOT(AB300),BH300=0),BF300,IF(BF300-BG300/BH300&lt;=AC300,(BF300+AC300)/2,IF(BF300-BG300/BH300&gt;=AD300,(BF300+AD300)/2,BF300-BG300/BH300)))</f>
        <v>1</v>
      </c>
      <c r="BJ300" s="60" t="n">
        <f aca="false">$E$13/(1+BI300*(N300-1))</f>
        <v>1</v>
      </c>
      <c r="BK300" s="60" t="n">
        <f aca="false">$F$13/(1+BI300*(O300-1))</f>
        <v>0</v>
      </c>
      <c r="BL300" s="60" t="n">
        <f aca="false">$G$13/(1+BI300*(P300-1))</f>
        <v>0</v>
      </c>
      <c r="BM300" s="60" t="n">
        <f aca="false">$H$13/(1+BI300*(Q300-1))</f>
        <v>0</v>
      </c>
      <c r="BN300" s="60" t="n">
        <f aca="false">$I$13/(1+BI300*(R300-1))</f>
        <v>0</v>
      </c>
      <c r="BO300" s="60" t="n">
        <f aca="false">$J$13/(1+BI300*(S300-1))</f>
        <v>0</v>
      </c>
      <c r="BP300" s="60" t="n">
        <f aca="false">$K$13/(1+BI300*(T300-1))</f>
        <v>0</v>
      </c>
      <c r="BQ300" s="60" t="n">
        <f aca="false">$L$13/(1+BI300*(U300-1))</f>
        <v>0</v>
      </c>
      <c r="BR300" s="60" t="n">
        <f aca="false">$M$13/(1+BI300*(V300-1))</f>
        <v>0</v>
      </c>
      <c r="BS300" s="60" t="n">
        <f aca="false">$N$13/(1+BI300*(W300-1))</f>
        <v>0</v>
      </c>
      <c r="BT300" s="60" t="n">
        <f aca="false">$O$13/(1+BI300*(X300-1))</f>
        <v>0</v>
      </c>
      <c r="BU300" s="60" t="n">
        <f aca="false">$P$13/(1+BI300*(Y300-1))</f>
        <v>0</v>
      </c>
      <c r="BV300" s="60" t="n">
        <f aca="false">SUM(BJ300:BU300)</f>
        <v>1</v>
      </c>
      <c r="BW300" s="60" t="n">
        <f aca="false">SUMPRODUCT(N300:Y300,BJ300:BU300)</f>
        <v>1</v>
      </c>
      <c r="BX300" s="60" t="n">
        <f aca="false">BJ300/BV300</f>
        <v>1</v>
      </c>
      <c r="BY300" s="60" t="n">
        <f aca="false">BK300/BV300</f>
        <v>0</v>
      </c>
      <c r="BZ300" s="60" t="n">
        <f aca="false">BL300/BV300</f>
        <v>0</v>
      </c>
      <c r="CA300" s="60" t="n">
        <f aca="false">BM300/BV300</f>
        <v>0</v>
      </c>
      <c r="CB300" s="60" t="n">
        <f aca="false">BN300/BV300</f>
        <v>0</v>
      </c>
      <c r="CC300" s="60" t="n">
        <f aca="false">BO300/BV300</f>
        <v>0</v>
      </c>
      <c r="CD300" s="60" t="n">
        <f aca="false">BP300/BV300</f>
        <v>0</v>
      </c>
      <c r="CE300" s="60" t="n">
        <f aca="false">BQ300/BV300</f>
        <v>0</v>
      </c>
      <c r="CF300" s="60" t="n">
        <f aca="false">BR300/BV300</f>
        <v>0</v>
      </c>
      <c r="CG300" s="60" t="n">
        <f aca="false">BS300/BV300</f>
        <v>0</v>
      </c>
      <c r="CH300" s="60" t="n">
        <f aca="false">BT300/BV300</f>
        <v>0</v>
      </c>
      <c r="CI300" s="60" t="n">
        <f aca="false">BU300/BV300</f>
        <v>0</v>
      </c>
      <c r="CJ300" s="60" t="n">
        <f aca="false">N300*BJ300/BW300</f>
        <v>1</v>
      </c>
      <c r="CK300" s="60" t="n">
        <f aca="false">O300*BK300/BW300</f>
        <v>0</v>
      </c>
      <c r="CL300" s="60" t="n">
        <f aca="false">P300*BL300/BW300</f>
        <v>0</v>
      </c>
      <c r="CM300" s="60" t="n">
        <f aca="false">Q300*BM300/BW300</f>
        <v>0</v>
      </c>
      <c r="CN300" s="60" t="n">
        <f aca="false">R300*BN300/BW300</f>
        <v>0</v>
      </c>
      <c r="CO300" s="60" t="n">
        <f aca="false">S300*BO300/BW300</f>
        <v>0</v>
      </c>
      <c r="CP300" s="60" t="n">
        <f aca="false">T300*BP300/BW300</f>
        <v>0</v>
      </c>
      <c r="CQ300" s="60" t="n">
        <f aca="false">U300*BQ300/BW300</f>
        <v>0</v>
      </c>
      <c r="CR300" s="60" t="n">
        <f aca="false">V300*BR300/BW300</f>
        <v>0</v>
      </c>
      <c r="CS300" s="60" t="n">
        <f aca="false">W300*BS300/BW300</f>
        <v>0</v>
      </c>
      <c r="CT300" s="60" t="n">
        <f aca="false">X300*BT300/BW300</f>
        <v>0</v>
      </c>
      <c r="CU300" s="60" t="n">
        <f aca="false">Y300*BU300/BW300</f>
        <v>0</v>
      </c>
      <c r="CV300" s="60" t="n">
        <f aca="false">$E$28*SUMPRODUCT($E$31:$P$31,BX300:CI300,$E$28:$P$28)</f>
        <v>0.184416866619846</v>
      </c>
      <c r="CW300" s="60" t="n">
        <f aca="false">$F$28*SUMPRODUCT($E$32:$P$32,BX300:CI300,$E$28:$P$28)</f>
        <v>0</v>
      </c>
      <c r="CX300" s="60" t="n">
        <f aca="false">$G$28*SUMPRODUCT($E$33:$P$33,BX300:CI300,$E$28:$P$28)</f>
        <v>0</v>
      </c>
      <c r="CY300" s="60" t="n">
        <f aca="false">$H$28*SUMPRODUCT($E$34:$P$34,BX300:CI300,$E$28:$P$28)</f>
        <v>0</v>
      </c>
      <c r="CZ300" s="60" t="n">
        <f aca="false">$I$28*SUMPRODUCT($E$35:$P$35,BX300:CI300,$E$28:$P$28)</f>
        <v>0</v>
      </c>
      <c r="DA300" s="60" t="n">
        <f aca="false">$J$28*SUMPRODUCT($E$36:$P$36,BX300:CI300,$E$28:$P$28)</f>
        <v>0</v>
      </c>
      <c r="DB300" s="60" t="n">
        <f aca="false">$K$28*SUMPRODUCT($E$37:$P$37,BX300:CI300,$E$28:$P$28)</f>
        <v>0</v>
      </c>
      <c r="DC300" s="60" t="n">
        <f aca="false">$L$28*SUMPRODUCT($E$38:$P$38,BX300:CI300,$E$28:$P$28)</f>
        <v>0</v>
      </c>
      <c r="DD300" s="60" t="n">
        <f aca="false">$M$28*SUMPRODUCT($E$39:$P$39,BX300:CI300,$E$28:$P$28)</f>
        <v>0</v>
      </c>
      <c r="DE300" s="60" t="n">
        <f aca="false">$N$28*SUMPRODUCT($E$40:$P$40,BX300:CI300,$E$28:$P$28)</f>
        <v>0</v>
      </c>
      <c r="DF300" s="60" t="n">
        <f aca="false">$O$28*SUMPRODUCT($E$41:$P$41,BX300:CI300,$E$28:$P$28)</f>
        <v>0</v>
      </c>
      <c r="DG300" s="60" t="n">
        <f aca="false">$P$28*SUMPRODUCT($E$42:$P$42,BX300:CI300,$E$28:$P$28)</f>
        <v>0</v>
      </c>
      <c r="DH300" s="60" t="n">
        <f aca="false">SUMPRODUCT(BX300:CI300,CV300:DG300)</f>
        <v>0.184416866619846</v>
      </c>
      <c r="DI300" s="60" t="n">
        <f aca="false">SUMPRODUCT(BX300:CI300,$E$27:$P$27)</f>
        <v>2.67389635063809E-005</v>
      </c>
      <c r="DJ300" s="60" t="n">
        <f aca="false">DH300*$C$9/($C$10*$C$8)^2</f>
        <v>0.21776909410545</v>
      </c>
      <c r="DK300" s="60" t="n">
        <f aca="false">DI300*$C$9/($C$10*$C$8)</f>
        <v>0.0918845243259994</v>
      </c>
      <c r="DL300" s="60" t="n">
        <f aca="false">CHOOSE($C$7,-(1+DK300),-1,-(1-DK300))</f>
        <v>-0.908115475674001</v>
      </c>
      <c r="DM300" s="60" t="n">
        <f aca="false">CHOOSE($C$7,DJ300,DJ300-DK300-DK300^2,DJ300-3*DK300^2-2*DK300)</f>
        <v>0.00867174802160559</v>
      </c>
      <c r="DN300" s="60" t="n">
        <f aca="false">CHOOSE($C$7,-DJ300*DK300,-DJ300*DK300,-(DJ300*DK300-DK300^2-DK300^3))</f>
        <v>-0.0107910842936637</v>
      </c>
      <c r="DO300" s="60" t="n">
        <f aca="false">DM300-DL300^2/3</f>
        <v>-0.266219491031267</v>
      </c>
      <c r="DP300" s="60" t="n">
        <f aca="false">2*DL300^3/27-DL300*DM300/3+DN300</f>
        <v>-0.0636400988362784</v>
      </c>
      <c r="DQ300" s="60" t="n">
        <f aca="false">DP300^2/4+DO300^3/27</f>
        <v>0.000313710901361829</v>
      </c>
      <c r="DR300" s="60" t="n">
        <f aca="false">-DP300/2-IF(DP300&gt;=0,1,-1)*SQRT(MAX(DQ300,0))</f>
        <v>0.0495319352963236</v>
      </c>
      <c r="DS300" s="60" t="n">
        <f aca="false">SIGN(DR300)*ABS(DR300)^(1/3)</f>
        <v>0.367249967174439</v>
      </c>
      <c r="DT300" s="60" t="n">
        <f aca="false">IF(DS300=0,0,DS300-DO300/(3*DS300))</f>
        <v>0.60888329127384</v>
      </c>
      <c r="DU300" s="60" t="n">
        <f aca="false">2*SQRT(MAX(-DO300,0)/3)</f>
        <v>0.595784626668918</v>
      </c>
      <c r="DV300" s="60" t="n">
        <f aca="false">ACOS(IF(DU300=0,0,MAX(-1,MIN(1,3*DP300/(DO300*DU300)))))</f>
        <v>0</v>
      </c>
      <c r="DW300" s="60" t="n">
        <f aca="false">DU300*COS(DV300/3)</f>
        <v>0.595784626668918</v>
      </c>
      <c r="DX300" s="60" t="n">
        <f aca="false">IF(DQ300&lt;0,DW300,DT300)-DL300/3</f>
        <v>0.91158844983184</v>
      </c>
      <c r="DY300" s="60" t="n">
        <f aca="false">IFERROR((((DX300+DL300)*DX300+DM300)*DX300+DN300)/((3*DX300+2*DL300)*DX300+DM300),0)</f>
        <v>0</v>
      </c>
      <c r="DZ300" s="60" t="n">
        <f aca="false">IF(ABS(DY300)&lt;0.1*ABS(DX300),DX300-DY300,DX300)</f>
        <v>0.91158844983184</v>
      </c>
      <c r="EA300" s="60" t="n">
        <f aca="false">IFERROR((((DZ300+DL300)*DZ300+DM300)*DZ300+DN300)/((3*DZ300+2*DL300)*DZ300+DM300),0)</f>
        <v>0</v>
      </c>
      <c r="EB300" s="60" t="n">
        <f aca="false">IF(ABS(EA300)&lt;0.1*ABS(DZ300),DZ300-EA300,DZ300)</f>
        <v>0.91158844983184</v>
      </c>
      <c r="EC300" s="60" t="n">
        <f aca="false">-DN300/EB300</f>
        <v>0.0118376711504565</v>
      </c>
      <c r="ED300" s="60" t="n">
        <f aca="false">(DM300-EC300)/EB300</f>
        <v>-0.00347297415783941</v>
      </c>
      <c r="EE300" s="60" t="n">
        <f aca="false">ED300^2-4*EC300</f>
        <v>-0.0473386230523248</v>
      </c>
      <c r="EF300" s="60" t="n">
        <f aca="false">IF(EE300&gt;=0,(ED300+IF(ED300&gt;=0,1,-1)*SQRT(EE300))/2,0)</f>
        <v>0</v>
      </c>
      <c r="EG300" s="60" t="n">
        <f aca="false">IF(AND(EE300&gt;=0,EF300&lt;&gt;0),MIN(EF300,EC300/EF300),-1)</f>
        <v>-1</v>
      </c>
      <c r="EH300" s="60" t="n">
        <f aca="false">AND(EE300&gt;=0,EG300&gt;DK300,ABS(EB300-EG300)&gt;=0.00005*MAX(EB300,EG300))</f>
        <v>0</v>
      </c>
      <c r="EI300" s="60" t="n">
        <f aca="false">IF(EH300,IFERROR((((EG300+DL300)*EG300+DM300)*EG300+DN300)/((3*EG300+2*DL300)*EG300+DM300),0),0)</f>
        <v>0</v>
      </c>
      <c r="EJ300" s="60" t="n">
        <f aca="false">IF(ABS(EI300)&lt;0.1*ABS(EG300),EG300-EI300,EG300)</f>
        <v>-1</v>
      </c>
      <c r="EK300" s="60" t="n">
        <f aca="false">IF(EH300,IFERROR((((EJ300+DL300)*EJ300+DM300)*EJ300+DN300)/((3*EJ300+2*DL300)*EJ300+DM300),0),0)</f>
        <v>0</v>
      </c>
      <c r="EL300" s="60" t="n">
        <f aca="false">IF(ABS(EK300)&lt;0.1*ABS(EJ300),EJ300-EK300,EJ300)</f>
        <v>-1</v>
      </c>
      <c r="EM300" s="60" t="n">
        <f aca="false">IF(EH300,MAX(EB300,EL300),EB300)</f>
        <v>0.91158844983184</v>
      </c>
      <c r="EN300" s="60" t="n">
        <f aca="false">IF(EH300,MIN(EB300,EL300),-1)</f>
        <v>-1</v>
      </c>
      <c r="EO300" s="60" t="n">
        <f aca="false">CHOOSE($C$7,DJ300/EM300,DJ300/DK300*LN(1+DK300/EM300),DJ300/(2*SQRT(2)*DK300)*LN((EM300+(1+SQRT(2))*DK300)/(EM300+(1-SQRT(2))*DK300)))</f>
        <v>0.218240791233887</v>
      </c>
      <c r="EP300" s="60" t="n">
        <f aca="false">EM300-1-LN(EM300-DK300)-EO300</f>
        <v>-0.107840271021729</v>
      </c>
      <c r="EQ300" s="60" t="n">
        <f aca="false">IF(EH300,CHOOSE($C$7,DJ300/EN300,DJ300/DK300*LN(1+DK300/EN300),DJ300/(2*SQRT(2)*DK300)*LN((EN300+(1+SQRT(2))*DK300)/(EN300+(1-SQRT(2))*DK300))),0)</f>
        <v>0</v>
      </c>
      <c r="ER300" s="60" t="n">
        <f aca="false">IF(EH300,EN300-1-LN(EN300-DK300)-EQ300,0)</f>
        <v>0</v>
      </c>
      <c r="ES300" s="60" t="n">
        <f aca="false">AND(EH300,ER300&lt;EP300)</f>
        <v>0</v>
      </c>
      <c r="ET300" s="60" t="n">
        <f aca="false">IF(ES300,EN300,EM300)</f>
        <v>0.91158844983184</v>
      </c>
      <c r="EU300" s="60" t="n">
        <f aca="false">IF(ES300,EQ300,EO300)</f>
        <v>0.218240791233887</v>
      </c>
      <c r="EV300" s="60" t="n">
        <f aca="false">LN(ET300-DK300)</f>
        <v>-0.198812070380318</v>
      </c>
      <c r="EW300" s="60" t="n">
        <f aca="false">$E$27/DI300*(ET300-1)-EV300-EU300*(2*CV300/DH300-$E$27/DI300)</f>
        <v>-0.107840271021729</v>
      </c>
      <c r="EX300" s="60" t="n">
        <f aca="false">$F$27/DI300*(ET300-1)-EV300-EU300*(2*CW300/DH300-$F$27/DI300)</f>
        <v>0.198812070380318</v>
      </c>
      <c r="EY300" s="60" t="n">
        <f aca="false">$G$27/DI300*(ET300-1)-EV300-EU300*(2*CX300/DH300-$G$27/DI300)</f>
        <v>0.198812070380318</v>
      </c>
      <c r="EZ300" s="60" t="n">
        <f aca="false">$H$27/DI300*(ET300-1)-EV300-EU300*(2*CY300/DH300-$H$27/DI300)</f>
        <v>0.198812070380318</v>
      </c>
      <c r="FA300" s="60" t="n">
        <f aca="false">$I$27/DI300*(ET300-1)-EV300-EU300*(2*CZ300/DH300-$I$27/DI300)</f>
        <v>0.198812070380318</v>
      </c>
      <c r="FB300" s="60" t="n">
        <f aca="false">$J$27/DI300*(ET300-1)-EV300-EU300*(2*DA300/DH300-$J$27/DI300)</f>
        <v>0.198812070380318</v>
      </c>
      <c r="FC300" s="60" t="n">
        <f aca="false">$K$27/DI300*(ET300-1)-EV300-EU300*(2*DB300/DH300-$K$27/DI300)</f>
        <v>0.198812070380318</v>
      </c>
      <c r="FD300" s="60" t="n">
        <f aca="false">$L$27/DI300*(ET300-1)-EV300-EU300*(2*DC300/DH300-$L$27/DI300)</f>
        <v>0.198812070380318</v>
      </c>
      <c r="FE300" s="60" t="n">
        <f aca="false">$M$27/DI300*(ET300-1)-EV300-EU300*(2*DD300/DH300-$M$27/DI300)</f>
        <v>0.198812070380318</v>
      </c>
      <c r="FF300" s="60" t="n">
        <f aca="false">$N$27/DI300*(ET300-1)-EV300-EU300*(2*DE300/DH300-$N$27/DI300)</f>
        <v>0.198812070380318</v>
      </c>
      <c r="FG300" s="60" t="n">
        <f aca="false">$O$27/DI300*(ET300-1)-EV300-EU300*(2*DF300/DH300-$O$27/DI300)</f>
        <v>0.198812070380318</v>
      </c>
      <c r="FH300" s="60" t="n">
        <f aca="false">$P$27/DI300*(ET300-1)-EV300-EU300*(2*DG300/DH300-$P$27/DI300)</f>
        <v>0.198812070380318</v>
      </c>
      <c r="FI300" s="60" t="n">
        <f aca="false">DK300/ET300&gt;$C$22</f>
        <v>0</v>
      </c>
      <c r="FJ300" s="60" t="n">
        <f aca="false">$E$28*SUMPRODUCT($E$31:$P$31,CJ300:CU300,$E$28:$P$28)</f>
        <v>0.184416866619846</v>
      </c>
      <c r="FK300" s="60" t="n">
        <f aca="false">$F$28*SUMPRODUCT($E$32:$P$32,CJ300:CU300,$E$28:$P$28)</f>
        <v>0</v>
      </c>
      <c r="FL300" s="60" t="n">
        <f aca="false">$G$28*SUMPRODUCT($E$33:$P$33,CJ300:CU300,$E$28:$P$28)</f>
        <v>0</v>
      </c>
      <c r="FM300" s="60" t="n">
        <f aca="false">$H$28*SUMPRODUCT($E$34:$P$34,CJ300:CU300,$E$28:$P$28)</f>
        <v>0</v>
      </c>
      <c r="FN300" s="60" t="n">
        <f aca="false">$I$28*SUMPRODUCT($E$35:$P$35,CJ300:CU300,$E$28:$P$28)</f>
        <v>0</v>
      </c>
      <c r="FO300" s="60" t="n">
        <f aca="false">$J$28*SUMPRODUCT($E$36:$P$36,CJ300:CU300,$E$28:$P$28)</f>
        <v>0</v>
      </c>
      <c r="FP300" s="60" t="n">
        <f aca="false">$K$28*SUMPRODUCT($E$37:$P$37,CJ300:CU300,$E$28:$P$28)</f>
        <v>0</v>
      </c>
      <c r="FQ300" s="60" t="n">
        <f aca="false">$L$28*SUMPRODUCT($E$38:$P$38,CJ300:CU300,$E$28:$P$28)</f>
        <v>0</v>
      </c>
      <c r="FR300" s="60" t="n">
        <f aca="false">$M$28*SUMPRODUCT($E$39:$P$39,CJ300:CU300,$E$28:$P$28)</f>
        <v>0</v>
      </c>
      <c r="FS300" s="60" t="n">
        <f aca="false">$N$28*SUMPRODUCT($E$40:$P$40,CJ300:CU300,$E$28:$P$28)</f>
        <v>0</v>
      </c>
      <c r="FT300" s="60" t="n">
        <f aca="false">$O$28*SUMPRODUCT($E$41:$P$41,CJ300:CU300,$E$28:$P$28)</f>
        <v>0</v>
      </c>
      <c r="FU300" s="60" t="n">
        <f aca="false">$P$28*SUMPRODUCT($E$42:$P$42,CJ300:CU300,$E$28:$P$28)</f>
        <v>0</v>
      </c>
      <c r="FV300" s="60" t="n">
        <f aca="false">SUMPRODUCT(CJ300:CU300,FJ300:FU300)</f>
        <v>0.184416866619846</v>
      </c>
      <c r="FW300" s="60" t="n">
        <f aca="false">SUMPRODUCT(CJ300:CU300,$E$27:$P$27)</f>
        <v>2.67389635063809E-005</v>
      </c>
      <c r="FX300" s="60" t="n">
        <f aca="false">FV300*$C$9/($C$10*$C$8)^2</f>
        <v>0.21776909410545</v>
      </c>
      <c r="FY300" s="60" t="n">
        <f aca="false">FW300*$C$9/($C$10*$C$8)</f>
        <v>0.0918845243259994</v>
      </c>
      <c r="FZ300" s="60" t="n">
        <f aca="false">CHOOSE($C$7,-(1+FY300),-1,-(1-FY300))</f>
        <v>-0.908115475674001</v>
      </c>
      <c r="GA300" s="60" t="n">
        <f aca="false">CHOOSE($C$7,FX300,FX300-FY300-FY300^2,FX300-3*FY300^2-2*FY300)</f>
        <v>0.00867174802160559</v>
      </c>
      <c r="GB300" s="60" t="n">
        <f aca="false">CHOOSE($C$7,-FX300*FY300,-FX300*FY300,-(FX300*FY300-FY300^2-FY300^3))</f>
        <v>-0.0107910842936637</v>
      </c>
      <c r="GC300" s="60" t="n">
        <f aca="false">GA300-FZ300^2/3</f>
        <v>-0.266219491031267</v>
      </c>
      <c r="GD300" s="60" t="n">
        <f aca="false">2*FZ300^3/27-FZ300*GA300/3+GB300</f>
        <v>-0.0636400988362784</v>
      </c>
      <c r="GE300" s="60" t="n">
        <f aca="false">GD300^2/4+GC300^3/27</f>
        <v>0.000313710901361829</v>
      </c>
      <c r="GF300" s="60" t="n">
        <f aca="false">-GD300/2-IF(GD300&gt;=0,1,-1)*SQRT(MAX(GE300,0))</f>
        <v>0.0495319352963236</v>
      </c>
      <c r="GG300" s="60" t="n">
        <f aca="false">SIGN(GF300)*ABS(GF300)^(1/3)</f>
        <v>0.367249967174439</v>
      </c>
      <c r="GH300" s="60" t="n">
        <f aca="false">IF(GG300=0,0,GG300-GC300/(3*GG300))</f>
        <v>0.60888329127384</v>
      </c>
      <c r="GI300" s="60" t="n">
        <f aca="false">2*SQRT(MAX(-GC300,0)/3)</f>
        <v>0.595784626668918</v>
      </c>
      <c r="GJ300" s="60" t="n">
        <f aca="false">ACOS(IF(GI300=0,0,MAX(-1,MIN(1,3*GD300/(GC300*GI300)))))</f>
        <v>0</v>
      </c>
      <c r="GK300" s="60" t="n">
        <f aca="false">GI300*COS(GJ300/3)</f>
        <v>0.595784626668918</v>
      </c>
      <c r="GL300" s="60" t="n">
        <f aca="false">IF(GE300&lt;0,GK300,GH300)-FZ300/3</f>
        <v>0.91158844983184</v>
      </c>
      <c r="GM300" s="60" t="n">
        <f aca="false">IFERROR((((GL300+FZ300)*GL300+GA300)*GL300+GB300)/((3*GL300+2*FZ300)*GL300+GA300),0)</f>
        <v>0</v>
      </c>
      <c r="GN300" s="60" t="n">
        <f aca="false">IF(ABS(GM300)&lt;0.1*ABS(GL300),GL300-GM300,GL300)</f>
        <v>0.91158844983184</v>
      </c>
      <c r="GO300" s="60" t="n">
        <f aca="false">IFERROR((((GN300+FZ300)*GN300+GA300)*GN300+GB300)/((3*GN300+2*FZ300)*GN300+GA300),0)</f>
        <v>0</v>
      </c>
      <c r="GP300" s="60" t="n">
        <f aca="false">IF(ABS(GO300)&lt;0.1*ABS(GN300),GN300-GO300,GN300)</f>
        <v>0.91158844983184</v>
      </c>
      <c r="GQ300" s="60" t="n">
        <f aca="false">-GB300/GP300</f>
        <v>0.0118376711504565</v>
      </c>
      <c r="GR300" s="60" t="n">
        <f aca="false">(GA300-GQ300)/GP300</f>
        <v>-0.00347297415783941</v>
      </c>
      <c r="GS300" s="60" t="n">
        <f aca="false">GR300^2-4*GQ300</f>
        <v>-0.0473386230523248</v>
      </c>
      <c r="GT300" s="60" t="n">
        <f aca="false">IF(GS300&gt;=0,(GR300+IF(GR300&gt;=0,1,-1)*SQRT(GS300))/2,0)</f>
        <v>0</v>
      </c>
      <c r="GU300" s="60" t="n">
        <f aca="false">IF(AND(GS300&gt;=0,GT300&lt;&gt;0),MIN(GT300,GQ300/GT300),-1)</f>
        <v>-1</v>
      </c>
      <c r="GV300" s="60" t="n">
        <f aca="false">AND(GS300&gt;=0,GU300&gt;FY300,ABS(GP300-GU300)&gt;=0.00005*MAX(GP300,GU300))</f>
        <v>0</v>
      </c>
      <c r="GW300" s="60" t="n">
        <f aca="false">IF(GV300,IFERROR((((GU300+FZ300)*GU300+GA300)*GU300+GB300)/((3*GU300+2*FZ300)*GU300+GA300),0),0)</f>
        <v>0</v>
      </c>
      <c r="GX300" s="60" t="n">
        <f aca="false">IF(ABS(GW300)&lt;0.1*ABS(GU300),GU300-GW300,GU300)</f>
        <v>-1</v>
      </c>
      <c r="GY300" s="60" t="n">
        <f aca="false">IF(GV300,IFERROR((((GX300+FZ300)*GX300+GA300)*GX300+GB300)/((3*GX300+2*FZ300)*GX300+GA300),0),0)</f>
        <v>0</v>
      </c>
      <c r="GZ300" s="60" t="n">
        <f aca="false">IF(ABS(GY300)&lt;0.1*ABS(GX300),GX300-GY300,GX300)</f>
        <v>-1</v>
      </c>
      <c r="HA300" s="60" t="n">
        <f aca="false">IF(GV300,MAX(GP300,GZ300),GP300)</f>
        <v>0.91158844983184</v>
      </c>
      <c r="HB300" s="60" t="n">
        <f aca="false">IF(GV300,MIN(GP300,GZ300),-1)</f>
        <v>-1</v>
      </c>
      <c r="HC300" s="60" t="n">
        <f aca="false">CHOOSE($C$7,FX300/HA300,FX300/FY300*LN(1+FY300/HA300),FX300/(2*SQRT(2)*FY300)*LN((HA300+(1+SQRT(2))*FY300)/(HA300+(1-SQRT(2))*FY300)))</f>
        <v>0.218240791233887</v>
      </c>
      <c r="HD300" s="60" t="n">
        <f aca="false">HA300-1-LN(HA300-FY300)-HC300</f>
        <v>-0.107840271021729</v>
      </c>
      <c r="HE300" s="60" t="n">
        <f aca="false">IF(GV300,CHOOSE($C$7,FX300/HB300,FX300/FY300*LN(1+FY300/HB300),FX300/(2*SQRT(2)*FY300)*LN((HB300+(1+SQRT(2))*FY300)/(HB300+(1-SQRT(2))*FY300))),0)</f>
        <v>0</v>
      </c>
      <c r="HF300" s="60" t="n">
        <f aca="false">IF(GV300,HB300-1-LN(HB300-FY300)-HE300,0)</f>
        <v>0</v>
      </c>
      <c r="HG300" s="60" t="n">
        <f aca="false">AND(GV300,HF300&lt;HD300)</f>
        <v>0</v>
      </c>
      <c r="HH300" s="60" t="n">
        <f aca="false">IF(HG300,HB300,HA300)</f>
        <v>0.91158844983184</v>
      </c>
      <c r="HI300" s="60" t="n">
        <f aca="false">IF(HG300,HE300,HC300)</f>
        <v>0.218240791233887</v>
      </c>
      <c r="HJ300" s="60" t="n">
        <f aca="false">LN(HH300-FY300)</f>
        <v>-0.198812070380318</v>
      </c>
      <c r="HK300" s="60" t="n">
        <f aca="false">$E$27/FW300*(HH300-1)-HJ300-HI300*(2*FJ300/FV300-$E$27/FW300)</f>
        <v>-0.107840271021729</v>
      </c>
      <c r="HL300" s="60" t="n">
        <f aca="false">$F$27/FW300*(HH300-1)-HJ300-HI300*(2*FK300/FV300-$F$27/FW300)</f>
        <v>0.198812070380318</v>
      </c>
      <c r="HM300" s="60" t="n">
        <f aca="false">$G$27/FW300*(HH300-1)-HJ300-HI300*(2*FL300/FV300-$G$27/FW300)</f>
        <v>0.198812070380318</v>
      </c>
      <c r="HN300" s="60" t="n">
        <f aca="false">$H$27/FW300*(HH300-1)-HJ300-HI300*(2*FM300/FV300-$H$27/FW300)</f>
        <v>0.198812070380318</v>
      </c>
      <c r="HO300" s="60" t="n">
        <f aca="false">$I$27/FW300*(HH300-1)-HJ300-HI300*(2*FN300/FV300-$I$27/FW300)</f>
        <v>0.198812070380318</v>
      </c>
      <c r="HP300" s="60" t="n">
        <f aca="false">$J$27/FW300*(HH300-1)-HJ300-HI300*(2*FO300/FV300-$J$27/FW300)</f>
        <v>0.198812070380318</v>
      </c>
      <c r="HQ300" s="60" t="n">
        <f aca="false">$K$27/FW300*(HH300-1)-HJ300-HI300*(2*FP300/FV300-$K$27/FW300)</f>
        <v>0.198812070380318</v>
      </c>
      <c r="HR300" s="60" t="n">
        <f aca="false">$L$27/FW300*(HH300-1)-HJ300-HI300*(2*FQ300/FV300-$L$27/FW300)</f>
        <v>0.198812070380318</v>
      </c>
      <c r="HS300" s="60" t="n">
        <f aca="false">$M$27/FW300*(HH300-1)-HJ300-HI300*(2*FR300/FV300-$M$27/FW300)</f>
        <v>0.198812070380318</v>
      </c>
      <c r="HT300" s="60" t="n">
        <f aca="false">$N$27/FW300*(HH300-1)-HJ300-HI300*(2*FS300/FV300-$N$27/FW300)</f>
        <v>0.198812070380318</v>
      </c>
      <c r="HU300" s="60" t="n">
        <f aca="false">$O$27/FW300*(HH300-1)-HJ300-HI300*(2*FT300/FV300-$O$27/FW300)</f>
        <v>0.198812070380318</v>
      </c>
      <c r="HV300" s="60" t="n">
        <f aca="false">$P$27/FW300*(HH300-1)-HJ300-HI300*(2*FU300/FV300-$P$27/FW300)</f>
        <v>0.198812070380318</v>
      </c>
      <c r="HW300" s="60" t="n">
        <f aca="false">FY300/HH300&gt;$C$22</f>
        <v>0</v>
      </c>
      <c r="HX300" s="60" t="n">
        <f aca="false">IF($E$13&gt;0,MAX(-300,MIN(300,EW300-HK300)),0)</f>
        <v>0</v>
      </c>
      <c r="HY300" s="60" t="n">
        <f aca="false">IF($F$13&gt;0,MAX(-300,MIN(300,EX300-HL300)),0)</f>
        <v>0</v>
      </c>
      <c r="HZ300" s="60" t="n">
        <f aca="false">IF($G$13&gt;0,MAX(-300,MIN(300,EY300-HM300)),0)</f>
        <v>0</v>
      </c>
      <c r="IA300" s="60" t="n">
        <f aca="false">IF($H$13&gt;0,MAX(-300,MIN(300,EZ300-HN300)),0)</f>
        <v>0</v>
      </c>
      <c r="IB300" s="60" t="n">
        <f aca="false">IF($I$13&gt;0,MAX(-300,MIN(300,FA300-HO300)),0)</f>
        <v>0</v>
      </c>
      <c r="IC300" s="60" t="n">
        <f aca="false">IF($J$13&gt;0,MAX(-300,MIN(300,FB300-HP300)),0)</f>
        <v>0</v>
      </c>
      <c r="ID300" s="60" t="n">
        <f aca="false">IF($K$13&gt;0,MAX(-300,MIN(300,FC300-HQ300)),0)</f>
        <v>0</v>
      </c>
      <c r="IE300" s="60" t="n">
        <f aca="false">IF($L$13&gt;0,MAX(-300,MIN(300,FD300-HR300)),0)</f>
        <v>0</v>
      </c>
      <c r="IF300" s="60" t="n">
        <f aca="false">IF($M$13&gt;0,MAX(-300,MIN(300,FE300-HS300)),0)</f>
        <v>0</v>
      </c>
      <c r="IG300" s="60" t="n">
        <f aca="false">IF($N$13&gt;0,MAX(-300,MIN(300,FF300-HT300)),0)</f>
        <v>0</v>
      </c>
      <c r="IH300" s="60" t="n">
        <f aca="false">IF($O$13&gt;0,MAX(-300,MIN(300,FG300-HU300)),0)</f>
        <v>0</v>
      </c>
      <c r="II300" s="60" t="n">
        <f aca="false">IF($P$13&gt;0,MAX(-300,MIN(300,FH300-HV300)),0)</f>
        <v>0</v>
      </c>
      <c r="IJ300" s="60" t="n">
        <f aca="false">SUMXMY2(HX300:II300,B300:M300)</f>
        <v>0</v>
      </c>
      <c r="IK300" s="60" t="n">
        <f aca="false">SUMSQ(B300:M300)</f>
        <v>0</v>
      </c>
    </row>
    <row r="301" customFormat="false" ht="15" hidden="false" customHeight="false" outlineLevel="0" collapsed="false">
      <c r="A301" s="59" t="n">
        <v>4</v>
      </c>
      <c r="B301" s="60" t="n">
        <f aca="false">HX300</f>
        <v>0</v>
      </c>
      <c r="C301" s="60" t="n">
        <f aca="false">HY300</f>
        <v>0</v>
      </c>
      <c r="D301" s="60" t="n">
        <f aca="false">HZ300</f>
        <v>0</v>
      </c>
      <c r="E301" s="60" t="n">
        <f aca="false">IA300</f>
        <v>0</v>
      </c>
      <c r="F301" s="60" t="n">
        <f aca="false">IB300</f>
        <v>0</v>
      </c>
      <c r="G301" s="60" t="n">
        <f aca="false">IC300</f>
        <v>0</v>
      </c>
      <c r="H301" s="60" t="n">
        <f aca="false">ID300</f>
        <v>0</v>
      </c>
      <c r="I301" s="60" t="n">
        <f aca="false">IE300</f>
        <v>0</v>
      </c>
      <c r="J301" s="60" t="n">
        <f aca="false">IF300</f>
        <v>0</v>
      </c>
      <c r="K301" s="60" t="n">
        <f aca="false">IG300</f>
        <v>0</v>
      </c>
      <c r="L301" s="60" t="n">
        <f aca="false">IH300</f>
        <v>0</v>
      </c>
      <c r="M301" s="60" t="n">
        <f aca="false">II300</f>
        <v>0</v>
      </c>
      <c r="N301" s="60" t="n">
        <f aca="false">EXP(B301)</f>
        <v>1</v>
      </c>
      <c r="O301" s="60" t="n">
        <f aca="false">EXP(C301)</f>
        <v>1</v>
      </c>
      <c r="P301" s="60" t="n">
        <f aca="false">EXP(D301)</f>
        <v>1</v>
      </c>
      <c r="Q301" s="60" t="n">
        <f aca="false">EXP(E301)</f>
        <v>1</v>
      </c>
      <c r="R301" s="60" t="n">
        <f aca="false">EXP(F301)</f>
        <v>1</v>
      </c>
      <c r="S301" s="60" t="n">
        <f aca="false">EXP(G301)</f>
        <v>1</v>
      </c>
      <c r="T301" s="60" t="n">
        <f aca="false">EXP(H301)</f>
        <v>1</v>
      </c>
      <c r="U301" s="60" t="n">
        <f aca="false">EXP(I301)</f>
        <v>1</v>
      </c>
      <c r="V301" s="60" t="n">
        <f aca="false">EXP(J301)</f>
        <v>1</v>
      </c>
      <c r="W301" s="60" t="n">
        <f aca="false">EXP(K301)</f>
        <v>1</v>
      </c>
      <c r="X301" s="60" t="n">
        <f aca="false">EXP(L301)</f>
        <v>1</v>
      </c>
      <c r="Y301" s="60" t="n">
        <f aca="false">EXP(M301)</f>
        <v>1</v>
      </c>
      <c r="Z301" s="60" t="n">
        <f aca="false">MAX(N301:Y301)</f>
        <v>1</v>
      </c>
      <c r="AA301" s="60" t="n">
        <f aca="false">MIN(N301:Y301)</f>
        <v>1</v>
      </c>
      <c r="AB301" s="60" t="n">
        <f aca="false">AND(Z301&gt;1,AA301&lt;1)</f>
        <v>0</v>
      </c>
      <c r="AC301" s="60" t="n">
        <f aca="false">IF(AB301,1/(1-Z301),0)</f>
        <v>0</v>
      </c>
      <c r="AD301" s="60" t="n">
        <f aca="false">IF(AB301,1/(1-AA301),1)</f>
        <v>1</v>
      </c>
      <c r="AE301" s="60" t="n">
        <f aca="false">IF(AB301,MIN(MAX(BI300,AC301+0.000000001*(AD301-AC301)),AD301-0.000000001*(AD301-AC301)),IF(AA301&gt;=1,1,0))</f>
        <v>1</v>
      </c>
      <c r="AF301" s="60" t="n">
        <f aca="false">SUMPRODUCT($E$13:$P$13*(N301:Y301-1)/(1+AE301*(N301:Y301-1)))</f>
        <v>0</v>
      </c>
      <c r="AG301" s="60" t="n">
        <f aca="false">-SUMPRODUCT($E$13:$P$13*(N301:Y301-1)^2/(1+AE301*(N301:Y301-1))^2)</f>
        <v>-0</v>
      </c>
      <c r="AH301" s="60" t="n">
        <f aca="false">IF(OR(NOT(AB301),AG301=0),AE301,IF(AE301-AF301/AG301&lt;=AC301,(AE301+AC301)/2,IF(AE301-AF301/AG301&gt;=AD301,(AE301+AD301)/2,AE301-AF301/AG301)))</f>
        <v>1</v>
      </c>
      <c r="AI301" s="60" t="n">
        <f aca="false">SUMPRODUCT($E$13:$P$13*(N301:Y301-1)/(1+AH301*(N301:Y301-1)))</f>
        <v>0</v>
      </c>
      <c r="AJ301" s="60" t="n">
        <f aca="false">-SUMPRODUCT($E$13:$P$13*(N301:Y301-1)^2/(1+AH301*(N301:Y301-1))^2)</f>
        <v>-0</v>
      </c>
      <c r="AK301" s="60" t="n">
        <f aca="false">IF(OR(NOT(AB301),AJ301=0),AH301,IF(AH301-AI301/AJ301&lt;=AC301,(AH301+AC301)/2,IF(AH301-AI301/AJ301&gt;=AD301,(AH301+AD301)/2,AH301-AI301/AJ301)))</f>
        <v>1</v>
      </c>
      <c r="AL301" s="60" t="n">
        <f aca="false">SUMPRODUCT($E$13:$P$13*(N301:Y301-1)/(1+AK301*(N301:Y301-1)))</f>
        <v>0</v>
      </c>
      <c r="AM301" s="60" t="n">
        <f aca="false">-SUMPRODUCT($E$13:$P$13*(N301:Y301-1)^2/(1+AK301*(N301:Y301-1))^2)</f>
        <v>-0</v>
      </c>
      <c r="AN301" s="60" t="n">
        <f aca="false">IF(OR(NOT(AB301),AM301=0),AK301,IF(AK301-AL301/AM301&lt;=AC301,(AK301+AC301)/2,IF(AK301-AL301/AM301&gt;=AD301,(AK301+AD301)/2,AK301-AL301/AM301)))</f>
        <v>1</v>
      </c>
      <c r="AO301" s="60" t="n">
        <f aca="false">SUMPRODUCT($E$13:$P$13*(N301:Y301-1)/(1+AN301*(N301:Y301-1)))</f>
        <v>0</v>
      </c>
      <c r="AP301" s="60" t="n">
        <f aca="false">-SUMPRODUCT($E$13:$P$13*(N301:Y301-1)^2/(1+AN301*(N301:Y301-1))^2)</f>
        <v>-0</v>
      </c>
      <c r="AQ301" s="60" t="n">
        <f aca="false">IF(OR(NOT(AB301),AP301=0),AN301,IF(AN301-AO301/AP301&lt;=AC301,(AN301+AC301)/2,IF(AN301-AO301/AP301&gt;=AD301,(AN301+AD301)/2,AN301-AO301/AP301)))</f>
        <v>1</v>
      </c>
      <c r="AR301" s="60" t="n">
        <f aca="false">SUMPRODUCT($E$13:$P$13*(N301:Y301-1)/(1+AQ301*(N301:Y301-1)))</f>
        <v>0</v>
      </c>
      <c r="AS301" s="60" t="n">
        <f aca="false">-SUMPRODUCT($E$13:$P$13*(N301:Y301-1)^2/(1+AQ301*(N301:Y301-1))^2)</f>
        <v>-0</v>
      </c>
      <c r="AT301" s="60" t="n">
        <f aca="false">IF(OR(NOT(AB301),AS301=0),AQ301,IF(AQ301-AR301/AS301&lt;=AC301,(AQ301+AC301)/2,IF(AQ301-AR301/AS301&gt;=AD301,(AQ301+AD301)/2,AQ301-AR301/AS301)))</f>
        <v>1</v>
      </c>
      <c r="AU301" s="60" t="n">
        <f aca="false">SUMPRODUCT($E$13:$P$13*(N301:Y301-1)/(1+AT301*(N301:Y301-1)))</f>
        <v>0</v>
      </c>
      <c r="AV301" s="60" t="n">
        <f aca="false">-SUMPRODUCT($E$13:$P$13*(N301:Y301-1)^2/(1+AT301*(N301:Y301-1))^2)</f>
        <v>-0</v>
      </c>
      <c r="AW301" s="60" t="n">
        <f aca="false">IF(OR(NOT(AB301),AV301=0),AT301,IF(AT301-AU301/AV301&lt;=AC301,(AT301+AC301)/2,IF(AT301-AU301/AV301&gt;=AD301,(AT301+AD301)/2,AT301-AU301/AV301)))</f>
        <v>1</v>
      </c>
      <c r="AX301" s="60" t="n">
        <f aca="false">SUMPRODUCT($E$13:$P$13*(N301:Y301-1)/(1+AW301*(N301:Y301-1)))</f>
        <v>0</v>
      </c>
      <c r="AY301" s="60" t="n">
        <f aca="false">-SUMPRODUCT($E$13:$P$13*(N301:Y301-1)^2/(1+AW301*(N301:Y301-1))^2)</f>
        <v>-0</v>
      </c>
      <c r="AZ301" s="60" t="n">
        <f aca="false">IF(OR(NOT(AB301),AY301=0),AW301,IF(AW301-AX301/AY301&lt;=AC301,(AW301+AC301)/2,IF(AW301-AX301/AY301&gt;=AD301,(AW301+AD301)/2,AW301-AX301/AY301)))</f>
        <v>1</v>
      </c>
      <c r="BA301" s="60" t="n">
        <f aca="false">SUMPRODUCT($E$13:$P$13*(N301:Y301-1)/(1+AZ301*(N301:Y301-1)))</f>
        <v>0</v>
      </c>
      <c r="BB301" s="60" t="n">
        <f aca="false">-SUMPRODUCT($E$13:$P$13*(N301:Y301-1)^2/(1+AZ301*(N301:Y301-1))^2)</f>
        <v>-0</v>
      </c>
      <c r="BC301" s="60" t="n">
        <f aca="false">IF(OR(NOT(AB301),BB301=0),AZ301,IF(AZ301-BA301/BB301&lt;=AC301,(AZ301+AC301)/2,IF(AZ301-BA301/BB301&gt;=AD301,(AZ301+AD301)/2,AZ301-BA301/BB301)))</f>
        <v>1</v>
      </c>
      <c r="BD301" s="60" t="n">
        <f aca="false">SUMPRODUCT($E$13:$P$13*(N301:Y301-1)/(1+BC301*(N301:Y301-1)))</f>
        <v>0</v>
      </c>
      <c r="BE301" s="60" t="n">
        <f aca="false">-SUMPRODUCT($E$13:$P$13*(N301:Y301-1)^2/(1+BC301*(N301:Y301-1))^2)</f>
        <v>-0</v>
      </c>
      <c r="BF301" s="60" t="n">
        <f aca="false">IF(OR(NOT(AB301),BE301=0),BC301,IF(BC301-BD301/BE301&lt;=AC301,(BC301+AC301)/2,IF(BC301-BD301/BE301&gt;=AD301,(BC301+AD301)/2,BC301-BD301/BE301)))</f>
        <v>1</v>
      </c>
      <c r="BG301" s="60" t="n">
        <f aca="false">SUMPRODUCT($E$13:$P$13*(N301:Y301-1)/(1+BF301*(N301:Y301-1)))</f>
        <v>0</v>
      </c>
      <c r="BH301" s="60" t="n">
        <f aca="false">-SUMPRODUCT($E$13:$P$13*(N301:Y301-1)^2/(1+BF301*(N301:Y301-1))^2)</f>
        <v>-0</v>
      </c>
      <c r="BI301" s="60" t="n">
        <f aca="false">IF(OR(NOT(AB301),BH301=0),BF301,IF(BF301-BG301/BH301&lt;=AC301,(BF301+AC301)/2,IF(BF301-BG301/BH301&gt;=AD301,(BF301+AD301)/2,BF301-BG301/BH301)))</f>
        <v>1</v>
      </c>
      <c r="BJ301" s="60" t="n">
        <f aca="false">$E$13/(1+BI301*(N301-1))</f>
        <v>1</v>
      </c>
      <c r="BK301" s="60" t="n">
        <f aca="false">$F$13/(1+BI301*(O301-1))</f>
        <v>0</v>
      </c>
      <c r="BL301" s="60" t="n">
        <f aca="false">$G$13/(1+BI301*(P301-1))</f>
        <v>0</v>
      </c>
      <c r="BM301" s="60" t="n">
        <f aca="false">$H$13/(1+BI301*(Q301-1))</f>
        <v>0</v>
      </c>
      <c r="BN301" s="60" t="n">
        <f aca="false">$I$13/(1+BI301*(R301-1))</f>
        <v>0</v>
      </c>
      <c r="BO301" s="60" t="n">
        <f aca="false">$J$13/(1+BI301*(S301-1))</f>
        <v>0</v>
      </c>
      <c r="BP301" s="60" t="n">
        <f aca="false">$K$13/(1+BI301*(T301-1))</f>
        <v>0</v>
      </c>
      <c r="BQ301" s="60" t="n">
        <f aca="false">$L$13/(1+BI301*(U301-1))</f>
        <v>0</v>
      </c>
      <c r="BR301" s="60" t="n">
        <f aca="false">$M$13/(1+BI301*(V301-1))</f>
        <v>0</v>
      </c>
      <c r="BS301" s="60" t="n">
        <f aca="false">$N$13/(1+BI301*(W301-1))</f>
        <v>0</v>
      </c>
      <c r="BT301" s="60" t="n">
        <f aca="false">$O$13/(1+BI301*(X301-1))</f>
        <v>0</v>
      </c>
      <c r="BU301" s="60" t="n">
        <f aca="false">$P$13/(1+BI301*(Y301-1))</f>
        <v>0</v>
      </c>
      <c r="BV301" s="60" t="n">
        <f aca="false">SUM(BJ301:BU301)</f>
        <v>1</v>
      </c>
      <c r="BW301" s="60" t="n">
        <f aca="false">SUMPRODUCT(N301:Y301,BJ301:BU301)</f>
        <v>1</v>
      </c>
      <c r="BX301" s="60" t="n">
        <f aca="false">BJ301/BV301</f>
        <v>1</v>
      </c>
      <c r="BY301" s="60" t="n">
        <f aca="false">BK301/BV301</f>
        <v>0</v>
      </c>
      <c r="BZ301" s="60" t="n">
        <f aca="false">BL301/BV301</f>
        <v>0</v>
      </c>
      <c r="CA301" s="60" t="n">
        <f aca="false">BM301/BV301</f>
        <v>0</v>
      </c>
      <c r="CB301" s="60" t="n">
        <f aca="false">BN301/BV301</f>
        <v>0</v>
      </c>
      <c r="CC301" s="60" t="n">
        <f aca="false">BO301/BV301</f>
        <v>0</v>
      </c>
      <c r="CD301" s="60" t="n">
        <f aca="false">BP301/BV301</f>
        <v>0</v>
      </c>
      <c r="CE301" s="60" t="n">
        <f aca="false">BQ301/BV301</f>
        <v>0</v>
      </c>
      <c r="CF301" s="60" t="n">
        <f aca="false">BR301/BV301</f>
        <v>0</v>
      </c>
      <c r="CG301" s="60" t="n">
        <f aca="false">BS301/BV301</f>
        <v>0</v>
      </c>
      <c r="CH301" s="60" t="n">
        <f aca="false">BT301/BV301</f>
        <v>0</v>
      </c>
      <c r="CI301" s="60" t="n">
        <f aca="false">BU301/BV301</f>
        <v>0</v>
      </c>
      <c r="CJ301" s="60" t="n">
        <f aca="false">N301*BJ301/BW301</f>
        <v>1</v>
      </c>
      <c r="CK301" s="60" t="n">
        <f aca="false">O301*BK301/BW301</f>
        <v>0</v>
      </c>
      <c r="CL301" s="60" t="n">
        <f aca="false">P301*BL301/BW301</f>
        <v>0</v>
      </c>
      <c r="CM301" s="60" t="n">
        <f aca="false">Q301*BM301/BW301</f>
        <v>0</v>
      </c>
      <c r="CN301" s="60" t="n">
        <f aca="false">R301*BN301/BW301</f>
        <v>0</v>
      </c>
      <c r="CO301" s="60" t="n">
        <f aca="false">S301*BO301/BW301</f>
        <v>0</v>
      </c>
      <c r="CP301" s="60" t="n">
        <f aca="false">T301*BP301/BW301</f>
        <v>0</v>
      </c>
      <c r="CQ301" s="60" t="n">
        <f aca="false">U301*BQ301/BW301</f>
        <v>0</v>
      </c>
      <c r="CR301" s="60" t="n">
        <f aca="false">V301*BR301/BW301</f>
        <v>0</v>
      </c>
      <c r="CS301" s="60" t="n">
        <f aca="false">W301*BS301/BW301</f>
        <v>0</v>
      </c>
      <c r="CT301" s="60" t="n">
        <f aca="false">X301*BT301/BW301</f>
        <v>0</v>
      </c>
      <c r="CU301" s="60" t="n">
        <f aca="false">Y301*BU301/BW301</f>
        <v>0</v>
      </c>
      <c r="CV301" s="60" t="n">
        <f aca="false">$E$28*SUMPRODUCT($E$31:$P$31,BX301:CI301,$E$28:$P$28)</f>
        <v>0.184416866619846</v>
      </c>
      <c r="CW301" s="60" t="n">
        <f aca="false">$F$28*SUMPRODUCT($E$32:$P$32,BX301:CI301,$E$28:$P$28)</f>
        <v>0</v>
      </c>
      <c r="CX301" s="60" t="n">
        <f aca="false">$G$28*SUMPRODUCT($E$33:$P$33,BX301:CI301,$E$28:$P$28)</f>
        <v>0</v>
      </c>
      <c r="CY301" s="60" t="n">
        <f aca="false">$H$28*SUMPRODUCT($E$34:$P$34,BX301:CI301,$E$28:$P$28)</f>
        <v>0</v>
      </c>
      <c r="CZ301" s="60" t="n">
        <f aca="false">$I$28*SUMPRODUCT($E$35:$P$35,BX301:CI301,$E$28:$P$28)</f>
        <v>0</v>
      </c>
      <c r="DA301" s="60" t="n">
        <f aca="false">$J$28*SUMPRODUCT($E$36:$P$36,BX301:CI301,$E$28:$P$28)</f>
        <v>0</v>
      </c>
      <c r="DB301" s="60" t="n">
        <f aca="false">$K$28*SUMPRODUCT($E$37:$P$37,BX301:CI301,$E$28:$P$28)</f>
        <v>0</v>
      </c>
      <c r="DC301" s="60" t="n">
        <f aca="false">$L$28*SUMPRODUCT($E$38:$P$38,BX301:CI301,$E$28:$P$28)</f>
        <v>0</v>
      </c>
      <c r="DD301" s="60" t="n">
        <f aca="false">$M$28*SUMPRODUCT($E$39:$P$39,BX301:CI301,$E$28:$P$28)</f>
        <v>0</v>
      </c>
      <c r="DE301" s="60" t="n">
        <f aca="false">$N$28*SUMPRODUCT($E$40:$P$40,BX301:CI301,$E$28:$P$28)</f>
        <v>0</v>
      </c>
      <c r="DF301" s="60" t="n">
        <f aca="false">$O$28*SUMPRODUCT($E$41:$P$41,BX301:CI301,$E$28:$P$28)</f>
        <v>0</v>
      </c>
      <c r="DG301" s="60" t="n">
        <f aca="false">$P$28*SUMPRODUCT($E$42:$P$42,BX301:CI301,$E$28:$P$28)</f>
        <v>0</v>
      </c>
      <c r="DH301" s="60" t="n">
        <f aca="false">SUMPRODUCT(BX301:CI301,CV301:DG301)</f>
        <v>0.184416866619846</v>
      </c>
      <c r="DI301" s="60" t="n">
        <f aca="false">SUMPRODUCT(BX301:CI301,$E$27:$P$27)</f>
        <v>2.67389635063809E-005</v>
      </c>
      <c r="DJ301" s="60" t="n">
        <f aca="false">DH301*$C$9/($C$10*$C$8)^2</f>
        <v>0.21776909410545</v>
      </c>
      <c r="DK301" s="60" t="n">
        <f aca="false">DI301*$C$9/($C$10*$C$8)</f>
        <v>0.0918845243259994</v>
      </c>
      <c r="DL301" s="60" t="n">
        <f aca="false">CHOOSE($C$7,-(1+DK301),-1,-(1-DK301))</f>
        <v>-0.908115475674001</v>
      </c>
      <c r="DM301" s="60" t="n">
        <f aca="false">CHOOSE($C$7,DJ301,DJ301-DK301-DK301^2,DJ301-3*DK301^2-2*DK301)</f>
        <v>0.00867174802160559</v>
      </c>
      <c r="DN301" s="60" t="n">
        <f aca="false">CHOOSE($C$7,-DJ301*DK301,-DJ301*DK301,-(DJ301*DK301-DK301^2-DK301^3))</f>
        <v>-0.0107910842936637</v>
      </c>
      <c r="DO301" s="60" t="n">
        <f aca="false">DM301-DL301^2/3</f>
        <v>-0.266219491031267</v>
      </c>
      <c r="DP301" s="60" t="n">
        <f aca="false">2*DL301^3/27-DL301*DM301/3+DN301</f>
        <v>-0.0636400988362784</v>
      </c>
      <c r="DQ301" s="60" t="n">
        <f aca="false">DP301^2/4+DO301^3/27</f>
        <v>0.000313710901361829</v>
      </c>
      <c r="DR301" s="60" t="n">
        <f aca="false">-DP301/2-IF(DP301&gt;=0,1,-1)*SQRT(MAX(DQ301,0))</f>
        <v>0.0495319352963236</v>
      </c>
      <c r="DS301" s="60" t="n">
        <f aca="false">SIGN(DR301)*ABS(DR301)^(1/3)</f>
        <v>0.367249967174439</v>
      </c>
      <c r="DT301" s="60" t="n">
        <f aca="false">IF(DS301=0,0,DS301-DO301/(3*DS301))</f>
        <v>0.60888329127384</v>
      </c>
      <c r="DU301" s="60" t="n">
        <f aca="false">2*SQRT(MAX(-DO301,0)/3)</f>
        <v>0.595784626668918</v>
      </c>
      <c r="DV301" s="60" t="n">
        <f aca="false">ACOS(IF(DU301=0,0,MAX(-1,MIN(1,3*DP301/(DO301*DU301)))))</f>
        <v>0</v>
      </c>
      <c r="DW301" s="60" t="n">
        <f aca="false">DU301*COS(DV301/3)</f>
        <v>0.595784626668918</v>
      </c>
      <c r="DX301" s="60" t="n">
        <f aca="false">IF(DQ301&lt;0,DW301,DT301)-DL301/3</f>
        <v>0.91158844983184</v>
      </c>
      <c r="DY301" s="60" t="n">
        <f aca="false">IFERROR((((DX301+DL301)*DX301+DM301)*DX301+DN301)/((3*DX301+2*DL301)*DX301+DM301),0)</f>
        <v>0</v>
      </c>
      <c r="DZ301" s="60" t="n">
        <f aca="false">IF(ABS(DY301)&lt;0.1*ABS(DX301),DX301-DY301,DX301)</f>
        <v>0.91158844983184</v>
      </c>
      <c r="EA301" s="60" t="n">
        <f aca="false">IFERROR((((DZ301+DL301)*DZ301+DM301)*DZ301+DN301)/((3*DZ301+2*DL301)*DZ301+DM301),0)</f>
        <v>0</v>
      </c>
      <c r="EB301" s="60" t="n">
        <f aca="false">IF(ABS(EA301)&lt;0.1*ABS(DZ301),DZ301-EA301,DZ301)</f>
        <v>0.91158844983184</v>
      </c>
      <c r="EC301" s="60" t="n">
        <f aca="false">-DN301/EB301</f>
        <v>0.0118376711504565</v>
      </c>
      <c r="ED301" s="60" t="n">
        <f aca="false">(DM301-EC301)/EB301</f>
        <v>-0.00347297415783941</v>
      </c>
      <c r="EE301" s="60" t="n">
        <f aca="false">ED301^2-4*EC301</f>
        <v>-0.0473386230523248</v>
      </c>
      <c r="EF301" s="60" t="n">
        <f aca="false">IF(EE301&gt;=0,(ED301+IF(ED301&gt;=0,1,-1)*SQRT(EE301))/2,0)</f>
        <v>0</v>
      </c>
      <c r="EG301" s="60" t="n">
        <f aca="false">IF(AND(EE301&gt;=0,EF301&lt;&gt;0),MIN(EF301,EC301/EF301),-1)</f>
        <v>-1</v>
      </c>
      <c r="EH301" s="60" t="n">
        <f aca="false">AND(EE301&gt;=0,EG301&gt;DK301,ABS(EB301-EG301)&gt;=0.00005*MAX(EB301,EG301))</f>
        <v>0</v>
      </c>
      <c r="EI301" s="60" t="n">
        <f aca="false">IF(EH301,IFERROR((((EG301+DL301)*EG301+DM301)*EG301+DN301)/((3*EG301+2*DL301)*EG301+DM301),0),0)</f>
        <v>0</v>
      </c>
      <c r="EJ301" s="60" t="n">
        <f aca="false">IF(ABS(EI301)&lt;0.1*ABS(EG301),EG301-EI301,EG301)</f>
        <v>-1</v>
      </c>
      <c r="EK301" s="60" t="n">
        <f aca="false">IF(EH301,IFERROR((((EJ301+DL301)*EJ301+DM301)*EJ301+DN301)/((3*EJ301+2*DL301)*EJ301+DM301),0),0)</f>
        <v>0</v>
      </c>
      <c r="EL301" s="60" t="n">
        <f aca="false">IF(ABS(EK301)&lt;0.1*ABS(EJ301),EJ301-EK301,EJ301)</f>
        <v>-1</v>
      </c>
      <c r="EM301" s="60" t="n">
        <f aca="false">IF(EH301,MAX(EB301,EL301),EB301)</f>
        <v>0.91158844983184</v>
      </c>
      <c r="EN301" s="60" t="n">
        <f aca="false">IF(EH301,MIN(EB301,EL301),-1)</f>
        <v>-1</v>
      </c>
      <c r="EO301" s="60" t="n">
        <f aca="false">CHOOSE($C$7,DJ301/EM301,DJ301/DK301*LN(1+DK301/EM301),DJ301/(2*SQRT(2)*DK301)*LN((EM301+(1+SQRT(2))*DK301)/(EM301+(1-SQRT(2))*DK301)))</f>
        <v>0.218240791233887</v>
      </c>
      <c r="EP301" s="60" t="n">
        <f aca="false">EM301-1-LN(EM301-DK301)-EO301</f>
        <v>-0.107840271021729</v>
      </c>
      <c r="EQ301" s="60" t="n">
        <f aca="false">IF(EH301,CHOOSE($C$7,DJ301/EN301,DJ301/DK301*LN(1+DK301/EN301),DJ301/(2*SQRT(2)*DK301)*LN((EN301+(1+SQRT(2))*DK301)/(EN301+(1-SQRT(2))*DK301))),0)</f>
        <v>0</v>
      </c>
      <c r="ER301" s="60" t="n">
        <f aca="false">IF(EH301,EN301-1-LN(EN301-DK301)-EQ301,0)</f>
        <v>0</v>
      </c>
      <c r="ES301" s="60" t="n">
        <f aca="false">AND(EH301,ER301&lt;EP301)</f>
        <v>0</v>
      </c>
      <c r="ET301" s="60" t="n">
        <f aca="false">IF(ES301,EN301,EM301)</f>
        <v>0.91158844983184</v>
      </c>
      <c r="EU301" s="60" t="n">
        <f aca="false">IF(ES301,EQ301,EO301)</f>
        <v>0.218240791233887</v>
      </c>
      <c r="EV301" s="60" t="n">
        <f aca="false">LN(ET301-DK301)</f>
        <v>-0.198812070380318</v>
      </c>
      <c r="EW301" s="60" t="n">
        <f aca="false">$E$27/DI301*(ET301-1)-EV301-EU301*(2*CV301/DH301-$E$27/DI301)</f>
        <v>-0.107840271021729</v>
      </c>
      <c r="EX301" s="60" t="n">
        <f aca="false">$F$27/DI301*(ET301-1)-EV301-EU301*(2*CW301/DH301-$F$27/DI301)</f>
        <v>0.198812070380318</v>
      </c>
      <c r="EY301" s="60" t="n">
        <f aca="false">$G$27/DI301*(ET301-1)-EV301-EU301*(2*CX301/DH301-$G$27/DI301)</f>
        <v>0.198812070380318</v>
      </c>
      <c r="EZ301" s="60" t="n">
        <f aca="false">$H$27/DI301*(ET301-1)-EV301-EU301*(2*CY301/DH301-$H$27/DI301)</f>
        <v>0.198812070380318</v>
      </c>
      <c r="FA301" s="60" t="n">
        <f aca="false">$I$27/DI301*(ET301-1)-EV301-EU301*(2*CZ301/DH301-$I$27/DI301)</f>
        <v>0.198812070380318</v>
      </c>
      <c r="FB301" s="60" t="n">
        <f aca="false">$J$27/DI301*(ET301-1)-EV301-EU301*(2*DA301/DH301-$J$27/DI301)</f>
        <v>0.198812070380318</v>
      </c>
      <c r="FC301" s="60" t="n">
        <f aca="false">$K$27/DI301*(ET301-1)-EV301-EU301*(2*DB301/DH301-$K$27/DI301)</f>
        <v>0.198812070380318</v>
      </c>
      <c r="FD301" s="60" t="n">
        <f aca="false">$L$27/DI301*(ET301-1)-EV301-EU301*(2*DC301/DH301-$L$27/DI301)</f>
        <v>0.198812070380318</v>
      </c>
      <c r="FE301" s="60" t="n">
        <f aca="false">$M$27/DI301*(ET301-1)-EV301-EU301*(2*DD301/DH301-$M$27/DI301)</f>
        <v>0.198812070380318</v>
      </c>
      <c r="FF301" s="60" t="n">
        <f aca="false">$N$27/DI301*(ET301-1)-EV301-EU301*(2*DE301/DH301-$N$27/DI301)</f>
        <v>0.198812070380318</v>
      </c>
      <c r="FG301" s="60" t="n">
        <f aca="false">$O$27/DI301*(ET301-1)-EV301-EU301*(2*DF301/DH301-$O$27/DI301)</f>
        <v>0.198812070380318</v>
      </c>
      <c r="FH301" s="60" t="n">
        <f aca="false">$P$27/DI301*(ET301-1)-EV301-EU301*(2*DG301/DH301-$P$27/DI301)</f>
        <v>0.198812070380318</v>
      </c>
      <c r="FI301" s="60" t="n">
        <f aca="false">DK301/ET301&gt;$C$22</f>
        <v>0</v>
      </c>
      <c r="FJ301" s="60" t="n">
        <f aca="false">$E$28*SUMPRODUCT($E$31:$P$31,CJ301:CU301,$E$28:$P$28)</f>
        <v>0.184416866619846</v>
      </c>
      <c r="FK301" s="60" t="n">
        <f aca="false">$F$28*SUMPRODUCT($E$32:$P$32,CJ301:CU301,$E$28:$P$28)</f>
        <v>0</v>
      </c>
      <c r="FL301" s="60" t="n">
        <f aca="false">$G$28*SUMPRODUCT($E$33:$P$33,CJ301:CU301,$E$28:$P$28)</f>
        <v>0</v>
      </c>
      <c r="FM301" s="60" t="n">
        <f aca="false">$H$28*SUMPRODUCT($E$34:$P$34,CJ301:CU301,$E$28:$P$28)</f>
        <v>0</v>
      </c>
      <c r="FN301" s="60" t="n">
        <f aca="false">$I$28*SUMPRODUCT($E$35:$P$35,CJ301:CU301,$E$28:$P$28)</f>
        <v>0</v>
      </c>
      <c r="FO301" s="60" t="n">
        <f aca="false">$J$28*SUMPRODUCT($E$36:$P$36,CJ301:CU301,$E$28:$P$28)</f>
        <v>0</v>
      </c>
      <c r="FP301" s="60" t="n">
        <f aca="false">$K$28*SUMPRODUCT($E$37:$P$37,CJ301:CU301,$E$28:$P$28)</f>
        <v>0</v>
      </c>
      <c r="FQ301" s="60" t="n">
        <f aca="false">$L$28*SUMPRODUCT($E$38:$P$38,CJ301:CU301,$E$28:$P$28)</f>
        <v>0</v>
      </c>
      <c r="FR301" s="60" t="n">
        <f aca="false">$M$28*SUMPRODUCT($E$39:$P$39,CJ301:CU301,$E$28:$P$28)</f>
        <v>0</v>
      </c>
      <c r="FS301" s="60" t="n">
        <f aca="false">$N$28*SUMPRODUCT($E$40:$P$40,CJ301:CU301,$E$28:$P$28)</f>
        <v>0</v>
      </c>
      <c r="FT301" s="60" t="n">
        <f aca="false">$O$28*SUMPRODUCT($E$41:$P$41,CJ301:CU301,$E$28:$P$28)</f>
        <v>0</v>
      </c>
      <c r="FU301" s="60" t="n">
        <f aca="false">$P$28*SUMPRODUCT($E$42:$P$42,CJ301:CU301,$E$28:$P$28)</f>
        <v>0</v>
      </c>
      <c r="FV301" s="60" t="n">
        <f aca="false">SUMPRODUCT(CJ301:CU301,FJ301:FU301)</f>
        <v>0.184416866619846</v>
      </c>
      <c r="FW301" s="60" t="n">
        <f aca="false">SUMPRODUCT(CJ301:CU301,$E$27:$P$27)</f>
        <v>2.67389635063809E-005</v>
      </c>
      <c r="FX301" s="60" t="n">
        <f aca="false">FV301*$C$9/($C$10*$C$8)^2</f>
        <v>0.21776909410545</v>
      </c>
      <c r="FY301" s="60" t="n">
        <f aca="false">FW301*$C$9/($C$10*$C$8)</f>
        <v>0.0918845243259994</v>
      </c>
      <c r="FZ301" s="60" t="n">
        <f aca="false">CHOOSE($C$7,-(1+FY301),-1,-(1-FY301))</f>
        <v>-0.908115475674001</v>
      </c>
      <c r="GA301" s="60" t="n">
        <f aca="false">CHOOSE($C$7,FX301,FX301-FY301-FY301^2,FX301-3*FY301^2-2*FY301)</f>
        <v>0.00867174802160559</v>
      </c>
      <c r="GB301" s="60" t="n">
        <f aca="false">CHOOSE($C$7,-FX301*FY301,-FX301*FY301,-(FX301*FY301-FY301^2-FY301^3))</f>
        <v>-0.0107910842936637</v>
      </c>
      <c r="GC301" s="60" t="n">
        <f aca="false">GA301-FZ301^2/3</f>
        <v>-0.266219491031267</v>
      </c>
      <c r="GD301" s="60" t="n">
        <f aca="false">2*FZ301^3/27-FZ301*GA301/3+GB301</f>
        <v>-0.0636400988362784</v>
      </c>
      <c r="GE301" s="60" t="n">
        <f aca="false">GD301^2/4+GC301^3/27</f>
        <v>0.000313710901361829</v>
      </c>
      <c r="GF301" s="60" t="n">
        <f aca="false">-GD301/2-IF(GD301&gt;=0,1,-1)*SQRT(MAX(GE301,0))</f>
        <v>0.0495319352963236</v>
      </c>
      <c r="GG301" s="60" t="n">
        <f aca="false">SIGN(GF301)*ABS(GF301)^(1/3)</f>
        <v>0.367249967174439</v>
      </c>
      <c r="GH301" s="60" t="n">
        <f aca="false">IF(GG301=0,0,GG301-GC301/(3*GG301))</f>
        <v>0.60888329127384</v>
      </c>
      <c r="GI301" s="60" t="n">
        <f aca="false">2*SQRT(MAX(-GC301,0)/3)</f>
        <v>0.595784626668918</v>
      </c>
      <c r="GJ301" s="60" t="n">
        <f aca="false">ACOS(IF(GI301=0,0,MAX(-1,MIN(1,3*GD301/(GC301*GI301)))))</f>
        <v>0</v>
      </c>
      <c r="GK301" s="60" t="n">
        <f aca="false">GI301*COS(GJ301/3)</f>
        <v>0.595784626668918</v>
      </c>
      <c r="GL301" s="60" t="n">
        <f aca="false">IF(GE301&lt;0,GK301,GH301)-FZ301/3</f>
        <v>0.91158844983184</v>
      </c>
      <c r="GM301" s="60" t="n">
        <f aca="false">IFERROR((((GL301+FZ301)*GL301+GA301)*GL301+GB301)/((3*GL301+2*FZ301)*GL301+GA301),0)</f>
        <v>0</v>
      </c>
      <c r="GN301" s="60" t="n">
        <f aca="false">IF(ABS(GM301)&lt;0.1*ABS(GL301),GL301-GM301,GL301)</f>
        <v>0.91158844983184</v>
      </c>
      <c r="GO301" s="60" t="n">
        <f aca="false">IFERROR((((GN301+FZ301)*GN301+GA301)*GN301+GB301)/((3*GN301+2*FZ301)*GN301+GA301),0)</f>
        <v>0</v>
      </c>
      <c r="GP301" s="60" t="n">
        <f aca="false">IF(ABS(GO301)&lt;0.1*ABS(GN301),GN301-GO301,GN301)</f>
        <v>0.91158844983184</v>
      </c>
      <c r="GQ301" s="60" t="n">
        <f aca="false">-GB301/GP301</f>
        <v>0.0118376711504565</v>
      </c>
      <c r="GR301" s="60" t="n">
        <f aca="false">(GA301-GQ301)/GP301</f>
        <v>-0.00347297415783941</v>
      </c>
      <c r="GS301" s="60" t="n">
        <f aca="false">GR301^2-4*GQ301</f>
        <v>-0.0473386230523248</v>
      </c>
      <c r="GT301" s="60" t="n">
        <f aca="false">IF(GS301&gt;=0,(GR301+IF(GR301&gt;=0,1,-1)*SQRT(GS301))/2,0)</f>
        <v>0</v>
      </c>
      <c r="GU301" s="60" t="n">
        <f aca="false">IF(AND(GS301&gt;=0,GT301&lt;&gt;0),MIN(GT301,GQ301/GT301),-1)</f>
        <v>-1</v>
      </c>
      <c r="GV301" s="60" t="n">
        <f aca="false">AND(GS301&gt;=0,GU301&gt;FY301,ABS(GP301-GU301)&gt;=0.00005*MAX(GP301,GU301))</f>
        <v>0</v>
      </c>
      <c r="GW301" s="60" t="n">
        <f aca="false">IF(GV301,IFERROR((((GU301+FZ301)*GU301+GA301)*GU301+GB301)/((3*GU301+2*FZ301)*GU301+GA301),0),0)</f>
        <v>0</v>
      </c>
      <c r="GX301" s="60" t="n">
        <f aca="false">IF(ABS(GW301)&lt;0.1*ABS(GU301),GU301-GW301,GU301)</f>
        <v>-1</v>
      </c>
      <c r="GY301" s="60" t="n">
        <f aca="false">IF(GV301,IFERROR((((GX301+FZ301)*GX301+GA301)*GX301+GB301)/((3*GX301+2*FZ301)*GX301+GA301),0),0)</f>
        <v>0</v>
      </c>
      <c r="GZ301" s="60" t="n">
        <f aca="false">IF(ABS(GY301)&lt;0.1*ABS(GX301),GX301-GY301,GX301)</f>
        <v>-1</v>
      </c>
      <c r="HA301" s="60" t="n">
        <f aca="false">IF(GV301,MAX(GP301,GZ301),GP301)</f>
        <v>0.91158844983184</v>
      </c>
      <c r="HB301" s="60" t="n">
        <f aca="false">IF(GV301,MIN(GP301,GZ301),-1)</f>
        <v>-1</v>
      </c>
      <c r="HC301" s="60" t="n">
        <f aca="false">CHOOSE($C$7,FX301/HA301,FX301/FY301*LN(1+FY301/HA301),FX301/(2*SQRT(2)*FY301)*LN((HA301+(1+SQRT(2))*FY301)/(HA301+(1-SQRT(2))*FY301)))</f>
        <v>0.218240791233887</v>
      </c>
      <c r="HD301" s="60" t="n">
        <f aca="false">HA301-1-LN(HA301-FY301)-HC301</f>
        <v>-0.107840271021729</v>
      </c>
      <c r="HE301" s="60" t="n">
        <f aca="false">IF(GV301,CHOOSE($C$7,FX301/HB301,FX301/FY301*LN(1+FY301/HB301),FX301/(2*SQRT(2)*FY301)*LN((HB301+(1+SQRT(2))*FY301)/(HB301+(1-SQRT(2))*FY301))),0)</f>
        <v>0</v>
      </c>
      <c r="HF301" s="60" t="n">
        <f aca="false">IF(GV301,HB301-1-LN(HB301-FY301)-HE301,0)</f>
        <v>0</v>
      </c>
      <c r="HG301" s="60" t="n">
        <f aca="false">AND(GV301,HF301&lt;HD301)</f>
        <v>0</v>
      </c>
      <c r="HH301" s="60" t="n">
        <f aca="false">IF(HG301,HB301,HA301)</f>
        <v>0.91158844983184</v>
      </c>
      <c r="HI301" s="60" t="n">
        <f aca="false">IF(HG301,HE301,HC301)</f>
        <v>0.218240791233887</v>
      </c>
      <c r="HJ301" s="60" t="n">
        <f aca="false">LN(HH301-FY301)</f>
        <v>-0.198812070380318</v>
      </c>
      <c r="HK301" s="60" t="n">
        <f aca="false">$E$27/FW301*(HH301-1)-HJ301-HI301*(2*FJ301/FV301-$E$27/FW301)</f>
        <v>-0.107840271021729</v>
      </c>
      <c r="HL301" s="60" t="n">
        <f aca="false">$F$27/FW301*(HH301-1)-HJ301-HI301*(2*FK301/FV301-$F$27/FW301)</f>
        <v>0.198812070380318</v>
      </c>
      <c r="HM301" s="60" t="n">
        <f aca="false">$G$27/FW301*(HH301-1)-HJ301-HI301*(2*FL301/FV301-$G$27/FW301)</f>
        <v>0.198812070380318</v>
      </c>
      <c r="HN301" s="60" t="n">
        <f aca="false">$H$27/FW301*(HH301-1)-HJ301-HI301*(2*FM301/FV301-$H$27/FW301)</f>
        <v>0.198812070380318</v>
      </c>
      <c r="HO301" s="60" t="n">
        <f aca="false">$I$27/FW301*(HH301-1)-HJ301-HI301*(2*FN301/FV301-$I$27/FW301)</f>
        <v>0.198812070380318</v>
      </c>
      <c r="HP301" s="60" t="n">
        <f aca="false">$J$27/FW301*(HH301-1)-HJ301-HI301*(2*FO301/FV301-$J$27/FW301)</f>
        <v>0.198812070380318</v>
      </c>
      <c r="HQ301" s="60" t="n">
        <f aca="false">$K$27/FW301*(HH301-1)-HJ301-HI301*(2*FP301/FV301-$K$27/FW301)</f>
        <v>0.198812070380318</v>
      </c>
      <c r="HR301" s="60" t="n">
        <f aca="false">$L$27/FW301*(HH301-1)-HJ301-HI301*(2*FQ301/FV301-$L$27/FW301)</f>
        <v>0.198812070380318</v>
      </c>
      <c r="HS301" s="60" t="n">
        <f aca="false">$M$27/FW301*(HH301-1)-HJ301-HI301*(2*FR301/FV301-$M$27/FW301)</f>
        <v>0.198812070380318</v>
      </c>
      <c r="HT301" s="60" t="n">
        <f aca="false">$N$27/FW301*(HH301-1)-HJ301-HI301*(2*FS301/FV301-$N$27/FW301)</f>
        <v>0.198812070380318</v>
      </c>
      <c r="HU301" s="60" t="n">
        <f aca="false">$O$27/FW301*(HH301-1)-HJ301-HI301*(2*FT301/FV301-$O$27/FW301)</f>
        <v>0.198812070380318</v>
      </c>
      <c r="HV301" s="60" t="n">
        <f aca="false">$P$27/FW301*(HH301-1)-HJ301-HI301*(2*FU301/FV301-$P$27/FW301)</f>
        <v>0.198812070380318</v>
      </c>
      <c r="HW301" s="60" t="n">
        <f aca="false">FY301/HH301&gt;$C$22</f>
        <v>0</v>
      </c>
      <c r="HX301" s="60" t="n">
        <f aca="false">IF($E$13&gt;0,MAX(-300,MIN(300,EW301-HK301)),0)</f>
        <v>0</v>
      </c>
      <c r="HY301" s="60" t="n">
        <f aca="false">IF($F$13&gt;0,MAX(-300,MIN(300,EX301-HL301)),0)</f>
        <v>0</v>
      </c>
      <c r="HZ301" s="60" t="n">
        <f aca="false">IF($G$13&gt;0,MAX(-300,MIN(300,EY301-HM301)),0)</f>
        <v>0</v>
      </c>
      <c r="IA301" s="60" t="n">
        <f aca="false">IF($H$13&gt;0,MAX(-300,MIN(300,EZ301-HN301)),0)</f>
        <v>0</v>
      </c>
      <c r="IB301" s="60" t="n">
        <f aca="false">IF($I$13&gt;0,MAX(-300,MIN(300,FA301-HO301)),0)</f>
        <v>0</v>
      </c>
      <c r="IC301" s="60" t="n">
        <f aca="false">IF($J$13&gt;0,MAX(-300,MIN(300,FB301-HP301)),0)</f>
        <v>0</v>
      </c>
      <c r="ID301" s="60" t="n">
        <f aca="false">IF($K$13&gt;0,MAX(-300,MIN(300,FC301-HQ301)),0)</f>
        <v>0</v>
      </c>
      <c r="IE301" s="60" t="n">
        <f aca="false">IF($L$13&gt;0,MAX(-300,MIN(300,FD301-HR301)),0)</f>
        <v>0</v>
      </c>
      <c r="IF301" s="60" t="n">
        <f aca="false">IF($M$13&gt;0,MAX(-300,MIN(300,FE301-HS301)),0)</f>
        <v>0</v>
      </c>
      <c r="IG301" s="60" t="n">
        <f aca="false">IF($N$13&gt;0,MAX(-300,MIN(300,FF301-HT301)),0)</f>
        <v>0</v>
      </c>
      <c r="IH301" s="60" t="n">
        <f aca="false">IF($O$13&gt;0,MAX(-300,MIN(300,FG301-HU301)),0)</f>
        <v>0</v>
      </c>
      <c r="II301" s="60" t="n">
        <f aca="false">IF($P$13&gt;0,MAX(-300,MIN(300,FH301-HV301)),0)</f>
        <v>0</v>
      </c>
      <c r="IJ301" s="60" t="n">
        <f aca="false">SUMXMY2(HX301:II301,B301:M301)</f>
        <v>0</v>
      </c>
      <c r="IK301" s="60" t="n">
        <f aca="false">SUMSQ(B301:M301)</f>
        <v>0</v>
      </c>
    </row>
    <row r="302" customFormat="false" ht="15" hidden="false" customHeight="false" outlineLevel="0" collapsed="false">
      <c r="A302" s="59" t="n">
        <v>5</v>
      </c>
      <c r="B302" s="60" t="n">
        <f aca="false">HX301</f>
        <v>0</v>
      </c>
      <c r="C302" s="60" t="n">
        <f aca="false">HY301</f>
        <v>0</v>
      </c>
      <c r="D302" s="60" t="n">
        <f aca="false">HZ301</f>
        <v>0</v>
      </c>
      <c r="E302" s="60" t="n">
        <f aca="false">IA301</f>
        <v>0</v>
      </c>
      <c r="F302" s="60" t="n">
        <f aca="false">IB301</f>
        <v>0</v>
      </c>
      <c r="G302" s="60" t="n">
        <f aca="false">IC301</f>
        <v>0</v>
      </c>
      <c r="H302" s="60" t="n">
        <f aca="false">ID301</f>
        <v>0</v>
      </c>
      <c r="I302" s="60" t="n">
        <f aca="false">IE301</f>
        <v>0</v>
      </c>
      <c r="J302" s="60" t="n">
        <f aca="false">IF301</f>
        <v>0</v>
      </c>
      <c r="K302" s="60" t="n">
        <f aca="false">IG301</f>
        <v>0</v>
      </c>
      <c r="L302" s="60" t="n">
        <f aca="false">IH301</f>
        <v>0</v>
      </c>
      <c r="M302" s="60" t="n">
        <f aca="false">II301</f>
        <v>0</v>
      </c>
      <c r="N302" s="60" t="n">
        <f aca="false">EXP(B302)</f>
        <v>1</v>
      </c>
      <c r="O302" s="60" t="n">
        <f aca="false">EXP(C302)</f>
        <v>1</v>
      </c>
      <c r="P302" s="60" t="n">
        <f aca="false">EXP(D302)</f>
        <v>1</v>
      </c>
      <c r="Q302" s="60" t="n">
        <f aca="false">EXP(E302)</f>
        <v>1</v>
      </c>
      <c r="R302" s="60" t="n">
        <f aca="false">EXP(F302)</f>
        <v>1</v>
      </c>
      <c r="S302" s="60" t="n">
        <f aca="false">EXP(G302)</f>
        <v>1</v>
      </c>
      <c r="T302" s="60" t="n">
        <f aca="false">EXP(H302)</f>
        <v>1</v>
      </c>
      <c r="U302" s="60" t="n">
        <f aca="false">EXP(I302)</f>
        <v>1</v>
      </c>
      <c r="V302" s="60" t="n">
        <f aca="false">EXP(J302)</f>
        <v>1</v>
      </c>
      <c r="W302" s="60" t="n">
        <f aca="false">EXP(K302)</f>
        <v>1</v>
      </c>
      <c r="X302" s="60" t="n">
        <f aca="false">EXP(L302)</f>
        <v>1</v>
      </c>
      <c r="Y302" s="60" t="n">
        <f aca="false">EXP(M302)</f>
        <v>1</v>
      </c>
      <c r="Z302" s="60" t="n">
        <f aca="false">MAX(N302:Y302)</f>
        <v>1</v>
      </c>
      <c r="AA302" s="60" t="n">
        <f aca="false">MIN(N302:Y302)</f>
        <v>1</v>
      </c>
      <c r="AB302" s="60" t="n">
        <f aca="false">AND(Z302&gt;1,AA302&lt;1)</f>
        <v>0</v>
      </c>
      <c r="AC302" s="60" t="n">
        <f aca="false">IF(AB302,1/(1-Z302),0)</f>
        <v>0</v>
      </c>
      <c r="AD302" s="60" t="n">
        <f aca="false">IF(AB302,1/(1-AA302),1)</f>
        <v>1</v>
      </c>
      <c r="AE302" s="60" t="n">
        <f aca="false">IF(AB302,MIN(MAX(BI301,AC302+0.000000001*(AD302-AC302)),AD302-0.000000001*(AD302-AC302)),IF(AA302&gt;=1,1,0))</f>
        <v>1</v>
      </c>
      <c r="AF302" s="60" t="n">
        <f aca="false">SUMPRODUCT($E$13:$P$13*(N302:Y302-1)/(1+AE302*(N302:Y302-1)))</f>
        <v>0</v>
      </c>
      <c r="AG302" s="60" t="n">
        <f aca="false">-SUMPRODUCT($E$13:$P$13*(N302:Y302-1)^2/(1+AE302*(N302:Y302-1))^2)</f>
        <v>-0</v>
      </c>
      <c r="AH302" s="60" t="n">
        <f aca="false">IF(OR(NOT(AB302),AG302=0),AE302,IF(AE302-AF302/AG302&lt;=AC302,(AE302+AC302)/2,IF(AE302-AF302/AG302&gt;=AD302,(AE302+AD302)/2,AE302-AF302/AG302)))</f>
        <v>1</v>
      </c>
      <c r="AI302" s="60" t="n">
        <f aca="false">SUMPRODUCT($E$13:$P$13*(N302:Y302-1)/(1+AH302*(N302:Y302-1)))</f>
        <v>0</v>
      </c>
      <c r="AJ302" s="60" t="n">
        <f aca="false">-SUMPRODUCT($E$13:$P$13*(N302:Y302-1)^2/(1+AH302*(N302:Y302-1))^2)</f>
        <v>-0</v>
      </c>
      <c r="AK302" s="60" t="n">
        <f aca="false">IF(OR(NOT(AB302),AJ302=0),AH302,IF(AH302-AI302/AJ302&lt;=AC302,(AH302+AC302)/2,IF(AH302-AI302/AJ302&gt;=AD302,(AH302+AD302)/2,AH302-AI302/AJ302)))</f>
        <v>1</v>
      </c>
      <c r="AL302" s="60" t="n">
        <f aca="false">SUMPRODUCT($E$13:$P$13*(N302:Y302-1)/(1+AK302*(N302:Y302-1)))</f>
        <v>0</v>
      </c>
      <c r="AM302" s="60" t="n">
        <f aca="false">-SUMPRODUCT($E$13:$P$13*(N302:Y302-1)^2/(1+AK302*(N302:Y302-1))^2)</f>
        <v>-0</v>
      </c>
      <c r="AN302" s="60" t="n">
        <f aca="false">IF(OR(NOT(AB302),AM302=0),AK302,IF(AK302-AL302/AM302&lt;=AC302,(AK302+AC302)/2,IF(AK302-AL302/AM302&gt;=AD302,(AK302+AD302)/2,AK302-AL302/AM302)))</f>
        <v>1</v>
      </c>
      <c r="AO302" s="60" t="n">
        <f aca="false">SUMPRODUCT($E$13:$P$13*(N302:Y302-1)/(1+AN302*(N302:Y302-1)))</f>
        <v>0</v>
      </c>
      <c r="AP302" s="60" t="n">
        <f aca="false">-SUMPRODUCT($E$13:$P$13*(N302:Y302-1)^2/(1+AN302*(N302:Y302-1))^2)</f>
        <v>-0</v>
      </c>
      <c r="AQ302" s="60" t="n">
        <f aca="false">IF(OR(NOT(AB302),AP302=0),AN302,IF(AN302-AO302/AP302&lt;=AC302,(AN302+AC302)/2,IF(AN302-AO302/AP302&gt;=AD302,(AN302+AD302)/2,AN302-AO302/AP302)))</f>
        <v>1</v>
      </c>
      <c r="AR302" s="60" t="n">
        <f aca="false">SUMPRODUCT($E$13:$P$13*(N302:Y302-1)/(1+AQ302*(N302:Y302-1)))</f>
        <v>0</v>
      </c>
      <c r="AS302" s="60" t="n">
        <f aca="false">-SUMPRODUCT($E$13:$P$13*(N302:Y302-1)^2/(1+AQ302*(N302:Y302-1))^2)</f>
        <v>-0</v>
      </c>
      <c r="AT302" s="60" t="n">
        <f aca="false">IF(OR(NOT(AB302),AS302=0),AQ302,IF(AQ302-AR302/AS302&lt;=AC302,(AQ302+AC302)/2,IF(AQ302-AR302/AS302&gt;=AD302,(AQ302+AD302)/2,AQ302-AR302/AS302)))</f>
        <v>1</v>
      </c>
      <c r="AU302" s="60" t="n">
        <f aca="false">SUMPRODUCT($E$13:$P$13*(N302:Y302-1)/(1+AT302*(N302:Y302-1)))</f>
        <v>0</v>
      </c>
      <c r="AV302" s="60" t="n">
        <f aca="false">-SUMPRODUCT($E$13:$P$13*(N302:Y302-1)^2/(1+AT302*(N302:Y302-1))^2)</f>
        <v>-0</v>
      </c>
      <c r="AW302" s="60" t="n">
        <f aca="false">IF(OR(NOT(AB302),AV302=0),AT302,IF(AT302-AU302/AV302&lt;=AC302,(AT302+AC302)/2,IF(AT302-AU302/AV302&gt;=AD302,(AT302+AD302)/2,AT302-AU302/AV302)))</f>
        <v>1</v>
      </c>
      <c r="AX302" s="60" t="n">
        <f aca="false">SUMPRODUCT($E$13:$P$13*(N302:Y302-1)/(1+AW302*(N302:Y302-1)))</f>
        <v>0</v>
      </c>
      <c r="AY302" s="60" t="n">
        <f aca="false">-SUMPRODUCT($E$13:$P$13*(N302:Y302-1)^2/(1+AW302*(N302:Y302-1))^2)</f>
        <v>-0</v>
      </c>
      <c r="AZ302" s="60" t="n">
        <f aca="false">IF(OR(NOT(AB302),AY302=0),AW302,IF(AW302-AX302/AY302&lt;=AC302,(AW302+AC302)/2,IF(AW302-AX302/AY302&gt;=AD302,(AW302+AD302)/2,AW302-AX302/AY302)))</f>
        <v>1</v>
      </c>
      <c r="BA302" s="60" t="n">
        <f aca="false">SUMPRODUCT($E$13:$P$13*(N302:Y302-1)/(1+AZ302*(N302:Y302-1)))</f>
        <v>0</v>
      </c>
      <c r="BB302" s="60" t="n">
        <f aca="false">-SUMPRODUCT($E$13:$P$13*(N302:Y302-1)^2/(1+AZ302*(N302:Y302-1))^2)</f>
        <v>-0</v>
      </c>
      <c r="BC302" s="60" t="n">
        <f aca="false">IF(OR(NOT(AB302),BB302=0),AZ302,IF(AZ302-BA302/BB302&lt;=AC302,(AZ302+AC302)/2,IF(AZ302-BA302/BB302&gt;=AD302,(AZ302+AD302)/2,AZ302-BA302/BB302)))</f>
        <v>1</v>
      </c>
      <c r="BD302" s="60" t="n">
        <f aca="false">SUMPRODUCT($E$13:$P$13*(N302:Y302-1)/(1+BC302*(N302:Y302-1)))</f>
        <v>0</v>
      </c>
      <c r="BE302" s="60" t="n">
        <f aca="false">-SUMPRODUCT($E$13:$P$13*(N302:Y302-1)^2/(1+BC302*(N302:Y302-1))^2)</f>
        <v>-0</v>
      </c>
      <c r="BF302" s="60" t="n">
        <f aca="false">IF(OR(NOT(AB302),BE302=0),BC302,IF(BC302-BD302/BE302&lt;=AC302,(BC302+AC302)/2,IF(BC302-BD302/BE302&gt;=AD302,(BC302+AD302)/2,BC302-BD302/BE302)))</f>
        <v>1</v>
      </c>
      <c r="BG302" s="60" t="n">
        <f aca="false">SUMPRODUCT($E$13:$P$13*(N302:Y302-1)/(1+BF302*(N302:Y302-1)))</f>
        <v>0</v>
      </c>
      <c r="BH302" s="60" t="n">
        <f aca="false">-SUMPRODUCT($E$13:$P$13*(N302:Y302-1)^2/(1+BF302*(N302:Y302-1))^2)</f>
        <v>-0</v>
      </c>
      <c r="BI302" s="60" t="n">
        <f aca="false">IF(OR(NOT(AB302),BH302=0),BF302,IF(BF302-BG302/BH302&lt;=AC302,(BF302+AC302)/2,IF(BF302-BG302/BH302&gt;=AD302,(BF302+AD302)/2,BF302-BG302/BH302)))</f>
        <v>1</v>
      </c>
      <c r="BJ302" s="60" t="n">
        <f aca="false">$E$13/(1+BI302*(N302-1))</f>
        <v>1</v>
      </c>
      <c r="BK302" s="60" t="n">
        <f aca="false">$F$13/(1+BI302*(O302-1))</f>
        <v>0</v>
      </c>
      <c r="BL302" s="60" t="n">
        <f aca="false">$G$13/(1+BI302*(P302-1))</f>
        <v>0</v>
      </c>
      <c r="BM302" s="60" t="n">
        <f aca="false">$H$13/(1+BI302*(Q302-1))</f>
        <v>0</v>
      </c>
      <c r="BN302" s="60" t="n">
        <f aca="false">$I$13/(1+BI302*(R302-1))</f>
        <v>0</v>
      </c>
      <c r="BO302" s="60" t="n">
        <f aca="false">$J$13/(1+BI302*(S302-1))</f>
        <v>0</v>
      </c>
      <c r="BP302" s="60" t="n">
        <f aca="false">$K$13/(1+BI302*(T302-1))</f>
        <v>0</v>
      </c>
      <c r="BQ302" s="60" t="n">
        <f aca="false">$L$13/(1+BI302*(U302-1))</f>
        <v>0</v>
      </c>
      <c r="BR302" s="60" t="n">
        <f aca="false">$M$13/(1+BI302*(V302-1))</f>
        <v>0</v>
      </c>
      <c r="BS302" s="60" t="n">
        <f aca="false">$N$13/(1+BI302*(W302-1))</f>
        <v>0</v>
      </c>
      <c r="BT302" s="60" t="n">
        <f aca="false">$O$13/(1+BI302*(X302-1))</f>
        <v>0</v>
      </c>
      <c r="BU302" s="60" t="n">
        <f aca="false">$P$13/(1+BI302*(Y302-1))</f>
        <v>0</v>
      </c>
      <c r="BV302" s="60" t="n">
        <f aca="false">SUM(BJ302:BU302)</f>
        <v>1</v>
      </c>
      <c r="BW302" s="60" t="n">
        <f aca="false">SUMPRODUCT(N302:Y302,BJ302:BU302)</f>
        <v>1</v>
      </c>
      <c r="BX302" s="60" t="n">
        <f aca="false">BJ302/BV302</f>
        <v>1</v>
      </c>
      <c r="BY302" s="60" t="n">
        <f aca="false">BK302/BV302</f>
        <v>0</v>
      </c>
      <c r="BZ302" s="60" t="n">
        <f aca="false">BL302/BV302</f>
        <v>0</v>
      </c>
      <c r="CA302" s="60" t="n">
        <f aca="false">BM302/BV302</f>
        <v>0</v>
      </c>
      <c r="CB302" s="60" t="n">
        <f aca="false">BN302/BV302</f>
        <v>0</v>
      </c>
      <c r="CC302" s="60" t="n">
        <f aca="false">BO302/BV302</f>
        <v>0</v>
      </c>
      <c r="CD302" s="60" t="n">
        <f aca="false">BP302/BV302</f>
        <v>0</v>
      </c>
      <c r="CE302" s="60" t="n">
        <f aca="false">BQ302/BV302</f>
        <v>0</v>
      </c>
      <c r="CF302" s="60" t="n">
        <f aca="false">BR302/BV302</f>
        <v>0</v>
      </c>
      <c r="CG302" s="60" t="n">
        <f aca="false">BS302/BV302</f>
        <v>0</v>
      </c>
      <c r="CH302" s="60" t="n">
        <f aca="false">BT302/BV302</f>
        <v>0</v>
      </c>
      <c r="CI302" s="60" t="n">
        <f aca="false">BU302/BV302</f>
        <v>0</v>
      </c>
      <c r="CJ302" s="60" t="n">
        <f aca="false">N302*BJ302/BW302</f>
        <v>1</v>
      </c>
      <c r="CK302" s="60" t="n">
        <f aca="false">O302*BK302/BW302</f>
        <v>0</v>
      </c>
      <c r="CL302" s="60" t="n">
        <f aca="false">P302*BL302/BW302</f>
        <v>0</v>
      </c>
      <c r="CM302" s="60" t="n">
        <f aca="false">Q302*BM302/BW302</f>
        <v>0</v>
      </c>
      <c r="CN302" s="60" t="n">
        <f aca="false">R302*BN302/BW302</f>
        <v>0</v>
      </c>
      <c r="CO302" s="60" t="n">
        <f aca="false">S302*BO302/BW302</f>
        <v>0</v>
      </c>
      <c r="CP302" s="60" t="n">
        <f aca="false">T302*BP302/BW302</f>
        <v>0</v>
      </c>
      <c r="CQ302" s="60" t="n">
        <f aca="false">U302*BQ302/BW302</f>
        <v>0</v>
      </c>
      <c r="CR302" s="60" t="n">
        <f aca="false">V302*BR302/BW302</f>
        <v>0</v>
      </c>
      <c r="CS302" s="60" t="n">
        <f aca="false">W302*BS302/BW302</f>
        <v>0</v>
      </c>
      <c r="CT302" s="60" t="n">
        <f aca="false">X302*BT302/BW302</f>
        <v>0</v>
      </c>
      <c r="CU302" s="60" t="n">
        <f aca="false">Y302*BU302/BW302</f>
        <v>0</v>
      </c>
      <c r="CV302" s="60" t="n">
        <f aca="false">$E$28*SUMPRODUCT($E$31:$P$31,BX302:CI302,$E$28:$P$28)</f>
        <v>0.184416866619846</v>
      </c>
      <c r="CW302" s="60" t="n">
        <f aca="false">$F$28*SUMPRODUCT($E$32:$P$32,BX302:CI302,$E$28:$P$28)</f>
        <v>0</v>
      </c>
      <c r="CX302" s="60" t="n">
        <f aca="false">$G$28*SUMPRODUCT($E$33:$P$33,BX302:CI302,$E$28:$P$28)</f>
        <v>0</v>
      </c>
      <c r="CY302" s="60" t="n">
        <f aca="false">$H$28*SUMPRODUCT($E$34:$P$34,BX302:CI302,$E$28:$P$28)</f>
        <v>0</v>
      </c>
      <c r="CZ302" s="60" t="n">
        <f aca="false">$I$28*SUMPRODUCT($E$35:$P$35,BX302:CI302,$E$28:$P$28)</f>
        <v>0</v>
      </c>
      <c r="DA302" s="60" t="n">
        <f aca="false">$J$28*SUMPRODUCT($E$36:$P$36,BX302:CI302,$E$28:$P$28)</f>
        <v>0</v>
      </c>
      <c r="DB302" s="60" t="n">
        <f aca="false">$K$28*SUMPRODUCT($E$37:$P$37,BX302:CI302,$E$28:$P$28)</f>
        <v>0</v>
      </c>
      <c r="DC302" s="60" t="n">
        <f aca="false">$L$28*SUMPRODUCT($E$38:$P$38,BX302:CI302,$E$28:$P$28)</f>
        <v>0</v>
      </c>
      <c r="DD302" s="60" t="n">
        <f aca="false">$M$28*SUMPRODUCT($E$39:$P$39,BX302:CI302,$E$28:$P$28)</f>
        <v>0</v>
      </c>
      <c r="DE302" s="60" t="n">
        <f aca="false">$N$28*SUMPRODUCT($E$40:$P$40,BX302:CI302,$E$28:$P$28)</f>
        <v>0</v>
      </c>
      <c r="DF302" s="60" t="n">
        <f aca="false">$O$28*SUMPRODUCT($E$41:$P$41,BX302:CI302,$E$28:$P$28)</f>
        <v>0</v>
      </c>
      <c r="DG302" s="60" t="n">
        <f aca="false">$P$28*SUMPRODUCT($E$42:$P$42,BX302:CI302,$E$28:$P$28)</f>
        <v>0</v>
      </c>
      <c r="DH302" s="60" t="n">
        <f aca="false">SUMPRODUCT(BX302:CI302,CV302:DG302)</f>
        <v>0.184416866619846</v>
      </c>
      <c r="DI302" s="60" t="n">
        <f aca="false">SUMPRODUCT(BX302:CI302,$E$27:$P$27)</f>
        <v>2.67389635063809E-005</v>
      </c>
      <c r="DJ302" s="60" t="n">
        <f aca="false">DH302*$C$9/($C$10*$C$8)^2</f>
        <v>0.21776909410545</v>
      </c>
      <c r="DK302" s="60" t="n">
        <f aca="false">DI302*$C$9/($C$10*$C$8)</f>
        <v>0.0918845243259994</v>
      </c>
      <c r="DL302" s="60" t="n">
        <f aca="false">CHOOSE($C$7,-(1+DK302),-1,-(1-DK302))</f>
        <v>-0.908115475674001</v>
      </c>
      <c r="DM302" s="60" t="n">
        <f aca="false">CHOOSE($C$7,DJ302,DJ302-DK302-DK302^2,DJ302-3*DK302^2-2*DK302)</f>
        <v>0.00867174802160559</v>
      </c>
      <c r="DN302" s="60" t="n">
        <f aca="false">CHOOSE($C$7,-DJ302*DK302,-DJ302*DK302,-(DJ302*DK302-DK302^2-DK302^3))</f>
        <v>-0.0107910842936637</v>
      </c>
      <c r="DO302" s="60" t="n">
        <f aca="false">DM302-DL302^2/3</f>
        <v>-0.266219491031267</v>
      </c>
      <c r="DP302" s="60" t="n">
        <f aca="false">2*DL302^3/27-DL302*DM302/3+DN302</f>
        <v>-0.0636400988362784</v>
      </c>
      <c r="DQ302" s="60" t="n">
        <f aca="false">DP302^2/4+DO302^3/27</f>
        <v>0.000313710901361829</v>
      </c>
      <c r="DR302" s="60" t="n">
        <f aca="false">-DP302/2-IF(DP302&gt;=0,1,-1)*SQRT(MAX(DQ302,0))</f>
        <v>0.0495319352963236</v>
      </c>
      <c r="DS302" s="60" t="n">
        <f aca="false">SIGN(DR302)*ABS(DR302)^(1/3)</f>
        <v>0.367249967174439</v>
      </c>
      <c r="DT302" s="60" t="n">
        <f aca="false">IF(DS302=0,0,DS302-DO302/(3*DS302))</f>
        <v>0.60888329127384</v>
      </c>
      <c r="DU302" s="60" t="n">
        <f aca="false">2*SQRT(MAX(-DO302,0)/3)</f>
        <v>0.595784626668918</v>
      </c>
      <c r="DV302" s="60" t="n">
        <f aca="false">ACOS(IF(DU302=0,0,MAX(-1,MIN(1,3*DP302/(DO302*DU302)))))</f>
        <v>0</v>
      </c>
      <c r="DW302" s="60" t="n">
        <f aca="false">DU302*COS(DV302/3)</f>
        <v>0.595784626668918</v>
      </c>
      <c r="DX302" s="60" t="n">
        <f aca="false">IF(DQ302&lt;0,DW302,DT302)-DL302/3</f>
        <v>0.91158844983184</v>
      </c>
      <c r="DY302" s="60" t="n">
        <f aca="false">IFERROR((((DX302+DL302)*DX302+DM302)*DX302+DN302)/((3*DX302+2*DL302)*DX302+DM302),0)</f>
        <v>0</v>
      </c>
      <c r="DZ302" s="60" t="n">
        <f aca="false">IF(ABS(DY302)&lt;0.1*ABS(DX302),DX302-DY302,DX302)</f>
        <v>0.91158844983184</v>
      </c>
      <c r="EA302" s="60" t="n">
        <f aca="false">IFERROR((((DZ302+DL302)*DZ302+DM302)*DZ302+DN302)/((3*DZ302+2*DL302)*DZ302+DM302),0)</f>
        <v>0</v>
      </c>
      <c r="EB302" s="60" t="n">
        <f aca="false">IF(ABS(EA302)&lt;0.1*ABS(DZ302),DZ302-EA302,DZ302)</f>
        <v>0.91158844983184</v>
      </c>
      <c r="EC302" s="60" t="n">
        <f aca="false">-DN302/EB302</f>
        <v>0.0118376711504565</v>
      </c>
      <c r="ED302" s="60" t="n">
        <f aca="false">(DM302-EC302)/EB302</f>
        <v>-0.00347297415783941</v>
      </c>
      <c r="EE302" s="60" t="n">
        <f aca="false">ED302^2-4*EC302</f>
        <v>-0.0473386230523248</v>
      </c>
      <c r="EF302" s="60" t="n">
        <f aca="false">IF(EE302&gt;=0,(ED302+IF(ED302&gt;=0,1,-1)*SQRT(EE302))/2,0)</f>
        <v>0</v>
      </c>
      <c r="EG302" s="60" t="n">
        <f aca="false">IF(AND(EE302&gt;=0,EF302&lt;&gt;0),MIN(EF302,EC302/EF302),-1)</f>
        <v>-1</v>
      </c>
      <c r="EH302" s="60" t="n">
        <f aca="false">AND(EE302&gt;=0,EG302&gt;DK302,ABS(EB302-EG302)&gt;=0.00005*MAX(EB302,EG302))</f>
        <v>0</v>
      </c>
      <c r="EI302" s="60" t="n">
        <f aca="false">IF(EH302,IFERROR((((EG302+DL302)*EG302+DM302)*EG302+DN302)/((3*EG302+2*DL302)*EG302+DM302),0),0)</f>
        <v>0</v>
      </c>
      <c r="EJ302" s="60" t="n">
        <f aca="false">IF(ABS(EI302)&lt;0.1*ABS(EG302),EG302-EI302,EG302)</f>
        <v>-1</v>
      </c>
      <c r="EK302" s="60" t="n">
        <f aca="false">IF(EH302,IFERROR((((EJ302+DL302)*EJ302+DM302)*EJ302+DN302)/((3*EJ302+2*DL302)*EJ302+DM302),0),0)</f>
        <v>0</v>
      </c>
      <c r="EL302" s="60" t="n">
        <f aca="false">IF(ABS(EK302)&lt;0.1*ABS(EJ302),EJ302-EK302,EJ302)</f>
        <v>-1</v>
      </c>
      <c r="EM302" s="60" t="n">
        <f aca="false">IF(EH302,MAX(EB302,EL302),EB302)</f>
        <v>0.91158844983184</v>
      </c>
      <c r="EN302" s="60" t="n">
        <f aca="false">IF(EH302,MIN(EB302,EL302),-1)</f>
        <v>-1</v>
      </c>
      <c r="EO302" s="60" t="n">
        <f aca="false">CHOOSE($C$7,DJ302/EM302,DJ302/DK302*LN(1+DK302/EM302),DJ302/(2*SQRT(2)*DK302)*LN((EM302+(1+SQRT(2))*DK302)/(EM302+(1-SQRT(2))*DK302)))</f>
        <v>0.218240791233887</v>
      </c>
      <c r="EP302" s="60" t="n">
        <f aca="false">EM302-1-LN(EM302-DK302)-EO302</f>
        <v>-0.107840271021729</v>
      </c>
      <c r="EQ302" s="60" t="n">
        <f aca="false">IF(EH302,CHOOSE($C$7,DJ302/EN302,DJ302/DK302*LN(1+DK302/EN302),DJ302/(2*SQRT(2)*DK302)*LN((EN302+(1+SQRT(2))*DK302)/(EN302+(1-SQRT(2))*DK302))),0)</f>
        <v>0</v>
      </c>
      <c r="ER302" s="60" t="n">
        <f aca="false">IF(EH302,EN302-1-LN(EN302-DK302)-EQ302,0)</f>
        <v>0</v>
      </c>
      <c r="ES302" s="60" t="n">
        <f aca="false">AND(EH302,ER302&lt;EP302)</f>
        <v>0</v>
      </c>
      <c r="ET302" s="60" t="n">
        <f aca="false">IF(ES302,EN302,EM302)</f>
        <v>0.91158844983184</v>
      </c>
      <c r="EU302" s="60" t="n">
        <f aca="false">IF(ES302,EQ302,EO302)</f>
        <v>0.218240791233887</v>
      </c>
      <c r="EV302" s="60" t="n">
        <f aca="false">LN(ET302-DK302)</f>
        <v>-0.198812070380318</v>
      </c>
      <c r="EW302" s="60" t="n">
        <f aca="false">$E$27/DI302*(ET302-1)-EV302-EU302*(2*CV302/DH302-$E$27/DI302)</f>
        <v>-0.107840271021729</v>
      </c>
      <c r="EX302" s="60" t="n">
        <f aca="false">$F$27/DI302*(ET302-1)-EV302-EU302*(2*CW302/DH302-$F$27/DI302)</f>
        <v>0.198812070380318</v>
      </c>
      <c r="EY302" s="60" t="n">
        <f aca="false">$G$27/DI302*(ET302-1)-EV302-EU302*(2*CX302/DH302-$G$27/DI302)</f>
        <v>0.198812070380318</v>
      </c>
      <c r="EZ302" s="60" t="n">
        <f aca="false">$H$27/DI302*(ET302-1)-EV302-EU302*(2*CY302/DH302-$H$27/DI302)</f>
        <v>0.198812070380318</v>
      </c>
      <c r="FA302" s="60" t="n">
        <f aca="false">$I$27/DI302*(ET302-1)-EV302-EU302*(2*CZ302/DH302-$I$27/DI302)</f>
        <v>0.198812070380318</v>
      </c>
      <c r="FB302" s="60" t="n">
        <f aca="false">$J$27/DI302*(ET302-1)-EV302-EU302*(2*DA302/DH302-$J$27/DI302)</f>
        <v>0.198812070380318</v>
      </c>
      <c r="FC302" s="60" t="n">
        <f aca="false">$K$27/DI302*(ET302-1)-EV302-EU302*(2*DB302/DH302-$K$27/DI302)</f>
        <v>0.198812070380318</v>
      </c>
      <c r="FD302" s="60" t="n">
        <f aca="false">$L$27/DI302*(ET302-1)-EV302-EU302*(2*DC302/DH302-$L$27/DI302)</f>
        <v>0.198812070380318</v>
      </c>
      <c r="FE302" s="60" t="n">
        <f aca="false">$M$27/DI302*(ET302-1)-EV302-EU302*(2*DD302/DH302-$M$27/DI302)</f>
        <v>0.198812070380318</v>
      </c>
      <c r="FF302" s="60" t="n">
        <f aca="false">$N$27/DI302*(ET302-1)-EV302-EU302*(2*DE302/DH302-$N$27/DI302)</f>
        <v>0.198812070380318</v>
      </c>
      <c r="FG302" s="60" t="n">
        <f aca="false">$O$27/DI302*(ET302-1)-EV302-EU302*(2*DF302/DH302-$O$27/DI302)</f>
        <v>0.198812070380318</v>
      </c>
      <c r="FH302" s="60" t="n">
        <f aca="false">$P$27/DI302*(ET302-1)-EV302-EU302*(2*DG302/DH302-$P$27/DI302)</f>
        <v>0.198812070380318</v>
      </c>
      <c r="FI302" s="60" t="n">
        <f aca="false">DK302/ET302&gt;$C$22</f>
        <v>0</v>
      </c>
      <c r="FJ302" s="60" t="n">
        <f aca="false">$E$28*SUMPRODUCT($E$31:$P$31,CJ302:CU302,$E$28:$P$28)</f>
        <v>0.184416866619846</v>
      </c>
      <c r="FK302" s="60" t="n">
        <f aca="false">$F$28*SUMPRODUCT($E$32:$P$32,CJ302:CU302,$E$28:$P$28)</f>
        <v>0</v>
      </c>
      <c r="FL302" s="60" t="n">
        <f aca="false">$G$28*SUMPRODUCT($E$33:$P$33,CJ302:CU302,$E$28:$P$28)</f>
        <v>0</v>
      </c>
      <c r="FM302" s="60" t="n">
        <f aca="false">$H$28*SUMPRODUCT($E$34:$P$34,CJ302:CU302,$E$28:$P$28)</f>
        <v>0</v>
      </c>
      <c r="FN302" s="60" t="n">
        <f aca="false">$I$28*SUMPRODUCT($E$35:$P$35,CJ302:CU302,$E$28:$P$28)</f>
        <v>0</v>
      </c>
      <c r="FO302" s="60" t="n">
        <f aca="false">$J$28*SUMPRODUCT($E$36:$P$36,CJ302:CU302,$E$28:$P$28)</f>
        <v>0</v>
      </c>
      <c r="FP302" s="60" t="n">
        <f aca="false">$K$28*SUMPRODUCT($E$37:$P$37,CJ302:CU302,$E$28:$P$28)</f>
        <v>0</v>
      </c>
      <c r="FQ302" s="60" t="n">
        <f aca="false">$L$28*SUMPRODUCT($E$38:$P$38,CJ302:CU302,$E$28:$P$28)</f>
        <v>0</v>
      </c>
      <c r="FR302" s="60" t="n">
        <f aca="false">$M$28*SUMPRODUCT($E$39:$P$39,CJ302:CU302,$E$28:$P$28)</f>
        <v>0</v>
      </c>
      <c r="FS302" s="60" t="n">
        <f aca="false">$N$28*SUMPRODUCT($E$40:$P$40,CJ302:CU302,$E$28:$P$28)</f>
        <v>0</v>
      </c>
      <c r="FT302" s="60" t="n">
        <f aca="false">$O$28*SUMPRODUCT($E$41:$P$41,CJ302:CU302,$E$28:$P$28)</f>
        <v>0</v>
      </c>
      <c r="FU302" s="60" t="n">
        <f aca="false">$P$28*SUMPRODUCT($E$42:$P$42,CJ302:CU302,$E$28:$P$28)</f>
        <v>0</v>
      </c>
      <c r="FV302" s="60" t="n">
        <f aca="false">SUMPRODUCT(CJ302:CU302,FJ302:FU302)</f>
        <v>0.184416866619846</v>
      </c>
      <c r="FW302" s="60" t="n">
        <f aca="false">SUMPRODUCT(CJ302:CU302,$E$27:$P$27)</f>
        <v>2.67389635063809E-005</v>
      </c>
      <c r="FX302" s="60" t="n">
        <f aca="false">FV302*$C$9/($C$10*$C$8)^2</f>
        <v>0.21776909410545</v>
      </c>
      <c r="FY302" s="60" t="n">
        <f aca="false">FW302*$C$9/($C$10*$C$8)</f>
        <v>0.0918845243259994</v>
      </c>
      <c r="FZ302" s="60" t="n">
        <f aca="false">CHOOSE($C$7,-(1+FY302),-1,-(1-FY302))</f>
        <v>-0.908115475674001</v>
      </c>
      <c r="GA302" s="60" t="n">
        <f aca="false">CHOOSE($C$7,FX302,FX302-FY302-FY302^2,FX302-3*FY302^2-2*FY302)</f>
        <v>0.00867174802160559</v>
      </c>
      <c r="GB302" s="60" t="n">
        <f aca="false">CHOOSE($C$7,-FX302*FY302,-FX302*FY302,-(FX302*FY302-FY302^2-FY302^3))</f>
        <v>-0.0107910842936637</v>
      </c>
      <c r="GC302" s="60" t="n">
        <f aca="false">GA302-FZ302^2/3</f>
        <v>-0.266219491031267</v>
      </c>
      <c r="GD302" s="60" t="n">
        <f aca="false">2*FZ302^3/27-FZ302*GA302/3+GB302</f>
        <v>-0.0636400988362784</v>
      </c>
      <c r="GE302" s="60" t="n">
        <f aca="false">GD302^2/4+GC302^3/27</f>
        <v>0.000313710901361829</v>
      </c>
      <c r="GF302" s="60" t="n">
        <f aca="false">-GD302/2-IF(GD302&gt;=0,1,-1)*SQRT(MAX(GE302,0))</f>
        <v>0.0495319352963236</v>
      </c>
      <c r="GG302" s="60" t="n">
        <f aca="false">SIGN(GF302)*ABS(GF302)^(1/3)</f>
        <v>0.367249967174439</v>
      </c>
      <c r="GH302" s="60" t="n">
        <f aca="false">IF(GG302=0,0,GG302-GC302/(3*GG302))</f>
        <v>0.60888329127384</v>
      </c>
      <c r="GI302" s="60" t="n">
        <f aca="false">2*SQRT(MAX(-GC302,0)/3)</f>
        <v>0.595784626668918</v>
      </c>
      <c r="GJ302" s="60" t="n">
        <f aca="false">ACOS(IF(GI302=0,0,MAX(-1,MIN(1,3*GD302/(GC302*GI302)))))</f>
        <v>0</v>
      </c>
      <c r="GK302" s="60" t="n">
        <f aca="false">GI302*COS(GJ302/3)</f>
        <v>0.595784626668918</v>
      </c>
      <c r="GL302" s="60" t="n">
        <f aca="false">IF(GE302&lt;0,GK302,GH302)-FZ302/3</f>
        <v>0.91158844983184</v>
      </c>
      <c r="GM302" s="60" t="n">
        <f aca="false">IFERROR((((GL302+FZ302)*GL302+GA302)*GL302+GB302)/((3*GL302+2*FZ302)*GL302+GA302),0)</f>
        <v>0</v>
      </c>
      <c r="GN302" s="60" t="n">
        <f aca="false">IF(ABS(GM302)&lt;0.1*ABS(GL302),GL302-GM302,GL302)</f>
        <v>0.91158844983184</v>
      </c>
      <c r="GO302" s="60" t="n">
        <f aca="false">IFERROR((((GN302+FZ302)*GN302+GA302)*GN302+GB302)/((3*GN302+2*FZ302)*GN302+GA302),0)</f>
        <v>0</v>
      </c>
      <c r="GP302" s="60" t="n">
        <f aca="false">IF(ABS(GO302)&lt;0.1*ABS(GN302),GN302-GO302,GN302)</f>
        <v>0.91158844983184</v>
      </c>
      <c r="GQ302" s="60" t="n">
        <f aca="false">-GB302/GP302</f>
        <v>0.0118376711504565</v>
      </c>
      <c r="GR302" s="60" t="n">
        <f aca="false">(GA302-GQ302)/GP302</f>
        <v>-0.00347297415783941</v>
      </c>
      <c r="GS302" s="60" t="n">
        <f aca="false">GR302^2-4*GQ302</f>
        <v>-0.0473386230523248</v>
      </c>
      <c r="GT302" s="60" t="n">
        <f aca="false">IF(GS302&gt;=0,(GR302+IF(GR302&gt;=0,1,-1)*SQRT(GS302))/2,0)</f>
        <v>0</v>
      </c>
      <c r="GU302" s="60" t="n">
        <f aca="false">IF(AND(GS302&gt;=0,GT302&lt;&gt;0),MIN(GT302,GQ302/GT302),-1)</f>
        <v>-1</v>
      </c>
      <c r="GV302" s="60" t="n">
        <f aca="false">AND(GS302&gt;=0,GU302&gt;FY302,ABS(GP302-GU302)&gt;=0.00005*MAX(GP302,GU302))</f>
        <v>0</v>
      </c>
      <c r="GW302" s="60" t="n">
        <f aca="false">IF(GV302,IFERROR((((GU302+FZ302)*GU302+GA302)*GU302+GB302)/((3*GU302+2*FZ302)*GU302+GA302),0),0)</f>
        <v>0</v>
      </c>
      <c r="GX302" s="60" t="n">
        <f aca="false">IF(ABS(GW302)&lt;0.1*ABS(GU302),GU302-GW302,GU302)</f>
        <v>-1</v>
      </c>
      <c r="GY302" s="60" t="n">
        <f aca="false">IF(GV302,IFERROR((((GX302+FZ302)*GX302+GA302)*GX302+GB302)/((3*GX302+2*FZ302)*GX302+GA302),0),0)</f>
        <v>0</v>
      </c>
      <c r="GZ302" s="60" t="n">
        <f aca="false">IF(ABS(GY302)&lt;0.1*ABS(GX302),GX302-GY302,GX302)</f>
        <v>-1</v>
      </c>
      <c r="HA302" s="60" t="n">
        <f aca="false">IF(GV302,MAX(GP302,GZ302),GP302)</f>
        <v>0.91158844983184</v>
      </c>
      <c r="HB302" s="60" t="n">
        <f aca="false">IF(GV302,MIN(GP302,GZ302),-1)</f>
        <v>-1</v>
      </c>
      <c r="HC302" s="60" t="n">
        <f aca="false">CHOOSE($C$7,FX302/HA302,FX302/FY302*LN(1+FY302/HA302),FX302/(2*SQRT(2)*FY302)*LN((HA302+(1+SQRT(2))*FY302)/(HA302+(1-SQRT(2))*FY302)))</f>
        <v>0.218240791233887</v>
      </c>
      <c r="HD302" s="60" t="n">
        <f aca="false">HA302-1-LN(HA302-FY302)-HC302</f>
        <v>-0.107840271021729</v>
      </c>
      <c r="HE302" s="60" t="n">
        <f aca="false">IF(GV302,CHOOSE($C$7,FX302/HB302,FX302/FY302*LN(1+FY302/HB302),FX302/(2*SQRT(2)*FY302)*LN((HB302+(1+SQRT(2))*FY302)/(HB302+(1-SQRT(2))*FY302))),0)</f>
        <v>0</v>
      </c>
      <c r="HF302" s="60" t="n">
        <f aca="false">IF(GV302,HB302-1-LN(HB302-FY302)-HE302,0)</f>
        <v>0</v>
      </c>
      <c r="HG302" s="60" t="n">
        <f aca="false">AND(GV302,HF302&lt;HD302)</f>
        <v>0</v>
      </c>
      <c r="HH302" s="60" t="n">
        <f aca="false">IF(HG302,HB302,HA302)</f>
        <v>0.91158844983184</v>
      </c>
      <c r="HI302" s="60" t="n">
        <f aca="false">IF(HG302,HE302,HC302)</f>
        <v>0.218240791233887</v>
      </c>
      <c r="HJ302" s="60" t="n">
        <f aca="false">LN(HH302-FY302)</f>
        <v>-0.198812070380318</v>
      </c>
      <c r="HK302" s="60" t="n">
        <f aca="false">$E$27/FW302*(HH302-1)-HJ302-HI302*(2*FJ302/FV302-$E$27/FW302)</f>
        <v>-0.107840271021729</v>
      </c>
      <c r="HL302" s="60" t="n">
        <f aca="false">$F$27/FW302*(HH302-1)-HJ302-HI302*(2*FK302/FV302-$F$27/FW302)</f>
        <v>0.198812070380318</v>
      </c>
      <c r="HM302" s="60" t="n">
        <f aca="false">$G$27/FW302*(HH302-1)-HJ302-HI302*(2*FL302/FV302-$G$27/FW302)</f>
        <v>0.198812070380318</v>
      </c>
      <c r="HN302" s="60" t="n">
        <f aca="false">$H$27/FW302*(HH302-1)-HJ302-HI302*(2*FM302/FV302-$H$27/FW302)</f>
        <v>0.198812070380318</v>
      </c>
      <c r="HO302" s="60" t="n">
        <f aca="false">$I$27/FW302*(HH302-1)-HJ302-HI302*(2*FN302/FV302-$I$27/FW302)</f>
        <v>0.198812070380318</v>
      </c>
      <c r="HP302" s="60" t="n">
        <f aca="false">$J$27/FW302*(HH302-1)-HJ302-HI302*(2*FO302/FV302-$J$27/FW302)</f>
        <v>0.198812070380318</v>
      </c>
      <c r="HQ302" s="60" t="n">
        <f aca="false">$K$27/FW302*(HH302-1)-HJ302-HI302*(2*FP302/FV302-$K$27/FW302)</f>
        <v>0.198812070380318</v>
      </c>
      <c r="HR302" s="60" t="n">
        <f aca="false">$L$27/FW302*(HH302-1)-HJ302-HI302*(2*FQ302/FV302-$L$27/FW302)</f>
        <v>0.198812070380318</v>
      </c>
      <c r="HS302" s="60" t="n">
        <f aca="false">$M$27/FW302*(HH302-1)-HJ302-HI302*(2*FR302/FV302-$M$27/FW302)</f>
        <v>0.198812070380318</v>
      </c>
      <c r="HT302" s="60" t="n">
        <f aca="false">$N$27/FW302*(HH302-1)-HJ302-HI302*(2*FS302/FV302-$N$27/FW302)</f>
        <v>0.198812070380318</v>
      </c>
      <c r="HU302" s="60" t="n">
        <f aca="false">$O$27/FW302*(HH302-1)-HJ302-HI302*(2*FT302/FV302-$O$27/FW302)</f>
        <v>0.198812070380318</v>
      </c>
      <c r="HV302" s="60" t="n">
        <f aca="false">$P$27/FW302*(HH302-1)-HJ302-HI302*(2*FU302/FV302-$P$27/FW302)</f>
        <v>0.198812070380318</v>
      </c>
      <c r="HW302" s="60" t="n">
        <f aca="false">FY302/HH302&gt;$C$22</f>
        <v>0</v>
      </c>
      <c r="HX302" s="60" t="n">
        <f aca="false">IF($E$13&gt;0,MAX(-300,MIN(300,EW302-HK302)),0)</f>
        <v>0</v>
      </c>
      <c r="HY302" s="60" t="n">
        <f aca="false">IF($F$13&gt;0,MAX(-300,MIN(300,EX302-HL302)),0)</f>
        <v>0</v>
      </c>
      <c r="HZ302" s="60" t="n">
        <f aca="false">IF($G$13&gt;0,MAX(-300,MIN(300,EY302-HM302)),0)</f>
        <v>0</v>
      </c>
      <c r="IA302" s="60" t="n">
        <f aca="false">IF($H$13&gt;0,MAX(-300,MIN(300,EZ302-HN302)),0)</f>
        <v>0</v>
      </c>
      <c r="IB302" s="60" t="n">
        <f aca="false">IF($I$13&gt;0,MAX(-300,MIN(300,FA302-HO302)),0)</f>
        <v>0</v>
      </c>
      <c r="IC302" s="60" t="n">
        <f aca="false">IF($J$13&gt;0,MAX(-300,MIN(300,FB302-HP302)),0)</f>
        <v>0</v>
      </c>
      <c r="ID302" s="60" t="n">
        <f aca="false">IF($K$13&gt;0,MAX(-300,MIN(300,FC302-HQ302)),0)</f>
        <v>0</v>
      </c>
      <c r="IE302" s="60" t="n">
        <f aca="false">IF($L$13&gt;0,MAX(-300,MIN(300,FD302-HR302)),0)</f>
        <v>0</v>
      </c>
      <c r="IF302" s="60" t="n">
        <f aca="false">IF($M$13&gt;0,MAX(-300,MIN(300,FE302-HS302)),0)</f>
        <v>0</v>
      </c>
      <c r="IG302" s="60" t="n">
        <f aca="false">IF($N$13&gt;0,MAX(-300,MIN(300,FF302-HT302)),0)</f>
        <v>0</v>
      </c>
      <c r="IH302" s="60" t="n">
        <f aca="false">IF($O$13&gt;0,MAX(-300,MIN(300,FG302-HU302)),0)</f>
        <v>0</v>
      </c>
      <c r="II302" s="60" t="n">
        <f aca="false">IF($P$13&gt;0,MAX(-300,MIN(300,FH302-HV302)),0)</f>
        <v>0</v>
      </c>
      <c r="IJ302" s="60" t="n">
        <f aca="false">SUMXMY2(HX302:II302,B302:M302)</f>
        <v>0</v>
      </c>
      <c r="IK302" s="60" t="n">
        <f aca="false">SUMSQ(B302:M302)</f>
        <v>0</v>
      </c>
    </row>
    <row r="303" customFormat="false" ht="15" hidden="false" customHeight="false" outlineLevel="0" collapsed="false">
      <c r="A303" s="59" t="n">
        <v>6</v>
      </c>
      <c r="B303" s="60" t="n">
        <f aca="false">HX302</f>
        <v>0</v>
      </c>
      <c r="C303" s="60" t="n">
        <f aca="false">HY302</f>
        <v>0</v>
      </c>
      <c r="D303" s="60" t="n">
        <f aca="false">HZ302</f>
        <v>0</v>
      </c>
      <c r="E303" s="60" t="n">
        <f aca="false">IA302</f>
        <v>0</v>
      </c>
      <c r="F303" s="60" t="n">
        <f aca="false">IB302</f>
        <v>0</v>
      </c>
      <c r="G303" s="60" t="n">
        <f aca="false">IC302</f>
        <v>0</v>
      </c>
      <c r="H303" s="60" t="n">
        <f aca="false">ID302</f>
        <v>0</v>
      </c>
      <c r="I303" s="60" t="n">
        <f aca="false">IE302</f>
        <v>0</v>
      </c>
      <c r="J303" s="60" t="n">
        <f aca="false">IF302</f>
        <v>0</v>
      </c>
      <c r="K303" s="60" t="n">
        <f aca="false">IG302</f>
        <v>0</v>
      </c>
      <c r="L303" s="60" t="n">
        <f aca="false">IH302</f>
        <v>0</v>
      </c>
      <c r="M303" s="60" t="n">
        <f aca="false">II302</f>
        <v>0</v>
      </c>
      <c r="N303" s="60" t="n">
        <f aca="false">EXP(B303)</f>
        <v>1</v>
      </c>
      <c r="O303" s="60" t="n">
        <f aca="false">EXP(C303)</f>
        <v>1</v>
      </c>
      <c r="P303" s="60" t="n">
        <f aca="false">EXP(D303)</f>
        <v>1</v>
      </c>
      <c r="Q303" s="60" t="n">
        <f aca="false">EXP(E303)</f>
        <v>1</v>
      </c>
      <c r="R303" s="60" t="n">
        <f aca="false">EXP(F303)</f>
        <v>1</v>
      </c>
      <c r="S303" s="60" t="n">
        <f aca="false">EXP(G303)</f>
        <v>1</v>
      </c>
      <c r="T303" s="60" t="n">
        <f aca="false">EXP(H303)</f>
        <v>1</v>
      </c>
      <c r="U303" s="60" t="n">
        <f aca="false">EXP(I303)</f>
        <v>1</v>
      </c>
      <c r="V303" s="60" t="n">
        <f aca="false">EXP(J303)</f>
        <v>1</v>
      </c>
      <c r="W303" s="60" t="n">
        <f aca="false">EXP(K303)</f>
        <v>1</v>
      </c>
      <c r="X303" s="60" t="n">
        <f aca="false">EXP(L303)</f>
        <v>1</v>
      </c>
      <c r="Y303" s="60" t="n">
        <f aca="false">EXP(M303)</f>
        <v>1</v>
      </c>
      <c r="Z303" s="60" t="n">
        <f aca="false">MAX(N303:Y303)</f>
        <v>1</v>
      </c>
      <c r="AA303" s="60" t="n">
        <f aca="false">MIN(N303:Y303)</f>
        <v>1</v>
      </c>
      <c r="AB303" s="60" t="n">
        <f aca="false">AND(Z303&gt;1,AA303&lt;1)</f>
        <v>0</v>
      </c>
      <c r="AC303" s="60" t="n">
        <f aca="false">IF(AB303,1/(1-Z303),0)</f>
        <v>0</v>
      </c>
      <c r="AD303" s="60" t="n">
        <f aca="false">IF(AB303,1/(1-AA303),1)</f>
        <v>1</v>
      </c>
      <c r="AE303" s="60" t="n">
        <f aca="false">IF(AB303,MIN(MAX(BI302,AC303+0.000000001*(AD303-AC303)),AD303-0.000000001*(AD303-AC303)),IF(AA303&gt;=1,1,0))</f>
        <v>1</v>
      </c>
      <c r="AF303" s="60" t="n">
        <f aca="false">SUMPRODUCT($E$13:$P$13*(N303:Y303-1)/(1+AE303*(N303:Y303-1)))</f>
        <v>0</v>
      </c>
      <c r="AG303" s="60" t="n">
        <f aca="false">-SUMPRODUCT($E$13:$P$13*(N303:Y303-1)^2/(1+AE303*(N303:Y303-1))^2)</f>
        <v>-0</v>
      </c>
      <c r="AH303" s="60" t="n">
        <f aca="false">IF(OR(NOT(AB303),AG303=0),AE303,IF(AE303-AF303/AG303&lt;=AC303,(AE303+AC303)/2,IF(AE303-AF303/AG303&gt;=AD303,(AE303+AD303)/2,AE303-AF303/AG303)))</f>
        <v>1</v>
      </c>
      <c r="AI303" s="60" t="n">
        <f aca="false">SUMPRODUCT($E$13:$P$13*(N303:Y303-1)/(1+AH303*(N303:Y303-1)))</f>
        <v>0</v>
      </c>
      <c r="AJ303" s="60" t="n">
        <f aca="false">-SUMPRODUCT($E$13:$P$13*(N303:Y303-1)^2/(1+AH303*(N303:Y303-1))^2)</f>
        <v>-0</v>
      </c>
      <c r="AK303" s="60" t="n">
        <f aca="false">IF(OR(NOT(AB303),AJ303=0),AH303,IF(AH303-AI303/AJ303&lt;=AC303,(AH303+AC303)/2,IF(AH303-AI303/AJ303&gt;=AD303,(AH303+AD303)/2,AH303-AI303/AJ303)))</f>
        <v>1</v>
      </c>
      <c r="AL303" s="60" t="n">
        <f aca="false">SUMPRODUCT($E$13:$P$13*(N303:Y303-1)/(1+AK303*(N303:Y303-1)))</f>
        <v>0</v>
      </c>
      <c r="AM303" s="60" t="n">
        <f aca="false">-SUMPRODUCT($E$13:$P$13*(N303:Y303-1)^2/(1+AK303*(N303:Y303-1))^2)</f>
        <v>-0</v>
      </c>
      <c r="AN303" s="60" t="n">
        <f aca="false">IF(OR(NOT(AB303),AM303=0),AK303,IF(AK303-AL303/AM303&lt;=AC303,(AK303+AC303)/2,IF(AK303-AL303/AM303&gt;=AD303,(AK303+AD303)/2,AK303-AL303/AM303)))</f>
        <v>1</v>
      </c>
      <c r="AO303" s="60" t="n">
        <f aca="false">SUMPRODUCT($E$13:$P$13*(N303:Y303-1)/(1+AN303*(N303:Y303-1)))</f>
        <v>0</v>
      </c>
      <c r="AP303" s="60" t="n">
        <f aca="false">-SUMPRODUCT($E$13:$P$13*(N303:Y303-1)^2/(1+AN303*(N303:Y303-1))^2)</f>
        <v>-0</v>
      </c>
      <c r="AQ303" s="60" t="n">
        <f aca="false">IF(OR(NOT(AB303),AP303=0),AN303,IF(AN303-AO303/AP303&lt;=AC303,(AN303+AC303)/2,IF(AN303-AO303/AP303&gt;=AD303,(AN303+AD303)/2,AN303-AO303/AP303)))</f>
        <v>1</v>
      </c>
      <c r="AR303" s="60" t="n">
        <f aca="false">SUMPRODUCT($E$13:$P$13*(N303:Y303-1)/(1+AQ303*(N303:Y303-1)))</f>
        <v>0</v>
      </c>
      <c r="AS303" s="60" t="n">
        <f aca="false">-SUMPRODUCT($E$13:$P$13*(N303:Y303-1)^2/(1+AQ303*(N303:Y303-1))^2)</f>
        <v>-0</v>
      </c>
      <c r="AT303" s="60" t="n">
        <f aca="false">IF(OR(NOT(AB303),AS303=0),AQ303,IF(AQ303-AR303/AS303&lt;=AC303,(AQ303+AC303)/2,IF(AQ303-AR303/AS303&gt;=AD303,(AQ303+AD303)/2,AQ303-AR303/AS303)))</f>
        <v>1</v>
      </c>
      <c r="AU303" s="60" t="n">
        <f aca="false">SUMPRODUCT($E$13:$P$13*(N303:Y303-1)/(1+AT303*(N303:Y303-1)))</f>
        <v>0</v>
      </c>
      <c r="AV303" s="60" t="n">
        <f aca="false">-SUMPRODUCT($E$13:$P$13*(N303:Y303-1)^2/(1+AT303*(N303:Y303-1))^2)</f>
        <v>-0</v>
      </c>
      <c r="AW303" s="60" t="n">
        <f aca="false">IF(OR(NOT(AB303),AV303=0),AT303,IF(AT303-AU303/AV303&lt;=AC303,(AT303+AC303)/2,IF(AT303-AU303/AV303&gt;=AD303,(AT303+AD303)/2,AT303-AU303/AV303)))</f>
        <v>1</v>
      </c>
      <c r="AX303" s="60" t="n">
        <f aca="false">SUMPRODUCT($E$13:$P$13*(N303:Y303-1)/(1+AW303*(N303:Y303-1)))</f>
        <v>0</v>
      </c>
      <c r="AY303" s="60" t="n">
        <f aca="false">-SUMPRODUCT($E$13:$P$13*(N303:Y303-1)^2/(1+AW303*(N303:Y303-1))^2)</f>
        <v>-0</v>
      </c>
      <c r="AZ303" s="60" t="n">
        <f aca="false">IF(OR(NOT(AB303),AY303=0),AW303,IF(AW303-AX303/AY303&lt;=AC303,(AW303+AC303)/2,IF(AW303-AX303/AY303&gt;=AD303,(AW303+AD303)/2,AW303-AX303/AY303)))</f>
        <v>1</v>
      </c>
      <c r="BA303" s="60" t="n">
        <f aca="false">SUMPRODUCT($E$13:$P$13*(N303:Y303-1)/(1+AZ303*(N303:Y303-1)))</f>
        <v>0</v>
      </c>
      <c r="BB303" s="60" t="n">
        <f aca="false">-SUMPRODUCT($E$13:$P$13*(N303:Y303-1)^2/(1+AZ303*(N303:Y303-1))^2)</f>
        <v>-0</v>
      </c>
      <c r="BC303" s="60" t="n">
        <f aca="false">IF(OR(NOT(AB303),BB303=0),AZ303,IF(AZ303-BA303/BB303&lt;=AC303,(AZ303+AC303)/2,IF(AZ303-BA303/BB303&gt;=AD303,(AZ303+AD303)/2,AZ303-BA303/BB303)))</f>
        <v>1</v>
      </c>
      <c r="BD303" s="60" t="n">
        <f aca="false">SUMPRODUCT($E$13:$P$13*(N303:Y303-1)/(1+BC303*(N303:Y303-1)))</f>
        <v>0</v>
      </c>
      <c r="BE303" s="60" t="n">
        <f aca="false">-SUMPRODUCT($E$13:$P$13*(N303:Y303-1)^2/(1+BC303*(N303:Y303-1))^2)</f>
        <v>-0</v>
      </c>
      <c r="BF303" s="60" t="n">
        <f aca="false">IF(OR(NOT(AB303),BE303=0),BC303,IF(BC303-BD303/BE303&lt;=AC303,(BC303+AC303)/2,IF(BC303-BD303/BE303&gt;=AD303,(BC303+AD303)/2,BC303-BD303/BE303)))</f>
        <v>1</v>
      </c>
      <c r="BG303" s="60" t="n">
        <f aca="false">SUMPRODUCT($E$13:$P$13*(N303:Y303-1)/(1+BF303*(N303:Y303-1)))</f>
        <v>0</v>
      </c>
      <c r="BH303" s="60" t="n">
        <f aca="false">-SUMPRODUCT($E$13:$P$13*(N303:Y303-1)^2/(1+BF303*(N303:Y303-1))^2)</f>
        <v>-0</v>
      </c>
      <c r="BI303" s="60" t="n">
        <f aca="false">IF(OR(NOT(AB303),BH303=0),BF303,IF(BF303-BG303/BH303&lt;=AC303,(BF303+AC303)/2,IF(BF303-BG303/BH303&gt;=AD303,(BF303+AD303)/2,BF303-BG303/BH303)))</f>
        <v>1</v>
      </c>
      <c r="BJ303" s="60" t="n">
        <f aca="false">$E$13/(1+BI303*(N303-1))</f>
        <v>1</v>
      </c>
      <c r="BK303" s="60" t="n">
        <f aca="false">$F$13/(1+BI303*(O303-1))</f>
        <v>0</v>
      </c>
      <c r="BL303" s="60" t="n">
        <f aca="false">$G$13/(1+BI303*(P303-1))</f>
        <v>0</v>
      </c>
      <c r="BM303" s="60" t="n">
        <f aca="false">$H$13/(1+BI303*(Q303-1))</f>
        <v>0</v>
      </c>
      <c r="BN303" s="60" t="n">
        <f aca="false">$I$13/(1+BI303*(R303-1))</f>
        <v>0</v>
      </c>
      <c r="BO303" s="60" t="n">
        <f aca="false">$J$13/(1+BI303*(S303-1))</f>
        <v>0</v>
      </c>
      <c r="BP303" s="60" t="n">
        <f aca="false">$K$13/(1+BI303*(T303-1))</f>
        <v>0</v>
      </c>
      <c r="BQ303" s="60" t="n">
        <f aca="false">$L$13/(1+BI303*(U303-1))</f>
        <v>0</v>
      </c>
      <c r="BR303" s="60" t="n">
        <f aca="false">$M$13/(1+BI303*(V303-1))</f>
        <v>0</v>
      </c>
      <c r="BS303" s="60" t="n">
        <f aca="false">$N$13/(1+BI303*(W303-1))</f>
        <v>0</v>
      </c>
      <c r="BT303" s="60" t="n">
        <f aca="false">$O$13/(1+BI303*(X303-1))</f>
        <v>0</v>
      </c>
      <c r="BU303" s="60" t="n">
        <f aca="false">$P$13/(1+BI303*(Y303-1))</f>
        <v>0</v>
      </c>
      <c r="BV303" s="60" t="n">
        <f aca="false">SUM(BJ303:BU303)</f>
        <v>1</v>
      </c>
      <c r="BW303" s="60" t="n">
        <f aca="false">SUMPRODUCT(N303:Y303,BJ303:BU303)</f>
        <v>1</v>
      </c>
      <c r="BX303" s="60" t="n">
        <f aca="false">BJ303/BV303</f>
        <v>1</v>
      </c>
      <c r="BY303" s="60" t="n">
        <f aca="false">BK303/BV303</f>
        <v>0</v>
      </c>
      <c r="BZ303" s="60" t="n">
        <f aca="false">BL303/BV303</f>
        <v>0</v>
      </c>
      <c r="CA303" s="60" t="n">
        <f aca="false">BM303/BV303</f>
        <v>0</v>
      </c>
      <c r="CB303" s="60" t="n">
        <f aca="false">BN303/BV303</f>
        <v>0</v>
      </c>
      <c r="CC303" s="60" t="n">
        <f aca="false">BO303/BV303</f>
        <v>0</v>
      </c>
      <c r="CD303" s="60" t="n">
        <f aca="false">BP303/BV303</f>
        <v>0</v>
      </c>
      <c r="CE303" s="60" t="n">
        <f aca="false">BQ303/BV303</f>
        <v>0</v>
      </c>
      <c r="CF303" s="60" t="n">
        <f aca="false">BR303/BV303</f>
        <v>0</v>
      </c>
      <c r="CG303" s="60" t="n">
        <f aca="false">BS303/BV303</f>
        <v>0</v>
      </c>
      <c r="CH303" s="60" t="n">
        <f aca="false">BT303/BV303</f>
        <v>0</v>
      </c>
      <c r="CI303" s="60" t="n">
        <f aca="false">BU303/BV303</f>
        <v>0</v>
      </c>
      <c r="CJ303" s="60" t="n">
        <f aca="false">N303*BJ303/BW303</f>
        <v>1</v>
      </c>
      <c r="CK303" s="60" t="n">
        <f aca="false">O303*BK303/BW303</f>
        <v>0</v>
      </c>
      <c r="CL303" s="60" t="n">
        <f aca="false">P303*BL303/BW303</f>
        <v>0</v>
      </c>
      <c r="CM303" s="60" t="n">
        <f aca="false">Q303*BM303/BW303</f>
        <v>0</v>
      </c>
      <c r="CN303" s="60" t="n">
        <f aca="false">R303*BN303/BW303</f>
        <v>0</v>
      </c>
      <c r="CO303" s="60" t="n">
        <f aca="false">S303*BO303/BW303</f>
        <v>0</v>
      </c>
      <c r="CP303" s="60" t="n">
        <f aca="false">T303*BP303/BW303</f>
        <v>0</v>
      </c>
      <c r="CQ303" s="60" t="n">
        <f aca="false">U303*BQ303/BW303</f>
        <v>0</v>
      </c>
      <c r="CR303" s="60" t="n">
        <f aca="false">V303*BR303/BW303</f>
        <v>0</v>
      </c>
      <c r="CS303" s="60" t="n">
        <f aca="false">W303*BS303/BW303</f>
        <v>0</v>
      </c>
      <c r="CT303" s="60" t="n">
        <f aca="false">X303*BT303/BW303</f>
        <v>0</v>
      </c>
      <c r="CU303" s="60" t="n">
        <f aca="false">Y303*BU303/BW303</f>
        <v>0</v>
      </c>
      <c r="CV303" s="60" t="n">
        <f aca="false">$E$28*SUMPRODUCT($E$31:$P$31,BX303:CI303,$E$28:$P$28)</f>
        <v>0.184416866619846</v>
      </c>
      <c r="CW303" s="60" t="n">
        <f aca="false">$F$28*SUMPRODUCT($E$32:$P$32,BX303:CI303,$E$28:$P$28)</f>
        <v>0</v>
      </c>
      <c r="CX303" s="60" t="n">
        <f aca="false">$G$28*SUMPRODUCT($E$33:$P$33,BX303:CI303,$E$28:$P$28)</f>
        <v>0</v>
      </c>
      <c r="CY303" s="60" t="n">
        <f aca="false">$H$28*SUMPRODUCT($E$34:$P$34,BX303:CI303,$E$28:$P$28)</f>
        <v>0</v>
      </c>
      <c r="CZ303" s="60" t="n">
        <f aca="false">$I$28*SUMPRODUCT($E$35:$P$35,BX303:CI303,$E$28:$P$28)</f>
        <v>0</v>
      </c>
      <c r="DA303" s="60" t="n">
        <f aca="false">$J$28*SUMPRODUCT($E$36:$P$36,BX303:CI303,$E$28:$P$28)</f>
        <v>0</v>
      </c>
      <c r="DB303" s="60" t="n">
        <f aca="false">$K$28*SUMPRODUCT($E$37:$P$37,BX303:CI303,$E$28:$P$28)</f>
        <v>0</v>
      </c>
      <c r="DC303" s="60" t="n">
        <f aca="false">$L$28*SUMPRODUCT($E$38:$P$38,BX303:CI303,$E$28:$P$28)</f>
        <v>0</v>
      </c>
      <c r="DD303" s="60" t="n">
        <f aca="false">$M$28*SUMPRODUCT($E$39:$P$39,BX303:CI303,$E$28:$P$28)</f>
        <v>0</v>
      </c>
      <c r="DE303" s="60" t="n">
        <f aca="false">$N$28*SUMPRODUCT($E$40:$P$40,BX303:CI303,$E$28:$P$28)</f>
        <v>0</v>
      </c>
      <c r="DF303" s="60" t="n">
        <f aca="false">$O$28*SUMPRODUCT($E$41:$P$41,BX303:CI303,$E$28:$P$28)</f>
        <v>0</v>
      </c>
      <c r="DG303" s="60" t="n">
        <f aca="false">$P$28*SUMPRODUCT($E$42:$P$42,BX303:CI303,$E$28:$P$28)</f>
        <v>0</v>
      </c>
      <c r="DH303" s="60" t="n">
        <f aca="false">SUMPRODUCT(BX303:CI303,CV303:DG303)</f>
        <v>0.184416866619846</v>
      </c>
      <c r="DI303" s="60" t="n">
        <f aca="false">SUMPRODUCT(BX303:CI303,$E$27:$P$27)</f>
        <v>2.67389635063809E-005</v>
      </c>
      <c r="DJ303" s="60" t="n">
        <f aca="false">DH303*$C$9/($C$10*$C$8)^2</f>
        <v>0.21776909410545</v>
      </c>
      <c r="DK303" s="60" t="n">
        <f aca="false">DI303*$C$9/($C$10*$C$8)</f>
        <v>0.0918845243259994</v>
      </c>
      <c r="DL303" s="60" t="n">
        <f aca="false">CHOOSE($C$7,-(1+DK303),-1,-(1-DK303))</f>
        <v>-0.908115475674001</v>
      </c>
      <c r="DM303" s="60" t="n">
        <f aca="false">CHOOSE($C$7,DJ303,DJ303-DK303-DK303^2,DJ303-3*DK303^2-2*DK303)</f>
        <v>0.00867174802160559</v>
      </c>
      <c r="DN303" s="60" t="n">
        <f aca="false">CHOOSE($C$7,-DJ303*DK303,-DJ303*DK303,-(DJ303*DK303-DK303^2-DK303^3))</f>
        <v>-0.0107910842936637</v>
      </c>
      <c r="DO303" s="60" t="n">
        <f aca="false">DM303-DL303^2/3</f>
        <v>-0.266219491031267</v>
      </c>
      <c r="DP303" s="60" t="n">
        <f aca="false">2*DL303^3/27-DL303*DM303/3+DN303</f>
        <v>-0.0636400988362784</v>
      </c>
      <c r="DQ303" s="60" t="n">
        <f aca="false">DP303^2/4+DO303^3/27</f>
        <v>0.000313710901361829</v>
      </c>
      <c r="DR303" s="60" t="n">
        <f aca="false">-DP303/2-IF(DP303&gt;=0,1,-1)*SQRT(MAX(DQ303,0))</f>
        <v>0.0495319352963236</v>
      </c>
      <c r="DS303" s="60" t="n">
        <f aca="false">SIGN(DR303)*ABS(DR303)^(1/3)</f>
        <v>0.367249967174439</v>
      </c>
      <c r="DT303" s="60" t="n">
        <f aca="false">IF(DS303=0,0,DS303-DO303/(3*DS303))</f>
        <v>0.60888329127384</v>
      </c>
      <c r="DU303" s="60" t="n">
        <f aca="false">2*SQRT(MAX(-DO303,0)/3)</f>
        <v>0.595784626668918</v>
      </c>
      <c r="DV303" s="60" t="n">
        <f aca="false">ACOS(IF(DU303=0,0,MAX(-1,MIN(1,3*DP303/(DO303*DU303)))))</f>
        <v>0</v>
      </c>
      <c r="DW303" s="60" t="n">
        <f aca="false">DU303*COS(DV303/3)</f>
        <v>0.595784626668918</v>
      </c>
      <c r="DX303" s="60" t="n">
        <f aca="false">IF(DQ303&lt;0,DW303,DT303)-DL303/3</f>
        <v>0.91158844983184</v>
      </c>
      <c r="DY303" s="60" t="n">
        <f aca="false">IFERROR((((DX303+DL303)*DX303+DM303)*DX303+DN303)/((3*DX303+2*DL303)*DX303+DM303),0)</f>
        <v>0</v>
      </c>
      <c r="DZ303" s="60" t="n">
        <f aca="false">IF(ABS(DY303)&lt;0.1*ABS(DX303),DX303-DY303,DX303)</f>
        <v>0.91158844983184</v>
      </c>
      <c r="EA303" s="60" t="n">
        <f aca="false">IFERROR((((DZ303+DL303)*DZ303+DM303)*DZ303+DN303)/((3*DZ303+2*DL303)*DZ303+DM303),0)</f>
        <v>0</v>
      </c>
      <c r="EB303" s="60" t="n">
        <f aca="false">IF(ABS(EA303)&lt;0.1*ABS(DZ303),DZ303-EA303,DZ303)</f>
        <v>0.91158844983184</v>
      </c>
      <c r="EC303" s="60" t="n">
        <f aca="false">-DN303/EB303</f>
        <v>0.0118376711504565</v>
      </c>
      <c r="ED303" s="60" t="n">
        <f aca="false">(DM303-EC303)/EB303</f>
        <v>-0.00347297415783941</v>
      </c>
      <c r="EE303" s="60" t="n">
        <f aca="false">ED303^2-4*EC303</f>
        <v>-0.0473386230523248</v>
      </c>
      <c r="EF303" s="60" t="n">
        <f aca="false">IF(EE303&gt;=0,(ED303+IF(ED303&gt;=0,1,-1)*SQRT(EE303))/2,0)</f>
        <v>0</v>
      </c>
      <c r="EG303" s="60" t="n">
        <f aca="false">IF(AND(EE303&gt;=0,EF303&lt;&gt;0),MIN(EF303,EC303/EF303),-1)</f>
        <v>-1</v>
      </c>
      <c r="EH303" s="60" t="n">
        <f aca="false">AND(EE303&gt;=0,EG303&gt;DK303,ABS(EB303-EG303)&gt;=0.00005*MAX(EB303,EG303))</f>
        <v>0</v>
      </c>
      <c r="EI303" s="60" t="n">
        <f aca="false">IF(EH303,IFERROR((((EG303+DL303)*EG303+DM303)*EG303+DN303)/((3*EG303+2*DL303)*EG303+DM303),0),0)</f>
        <v>0</v>
      </c>
      <c r="EJ303" s="60" t="n">
        <f aca="false">IF(ABS(EI303)&lt;0.1*ABS(EG303),EG303-EI303,EG303)</f>
        <v>-1</v>
      </c>
      <c r="EK303" s="60" t="n">
        <f aca="false">IF(EH303,IFERROR((((EJ303+DL303)*EJ303+DM303)*EJ303+DN303)/((3*EJ303+2*DL303)*EJ303+DM303),0),0)</f>
        <v>0</v>
      </c>
      <c r="EL303" s="60" t="n">
        <f aca="false">IF(ABS(EK303)&lt;0.1*ABS(EJ303),EJ303-EK303,EJ303)</f>
        <v>-1</v>
      </c>
      <c r="EM303" s="60" t="n">
        <f aca="false">IF(EH303,MAX(EB303,EL303),EB303)</f>
        <v>0.91158844983184</v>
      </c>
      <c r="EN303" s="60" t="n">
        <f aca="false">IF(EH303,MIN(EB303,EL303),-1)</f>
        <v>-1</v>
      </c>
      <c r="EO303" s="60" t="n">
        <f aca="false">CHOOSE($C$7,DJ303/EM303,DJ303/DK303*LN(1+DK303/EM303),DJ303/(2*SQRT(2)*DK303)*LN((EM303+(1+SQRT(2))*DK303)/(EM303+(1-SQRT(2))*DK303)))</f>
        <v>0.218240791233887</v>
      </c>
      <c r="EP303" s="60" t="n">
        <f aca="false">EM303-1-LN(EM303-DK303)-EO303</f>
        <v>-0.107840271021729</v>
      </c>
      <c r="EQ303" s="60" t="n">
        <f aca="false">IF(EH303,CHOOSE($C$7,DJ303/EN303,DJ303/DK303*LN(1+DK303/EN303),DJ303/(2*SQRT(2)*DK303)*LN((EN303+(1+SQRT(2))*DK303)/(EN303+(1-SQRT(2))*DK303))),0)</f>
        <v>0</v>
      </c>
      <c r="ER303" s="60" t="n">
        <f aca="false">IF(EH303,EN303-1-LN(EN303-DK303)-EQ303,0)</f>
        <v>0</v>
      </c>
      <c r="ES303" s="60" t="n">
        <f aca="false">AND(EH303,ER303&lt;EP303)</f>
        <v>0</v>
      </c>
      <c r="ET303" s="60" t="n">
        <f aca="false">IF(ES303,EN303,EM303)</f>
        <v>0.91158844983184</v>
      </c>
      <c r="EU303" s="60" t="n">
        <f aca="false">IF(ES303,EQ303,EO303)</f>
        <v>0.218240791233887</v>
      </c>
      <c r="EV303" s="60" t="n">
        <f aca="false">LN(ET303-DK303)</f>
        <v>-0.198812070380318</v>
      </c>
      <c r="EW303" s="60" t="n">
        <f aca="false">$E$27/DI303*(ET303-1)-EV303-EU303*(2*CV303/DH303-$E$27/DI303)</f>
        <v>-0.107840271021729</v>
      </c>
      <c r="EX303" s="60" t="n">
        <f aca="false">$F$27/DI303*(ET303-1)-EV303-EU303*(2*CW303/DH303-$F$27/DI303)</f>
        <v>0.198812070380318</v>
      </c>
      <c r="EY303" s="60" t="n">
        <f aca="false">$G$27/DI303*(ET303-1)-EV303-EU303*(2*CX303/DH303-$G$27/DI303)</f>
        <v>0.198812070380318</v>
      </c>
      <c r="EZ303" s="60" t="n">
        <f aca="false">$H$27/DI303*(ET303-1)-EV303-EU303*(2*CY303/DH303-$H$27/DI303)</f>
        <v>0.198812070380318</v>
      </c>
      <c r="FA303" s="60" t="n">
        <f aca="false">$I$27/DI303*(ET303-1)-EV303-EU303*(2*CZ303/DH303-$I$27/DI303)</f>
        <v>0.198812070380318</v>
      </c>
      <c r="FB303" s="60" t="n">
        <f aca="false">$J$27/DI303*(ET303-1)-EV303-EU303*(2*DA303/DH303-$J$27/DI303)</f>
        <v>0.198812070380318</v>
      </c>
      <c r="FC303" s="60" t="n">
        <f aca="false">$K$27/DI303*(ET303-1)-EV303-EU303*(2*DB303/DH303-$K$27/DI303)</f>
        <v>0.198812070380318</v>
      </c>
      <c r="FD303" s="60" t="n">
        <f aca="false">$L$27/DI303*(ET303-1)-EV303-EU303*(2*DC303/DH303-$L$27/DI303)</f>
        <v>0.198812070380318</v>
      </c>
      <c r="FE303" s="60" t="n">
        <f aca="false">$M$27/DI303*(ET303-1)-EV303-EU303*(2*DD303/DH303-$M$27/DI303)</f>
        <v>0.198812070380318</v>
      </c>
      <c r="FF303" s="60" t="n">
        <f aca="false">$N$27/DI303*(ET303-1)-EV303-EU303*(2*DE303/DH303-$N$27/DI303)</f>
        <v>0.198812070380318</v>
      </c>
      <c r="FG303" s="60" t="n">
        <f aca="false">$O$27/DI303*(ET303-1)-EV303-EU303*(2*DF303/DH303-$O$27/DI303)</f>
        <v>0.198812070380318</v>
      </c>
      <c r="FH303" s="60" t="n">
        <f aca="false">$P$27/DI303*(ET303-1)-EV303-EU303*(2*DG303/DH303-$P$27/DI303)</f>
        <v>0.198812070380318</v>
      </c>
      <c r="FI303" s="60" t="n">
        <f aca="false">DK303/ET303&gt;$C$22</f>
        <v>0</v>
      </c>
      <c r="FJ303" s="60" t="n">
        <f aca="false">$E$28*SUMPRODUCT($E$31:$P$31,CJ303:CU303,$E$28:$P$28)</f>
        <v>0.184416866619846</v>
      </c>
      <c r="FK303" s="60" t="n">
        <f aca="false">$F$28*SUMPRODUCT($E$32:$P$32,CJ303:CU303,$E$28:$P$28)</f>
        <v>0</v>
      </c>
      <c r="FL303" s="60" t="n">
        <f aca="false">$G$28*SUMPRODUCT($E$33:$P$33,CJ303:CU303,$E$28:$P$28)</f>
        <v>0</v>
      </c>
      <c r="FM303" s="60" t="n">
        <f aca="false">$H$28*SUMPRODUCT($E$34:$P$34,CJ303:CU303,$E$28:$P$28)</f>
        <v>0</v>
      </c>
      <c r="FN303" s="60" t="n">
        <f aca="false">$I$28*SUMPRODUCT($E$35:$P$35,CJ303:CU303,$E$28:$P$28)</f>
        <v>0</v>
      </c>
      <c r="FO303" s="60" t="n">
        <f aca="false">$J$28*SUMPRODUCT($E$36:$P$36,CJ303:CU303,$E$28:$P$28)</f>
        <v>0</v>
      </c>
      <c r="FP303" s="60" t="n">
        <f aca="false">$K$28*SUMPRODUCT($E$37:$P$37,CJ303:CU303,$E$28:$P$28)</f>
        <v>0</v>
      </c>
      <c r="FQ303" s="60" t="n">
        <f aca="false">$L$28*SUMPRODUCT($E$38:$P$38,CJ303:CU303,$E$28:$P$28)</f>
        <v>0</v>
      </c>
      <c r="FR303" s="60" t="n">
        <f aca="false">$M$28*SUMPRODUCT($E$39:$P$39,CJ303:CU303,$E$28:$P$28)</f>
        <v>0</v>
      </c>
      <c r="FS303" s="60" t="n">
        <f aca="false">$N$28*SUMPRODUCT($E$40:$P$40,CJ303:CU303,$E$28:$P$28)</f>
        <v>0</v>
      </c>
      <c r="FT303" s="60" t="n">
        <f aca="false">$O$28*SUMPRODUCT($E$41:$P$41,CJ303:CU303,$E$28:$P$28)</f>
        <v>0</v>
      </c>
      <c r="FU303" s="60" t="n">
        <f aca="false">$P$28*SUMPRODUCT($E$42:$P$42,CJ303:CU303,$E$28:$P$28)</f>
        <v>0</v>
      </c>
      <c r="FV303" s="60" t="n">
        <f aca="false">SUMPRODUCT(CJ303:CU303,FJ303:FU303)</f>
        <v>0.184416866619846</v>
      </c>
      <c r="FW303" s="60" t="n">
        <f aca="false">SUMPRODUCT(CJ303:CU303,$E$27:$P$27)</f>
        <v>2.67389635063809E-005</v>
      </c>
      <c r="FX303" s="60" t="n">
        <f aca="false">FV303*$C$9/($C$10*$C$8)^2</f>
        <v>0.21776909410545</v>
      </c>
      <c r="FY303" s="60" t="n">
        <f aca="false">FW303*$C$9/($C$10*$C$8)</f>
        <v>0.0918845243259994</v>
      </c>
      <c r="FZ303" s="60" t="n">
        <f aca="false">CHOOSE($C$7,-(1+FY303),-1,-(1-FY303))</f>
        <v>-0.908115475674001</v>
      </c>
      <c r="GA303" s="60" t="n">
        <f aca="false">CHOOSE($C$7,FX303,FX303-FY303-FY303^2,FX303-3*FY303^2-2*FY303)</f>
        <v>0.00867174802160559</v>
      </c>
      <c r="GB303" s="60" t="n">
        <f aca="false">CHOOSE($C$7,-FX303*FY303,-FX303*FY303,-(FX303*FY303-FY303^2-FY303^3))</f>
        <v>-0.0107910842936637</v>
      </c>
      <c r="GC303" s="60" t="n">
        <f aca="false">GA303-FZ303^2/3</f>
        <v>-0.266219491031267</v>
      </c>
      <c r="GD303" s="60" t="n">
        <f aca="false">2*FZ303^3/27-FZ303*GA303/3+GB303</f>
        <v>-0.0636400988362784</v>
      </c>
      <c r="GE303" s="60" t="n">
        <f aca="false">GD303^2/4+GC303^3/27</f>
        <v>0.000313710901361829</v>
      </c>
      <c r="GF303" s="60" t="n">
        <f aca="false">-GD303/2-IF(GD303&gt;=0,1,-1)*SQRT(MAX(GE303,0))</f>
        <v>0.0495319352963236</v>
      </c>
      <c r="GG303" s="60" t="n">
        <f aca="false">SIGN(GF303)*ABS(GF303)^(1/3)</f>
        <v>0.367249967174439</v>
      </c>
      <c r="GH303" s="60" t="n">
        <f aca="false">IF(GG303=0,0,GG303-GC303/(3*GG303))</f>
        <v>0.60888329127384</v>
      </c>
      <c r="GI303" s="60" t="n">
        <f aca="false">2*SQRT(MAX(-GC303,0)/3)</f>
        <v>0.595784626668918</v>
      </c>
      <c r="GJ303" s="60" t="n">
        <f aca="false">ACOS(IF(GI303=0,0,MAX(-1,MIN(1,3*GD303/(GC303*GI303)))))</f>
        <v>0</v>
      </c>
      <c r="GK303" s="60" t="n">
        <f aca="false">GI303*COS(GJ303/3)</f>
        <v>0.595784626668918</v>
      </c>
      <c r="GL303" s="60" t="n">
        <f aca="false">IF(GE303&lt;0,GK303,GH303)-FZ303/3</f>
        <v>0.91158844983184</v>
      </c>
      <c r="GM303" s="60" t="n">
        <f aca="false">IFERROR((((GL303+FZ303)*GL303+GA303)*GL303+GB303)/((3*GL303+2*FZ303)*GL303+GA303),0)</f>
        <v>0</v>
      </c>
      <c r="GN303" s="60" t="n">
        <f aca="false">IF(ABS(GM303)&lt;0.1*ABS(GL303),GL303-GM303,GL303)</f>
        <v>0.91158844983184</v>
      </c>
      <c r="GO303" s="60" t="n">
        <f aca="false">IFERROR((((GN303+FZ303)*GN303+GA303)*GN303+GB303)/((3*GN303+2*FZ303)*GN303+GA303),0)</f>
        <v>0</v>
      </c>
      <c r="GP303" s="60" t="n">
        <f aca="false">IF(ABS(GO303)&lt;0.1*ABS(GN303),GN303-GO303,GN303)</f>
        <v>0.91158844983184</v>
      </c>
      <c r="GQ303" s="60" t="n">
        <f aca="false">-GB303/GP303</f>
        <v>0.0118376711504565</v>
      </c>
      <c r="GR303" s="60" t="n">
        <f aca="false">(GA303-GQ303)/GP303</f>
        <v>-0.00347297415783941</v>
      </c>
      <c r="GS303" s="60" t="n">
        <f aca="false">GR303^2-4*GQ303</f>
        <v>-0.0473386230523248</v>
      </c>
      <c r="GT303" s="60" t="n">
        <f aca="false">IF(GS303&gt;=0,(GR303+IF(GR303&gt;=0,1,-1)*SQRT(GS303))/2,0)</f>
        <v>0</v>
      </c>
      <c r="GU303" s="60" t="n">
        <f aca="false">IF(AND(GS303&gt;=0,GT303&lt;&gt;0),MIN(GT303,GQ303/GT303),-1)</f>
        <v>-1</v>
      </c>
      <c r="GV303" s="60" t="n">
        <f aca="false">AND(GS303&gt;=0,GU303&gt;FY303,ABS(GP303-GU303)&gt;=0.00005*MAX(GP303,GU303))</f>
        <v>0</v>
      </c>
      <c r="GW303" s="60" t="n">
        <f aca="false">IF(GV303,IFERROR((((GU303+FZ303)*GU303+GA303)*GU303+GB303)/((3*GU303+2*FZ303)*GU303+GA303),0),0)</f>
        <v>0</v>
      </c>
      <c r="GX303" s="60" t="n">
        <f aca="false">IF(ABS(GW303)&lt;0.1*ABS(GU303),GU303-GW303,GU303)</f>
        <v>-1</v>
      </c>
      <c r="GY303" s="60" t="n">
        <f aca="false">IF(GV303,IFERROR((((GX303+FZ303)*GX303+GA303)*GX303+GB303)/((3*GX303+2*FZ303)*GX303+GA303),0),0)</f>
        <v>0</v>
      </c>
      <c r="GZ303" s="60" t="n">
        <f aca="false">IF(ABS(GY303)&lt;0.1*ABS(GX303),GX303-GY303,GX303)</f>
        <v>-1</v>
      </c>
      <c r="HA303" s="60" t="n">
        <f aca="false">IF(GV303,MAX(GP303,GZ303),GP303)</f>
        <v>0.91158844983184</v>
      </c>
      <c r="HB303" s="60" t="n">
        <f aca="false">IF(GV303,MIN(GP303,GZ303),-1)</f>
        <v>-1</v>
      </c>
      <c r="HC303" s="60" t="n">
        <f aca="false">CHOOSE($C$7,FX303/HA303,FX303/FY303*LN(1+FY303/HA303),FX303/(2*SQRT(2)*FY303)*LN((HA303+(1+SQRT(2))*FY303)/(HA303+(1-SQRT(2))*FY303)))</f>
        <v>0.218240791233887</v>
      </c>
      <c r="HD303" s="60" t="n">
        <f aca="false">HA303-1-LN(HA303-FY303)-HC303</f>
        <v>-0.107840271021729</v>
      </c>
      <c r="HE303" s="60" t="n">
        <f aca="false">IF(GV303,CHOOSE($C$7,FX303/HB303,FX303/FY303*LN(1+FY303/HB303),FX303/(2*SQRT(2)*FY303)*LN((HB303+(1+SQRT(2))*FY303)/(HB303+(1-SQRT(2))*FY303))),0)</f>
        <v>0</v>
      </c>
      <c r="HF303" s="60" t="n">
        <f aca="false">IF(GV303,HB303-1-LN(HB303-FY303)-HE303,0)</f>
        <v>0</v>
      </c>
      <c r="HG303" s="60" t="n">
        <f aca="false">AND(GV303,HF303&lt;HD303)</f>
        <v>0</v>
      </c>
      <c r="HH303" s="60" t="n">
        <f aca="false">IF(HG303,HB303,HA303)</f>
        <v>0.91158844983184</v>
      </c>
      <c r="HI303" s="60" t="n">
        <f aca="false">IF(HG303,HE303,HC303)</f>
        <v>0.218240791233887</v>
      </c>
      <c r="HJ303" s="60" t="n">
        <f aca="false">LN(HH303-FY303)</f>
        <v>-0.198812070380318</v>
      </c>
      <c r="HK303" s="60" t="n">
        <f aca="false">$E$27/FW303*(HH303-1)-HJ303-HI303*(2*FJ303/FV303-$E$27/FW303)</f>
        <v>-0.107840271021729</v>
      </c>
      <c r="HL303" s="60" t="n">
        <f aca="false">$F$27/FW303*(HH303-1)-HJ303-HI303*(2*FK303/FV303-$F$27/FW303)</f>
        <v>0.198812070380318</v>
      </c>
      <c r="HM303" s="60" t="n">
        <f aca="false">$G$27/FW303*(HH303-1)-HJ303-HI303*(2*FL303/FV303-$G$27/FW303)</f>
        <v>0.198812070380318</v>
      </c>
      <c r="HN303" s="60" t="n">
        <f aca="false">$H$27/FW303*(HH303-1)-HJ303-HI303*(2*FM303/FV303-$H$27/FW303)</f>
        <v>0.198812070380318</v>
      </c>
      <c r="HO303" s="60" t="n">
        <f aca="false">$I$27/FW303*(HH303-1)-HJ303-HI303*(2*FN303/FV303-$I$27/FW303)</f>
        <v>0.198812070380318</v>
      </c>
      <c r="HP303" s="60" t="n">
        <f aca="false">$J$27/FW303*(HH303-1)-HJ303-HI303*(2*FO303/FV303-$J$27/FW303)</f>
        <v>0.198812070380318</v>
      </c>
      <c r="HQ303" s="60" t="n">
        <f aca="false">$K$27/FW303*(HH303-1)-HJ303-HI303*(2*FP303/FV303-$K$27/FW303)</f>
        <v>0.198812070380318</v>
      </c>
      <c r="HR303" s="60" t="n">
        <f aca="false">$L$27/FW303*(HH303-1)-HJ303-HI303*(2*FQ303/FV303-$L$27/FW303)</f>
        <v>0.198812070380318</v>
      </c>
      <c r="HS303" s="60" t="n">
        <f aca="false">$M$27/FW303*(HH303-1)-HJ303-HI303*(2*FR303/FV303-$M$27/FW303)</f>
        <v>0.198812070380318</v>
      </c>
      <c r="HT303" s="60" t="n">
        <f aca="false">$N$27/FW303*(HH303-1)-HJ303-HI303*(2*FS303/FV303-$N$27/FW303)</f>
        <v>0.198812070380318</v>
      </c>
      <c r="HU303" s="60" t="n">
        <f aca="false">$O$27/FW303*(HH303-1)-HJ303-HI303*(2*FT303/FV303-$O$27/FW303)</f>
        <v>0.198812070380318</v>
      </c>
      <c r="HV303" s="60" t="n">
        <f aca="false">$P$27/FW303*(HH303-1)-HJ303-HI303*(2*FU303/FV303-$P$27/FW303)</f>
        <v>0.198812070380318</v>
      </c>
      <c r="HW303" s="60" t="n">
        <f aca="false">FY303/HH303&gt;$C$22</f>
        <v>0</v>
      </c>
      <c r="HX303" s="60" t="n">
        <f aca="false">IF($E$13&gt;0,MAX(-300,MIN(300,EW303-HK303)),0)</f>
        <v>0</v>
      </c>
      <c r="HY303" s="60" t="n">
        <f aca="false">IF($F$13&gt;0,MAX(-300,MIN(300,EX303-HL303)),0)</f>
        <v>0</v>
      </c>
      <c r="HZ303" s="60" t="n">
        <f aca="false">IF($G$13&gt;0,MAX(-300,MIN(300,EY303-HM303)),0)</f>
        <v>0</v>
      </c>
      <c r="IA303" s="60" t="n">
        <f aca="false">IF($H$13&gt;0,MAX(-300,MIN(300,EZ303-HN303)),0)</f>
        <v>0</v>
      </c>
      <c r="IB303" s="60" t="n">
        <f aca="false">IF($I$13&gt;0,MAX(-300,MIN(300,FA303-HO303)),0)</f>
        <v>0</v>
      </c>
      <c r="IC303" s="60" t="n">
        <f aca="false">IF($J$13&gt;0,MAX(-300,MIN(300,FB303-HP303)),0)</f>
        <v>0</v>
      </c>
      <c r="ID303" s="60" t="n">
        <f aca="false">IF($K$13&gt;0,MAX(-300,MIN(300,FC303-HQ303)),0)</f>
        <v>0</v>
      </c>
      <c r="IE303" s="60" t="n">
        <f aca="false">IF($L$13&gt;0,MAX(-300,MIN(300,FD303-HR303)),0)</f>
        <v>0</v>
      </c>
      <c r="IF303" s="60" t="n">
        <f aca="false">IF($M$13&gt;0,MAX(-300,MIN(300,FE303-HS303)),0)</f>
        <v>0</v>
      </c>
      <c r="IG303" s="60" t="n">
        <f aca="false">IF($N$13&gt;0,MAX(-300,MIN(300,FF303-HT303)),0)</f>
        <v>0</v>
      </c>
      <c r="IH303" s="60" t="n">
        <f aca="false">IF($O$13&gt;0,MAX(-300,MIN(300,FG303-HU303)),0)</f>
        <v>0</v>
      </c>
      <c r="II303" s="60" t="n">
        <f aca="false">IF($P$13&gt;0,MAX(-300,MIN(300,FH303-HV303)),0)</f>
        <v>0</v>
      </c>
      <c r="IJ303" s="60" t="n">
        <f aca="false">SUMXMY2(HX303:II303,B303:M303)</f>
        <v>0</v>
      </c>
      <c r="IK303" s="60" t="n">
        <f aca="false">SUMSQ(B303:M303)</f>
        <v>0</v>
      </c>
    </row>
    <row r="304" customFormat="false" ht="15" hidden="false" customHeight="false" outlineLevel="0" collapsed="false">
      <c r="A304" s="59" t="n">
        <v>7</v>
      </c>
      <c r="B304" s="60" t="n">
        <f aca="false">HX303</f>
        <v>0</v>
      </c>
      <c r="C304" s="60" t="n">
        <f aca="false">HY303</f>
        <v>0</v>
      </c>
      <c r="D304" s="60" t="n">
        <f aca="false">HZ303</f>
        <v>0</v>
      </c>
      <c r="E304" s="60" t="n">
        <f aca="false">IA303</f>
        <v>0</v>
      </c>
      <c r="F304" s="60" t="n">
        <f aca="false">IB303</f>
        <v>0</v>
      </c>
      <c r="G304" s="60" t="n">
        <f aca="false">IC303</f>
        <v>0</v>
      </c>
      <c r="H304" s="60" t="n">
        <f aca="false">ID303</f>
        <v>0</v>
      </c>
      <c r="I304" s="60" t="n">
        <f aca="false">IE303</f>
        <v>0</v>
      </c>
      <c r="J304" s="60" t="n">
        <f aca="false">IF303</f>
        <v>0</v>
      </c>
      <c r="K304" s="60" t="n">
        <f aca="false">IG303</f>
        <v>0</v>
      </c>
      <c r="L304" s="60" t="n">
        <f aca="false">IH303</f>
        <v>0</v>
      </c>
      <c r="M304" s="60" t="n">
        <f aca="false">II303</f>
        <v>0</v>
      </c>
      <c r="N304" s="60" t="n">
        <f aca="false">EXP(B304)</f>
        <v>1</v>
      </c>
      <c r="O304" s="60" t="n">
        <f aca="false">EXP(C304)</f>
        <v>1</v>
      </c>
      <c r="P304" s="60" t="n">
        <f aca="false">EXP(D304)</f>
        <v>1</v>
      </c>
      <c r="Q304" s="60" t="n">
        <f aca="false">EXP(E304)</f>
        <v>1</v>
      </c>
      <c r="R304" s="60" t="n">
        <f aca="false">EXP(F304)</f>
        <v>1</v>
      </c>
      <c r="S304" s="60" t="n">
        <f aca="false">EXP(G304)</f>
        <v>1</v>
      </c>
      <c r="T304" s="60" t="n">
        <f aca="false">EXP(H304)</f>
        <v>1</v>
      </c>
      <c r="U304" s="60" t="n">
        <f aca="false">EXP(I304)</f>
        <v>1</v>
      </c>
      <c r="V304" s="60" t="n">
        <f aca="false">EXP(J304)</f>
        <v>1</v>
      </c>
      <c r="W304" s="60" t="n">
        <f aca="false">EXP(K304)</f>
        <v>1</v>
      </c>
      <c r="X304" s="60" t="n">
        <f aca="false">EXP(L304)</f>
        <v>1</v>
      </c>
      <c r="Y304" s="60" t="n">
        <f aca="false">EXP(M304)</f>
        <v>1</v>
      </c>
      <c r="Z304" s="60" t="n">
        <f aca="false">MAX(N304:Y304)</f>
        <v>1</v>
      </c>
      <c r="AA304" s="60" t="n">
        <f aca="false">MIN(N304:Y304)</f>
        <v>1</v>
      </c>
      <c r="AB304" s="60" t="n">
        <f aca="false">AND(Z304&gt;1,AA304&lt;1)</f>
        <v>0</v>
      </c>
      <c r="AC304" s="60" t="n">
        <f aca="false">IF(AB304,1/(1-Z304),0)</f>
        <v>0</v>
      </c>
      <c r="AD304" s="60" t="n">
        <f aca="false">IF(AB304,1/(1-AA304),1)</f>
        <v>1</v>
      </c>
      <c r="AE304" s="60" t="n">
        <f aca="false">IF(AB304,MIN(MAX(BI303,AC304+0.000000001*(AD304-AC304)),AD304-0.000000001*(AD304-AC304)),IF(AA304&gt;=1,1,0))</f>
        <v>1</v>
      </c>
      <c r="AF304" s="60" t="n">
        <f aca="false">SUMPRODUCT($E$13:$P$13*(N304:Y304-1)/(1+AE304*(N304:Y304-1)))</f>
        <v>0</v>
      </c>
      <c r="AG304" s="60" t="n">
        <f aca="false">-SUMPRODUCT($E$13:$P$13*(N304:Y304-1)^2/(1+AE304*(N304:Y304-1))^2)</f>
        <v>-0</v>
      </c>
      <c r="AH304" s="60" t="n">
        <f aca="false">IF(OR(NOT(AB304),AG304=0),AE304,IF(AE304-AF304/AG304&lt;=AC304,(AE304+AC304)/2,IF(AE304-AF304/AG304&gt;=AD304,(AE304+AD304)/2,AE304-AF304/AG304)))</f>
        <v>1</v>
      </c>
      <c r="AI304" s="60" t="n">
        <f aca="false">SUMPRODUCT($E$13:$P$13*(N304:Y304-1)/(1+AH304*(N304:Y304-1)))</f>
        <v>0</v>
      </c>
      <c r="AJ304" s="60" t="n">
        <f aca="false">-SUMPRODUCT($E$13:$P$13*(N304:Y304-1)^2/(1+AH304*(N304:Y304-1))^2)</f>
        <v>-0</v>
      </c>
      <c r="AK304" s="60" t="n">
        <f aca="false">IF(OR(NOT(AB304),AJ304=0),AH304,IF(AH304-AI304/AJ304&lt;=AC304,(AH304+AC304)/2,IF(AH304-AI304/AJ304&gt;=AD304,(AH304+AD304)/2,AH304-AI304/AJ304)))</f>
        <v>1</v>
      </c>
      <c r="AL304" s="60" t="n">
        <f aca="false">SUMPRODUCT($E$13:$P$13*(N304:Y304-1)/(1+AK304*(N304:Y304-1)))</f>
        <v>0</v>
      </c>
      <c r="AM304" s="60" t="n">
        <f aca="false">-SUMPRODUCT($E$13:$P$13*(N304:Y304-1)^2/(1+AK304*(N304:Y304-1))^2)</f>
        <v>-0</v>
      </c>
      <c r="AN304" s="60" t="n">
        <f aca="false">IF(OR(NOT(AB304),AM304=0),AK304,IF(AK304-AL304/AM304&lt;=AC304,(AK304+AC304)/2,IF(AK304-AL304/AM304&gt;=AD304,(AK304+AD304)/2,AK304-AL304/AM304)))</f>
        <v>1</v>
      </c>
      <c r="AO304" s="60" t="n">
        <f aca="false">SUMPRODUCT($E$13:$P$13*(N304:Y304-1)/(1+AN304*(N304:Y304-1)))</f>
        <v>0</v>
      </c>
      <c r="AP304" s="60" t="n">
        <f aca="false">-SUMPRODUCT($E$13:$P$13*(N304:Y304-1)^2/(1+AN304*(N304:Y304-1))^2)</f>
        <v>-0</v>
      </c>
      <c r="AQ304" s="60" t="n">
        <f aca="false">IF(OR(NOT(AB304),AP304=0),AN304,IF(AN304-AO304/AP304&lt;=AC304,(AN304+AC304)/2,IF(AN304-AO304/AP304&gt;=AD304,(AN304+AD304)/2,AN304-AO304/AP304)))</f>
        <v>1</v>
      </c>
      <c r="AR304" s="60" t="n">
        <f aca="false">SUMPRODUCT($E$13:$P$13*(N304:Y304-1)/(1+AQ304*(N304:Y304-1)))</f>
        <v>0</v>
      </c>
      <c r="AS304" s="60" t="n">
        <f aca="false">-SUMPRODUCT($E$13:$P$13*(N304:Y304-1)^2/(1+AQ304*(N304:Y304-1))^2)</f>
        <v>-0</v>
      </c>
      <c r="AT304" s="60" t="n">
        <f aca="false">IF(OR(NOT(AB304),AS304=0),AQ304,IF(AQ304-AR304/AS304&lt;=AC304,(AQ304+AC304)/2,IF(AQ304-AR304/AS304&gt;=AD304,(AQ304+AD304)/2,AQ304-AR304/AS304)))</f>
        <v>1</v>
      </c>
      <c r="AU304" s="60" t="n">
        <f aca="false">SUMPRODUCT($E$13:$P$13*(N304:Y304-1)/(1+AT304*(N304:Y304-1)))</f>
        <v>0</v>
      </c>
      <c r="AV304" s="60" t="n">
        <f aca="false">-SUMPRODUCT($E$13:$P$13*(N304:Y304-1)^2/(1+AT304*(N304:Y304-1))^2)</f>
        <v>-0</v>
      </c>
      <c r="AW304" s="60" t="n">
        <f aca="false">IF(OR(NOT(AB304),AV304=0),AT304,IF(AT304-AU304/AV304&lt;=AC304,(AT304+AC304)/2,IF(AT304-AU304/AV304&gt;=AD304,(AT304+AD304)/2,AT304-AU304/AV304)))</f>
        <v>1</v>
      </c>
      <c r="AX304" s="60" t="n">
        <f aca="false">SUMPRODUCT($E$13:$P$13*(N304:Y304-1)/(1+AW304*(N304:Y304-1)))</f>
        <v>0</v>
      </c>
      <c r="AY304" s="60" t="n">
        <f aca="false">-SUMPRODUCT($E$13:$P$13*(N304:Y304-1)^2/(1+AW304*(N304:Y304-1))^2)</f>
        <v>-0</v>
      </c>
      <c r="AZ304" s="60" t="n">
        <f aca="false">IF(OR(NOT(AB304),AY304=0),AW304,IF(AW304-AX304/AY304&lt;=AC304,(AW304+AC304)/2,IF(AW304-AX304/AY304&gt;=AD304,(AW304+AD304)/2,AW304-AX304/AY304)))</f>
        <v>1</v>
      </c>
      <c r="BA304" s="60" t="n">
        <f aca="false">SUMPRODUCT($E$13:$P$13*(N304:Y304-1)/(1+AZ304*(N304:Y304-1)))</f>
        <v>0</v>
      </c>
      <c r="BB304" s="60" t="n">
        <f aca="false">-SUMPRODUCT($E$13:$P$13*(N304:Y304-1)^2/(1+AZ304*(N304:Y304-1))^2)</f>
        <v>-0</v>
      </c>
      <c r="BC304" s="60" t="n">
        <f aca="false">IF(OR(NOT(AB304),BB304=0),AZ304,IF(AZ304-BA304/BB304&lt;=AC304,(AZ304+AC304)/2,IF(AZ304-BA304/BB304&gt;=AD304,(AZ304+AD304)/2,AZ304-BA304/BB304)))</f>
        <v>1</v>
      </c>
      <c r="BD304" s="60" t="n">
        <f aca="false">SUMPRODUCT($E$13:$P$13*(N304:Y304-1)/(1+BC304*(N304:Y304-1)))</f>
        <v>0</v>
      </c>
      <c r="BE304" s="60" t="n">
        <f aca="false">-SUMPRODUCT($E$13:$P$13*(N304:Y304-1)^2/(1+BC304*(N304:Y304-1))^2)</f>
        <v>-0</v>
      </c>
      <c r="BF304" s="60" t="n">
        <f aca="false">IF(OR(NOT(AB304),BE304=0),BC304,IF(BC304-BD304/BE304&lt;=AC304,(BC304+AC304)/2,IF(BC304-BD304/BE304&gt;=AD304,(BC304+AD304)/2,BC304-BD304/BE304)))</f>
        <v>1</v>
      </c>
      <c r="BG304" s="60" t="n">
        <f aca="false">SUMPRODUCT($E$13:$P$13*(N304:Y304-1)/(1+BF304*(N304:Y304-1)))</f>
        <v>0</v>
      </c>
      <c r="BH304" s="60" t="n">
        <f aca="false">-SUMPRODUCT($E$13:$P$13*(N304:Y304-1)^2/(1+BF304*(N304:Y304-1))^2)</f>
        <v>-0</v>
      </c>
      <c r="BI304" s="60" t="n">
        <f aca="false">IF(OR(NOT(AB304),BH304=0),BF304,IF(BF304-BG304/BH304&lt;=AC304,(BF304+AC304)/2,IF(BF304-BG304/BH304&gt;=AD304,(BF304+AD304)/2,BF304-BG304/BH304)))</f>
        <v>1</v>
      </c>
      <c r="BJ304" s="60" t="n">
        <f aca="false">$E$13/(1+BI304*(N304-1))</f>
        <v>1</v>
      </c>
      <c r="BK304" s="60" t="n">
        <f aca="false">$F$13/(1+BI304*(O304-1))</f>
        <v>0</v>
      </c>
      <c r="BL304" s="60" t="n">
        <f aca="false">$G$13/(1+BI304*(P304-1))</f>
        <v>0</v>
      </c>
      <c r="BM304" s="60" t="n">
        <f aca="false">$H$13/(1+BI304*(Q304-1))</f>
        <v>0</v>
      </c>
      <c r="BN304" s="60" t="n">
        <f aca="false">$I$13/(1+BI304*(R304-1))</f>
        <v>0</v>
      </c>
      <c r="BO304" s="60" t="n">
        <f aca="false">$J$13/(1+BI304*(S304-1))</f>
        <v>0</v>
      </c>
      <c r="BP304" s="60" t="n">
        <f aca="false">$K$13/(1+BI304*(T304-1))</f>
        <v>0</v>
      </c>
      <c r="BQ304" s="60" t="n">
        <f aca="false">$L$13/(1+BI304*(U304-1))</f>
        <v>0</v>
      </c>
      <c r="BR304" s="60" t="n">
        <f aca="false">$M$13/(1+BI304*(V304-1))</f>
        <v>0</v>
      </c>
      <c r="BS304" s="60" t="n">
        <f aca="false">$N$13/(1+BI304*(W304-1))</f>
        <v>0</v>
      </c>
      <c r="BT304" s="60" t="n">
        <f aca="false">$O$13/(1+BI304*(X304-1))</f>
        <v>0</v>
      </c>
      <c r="BU304" s="60" t="n">
        <f aca="false">$P$13/(1+BI304*(Y304-1))</f>
        <v>0</v>
      </c>
      <c r="BV304" s="60" t="n">
        <f aca="false">SUM(BJ304:BU304)</f>
        <v>1</v>
      </c>
      <c r="BW304" s="60" t="n">
        <f aca="false">SUMPRODUCT(N304:Y304,BJ304:BU304)</f>
        <v>1</v>
      </c>
      <c r="BX304" s="60" t="n">
        <f aca="false">BJ304/BV304</f>
        <v>1</v>
      </c>
      <c r="BY304" s="60" t="n">
        <f aca="false">BK304/BV304</f>
        <v>0</v>
      </c>
      <c r="BZ304" s="60" t="n">
        <f aca="false">BL304/BV304</f>
        <v>0</v>
      </c>
      <c r="CA304" s="60" t="n">
        <f aca="false">BM304/BV304</f>
        <v>0</v>
      </c>
      <c r="CB304" s="60" t="n">
        <f aca="false">BN304/BV304</f>
        <v>0</v>
      </c>
      <c r="CC304" s="60" t="n">
        <f aca="false">BO304/BV304</f>
        <v>0</v>
      </c>
      <c r="CD304" s="60" t="n">
        <f aca="false">BP304/BV304</f>
        <v>0</v>
      </c>
      <c r="CE304" s="60" t="n">
        <f aca="false">BQ304/BV304</f>
        <v>0</v>
      </c>
      <c r="CF304" s="60" t="n">
        <f aca="false">BR304/BV304</f>
        <v>0</v>
      </c>
      <c r="CG304" s="60" t="n">
        <f aca="false">BS304/BV304</f>
        <v>0</v>
      </c>
      <c r="CH304" s="60" t="n">
        <f aca="false">BT304/BV304</f>
        <v>0</v>
      </c>
      <c r="CI304" s="60" t="n">
        <f aca="false">BU304/BV304</f>
        <v>0</v>
      </c>
      <c r="CJ304" s="60" t="n">
        <f aca="false">N304*BJ304/BW304</f>
        <v>1</v>
      </c>
      <c r="CK304" s="60" t="n">
        <f aca="false">O304*BK304/BW304</f>
        <v>0</v>
      </c>
      <c r="CL304" s="60" t="n">
        <f aca="false">P304*BL304/BW304</f>
        <v>0</v>
      </c>
      <c r="CM304" s="60" t="n">
        <f aca="false">Q304*BM304/BW304</f>
        <v>0</v>
      </c>
      <c r="CN304" s="60" t="n">
        <f aca="false">R304*BN304/BW304</f>
        <v>0</v>
      </c>
      <c r="CO304" s="60" t="n">
        <f aca="false">S304*BO304/BW304</f>
        <v>0</v>
      </c>
      <c r="CP304" s="60" t="n">
        <f aca="false">T304*BP304/BW304</f>
        <v>0</v>
      </c>
      <c r="CQ304" s="60" t="n">
        <f aca="false">U304*BQ304/BW304</f>
        <v>0</v>
      </c>
      <c r="CR304" s="60" t="n">
        <f aca="false">V304*BR304/BW304</f>
        <v>0</v>
      </c>
      <c r="CS304" s="60" t="n">
        <f aca="false">W304*BS304/BW304</f>
        <v>0</v>
      </c>
      <c r="CT304" s="60" t="n">
        <f aca="false">X304*BT304/BW304</f>
        <v>0</v>
      </c>
      <c r="CU304" s="60" t="n">
        <f aca="false">Y304*BU304/BW304</f>
        <v>0</v>
      </c>
      <c r="CV304" s="60" t="n">
        <f aca="false">$E$28*SUMPRODUCT($E$31:$P$31,BX304:CI304,$E$28:$P$28)</f>
        <v>0.184416866619846</v>
      </c>
      <c r="CW304" s="60" t="n">
        <f aca="false">$F$28*SUMPRODUCT($E$32:$P$32,BX304:CI304,$E$28:$P$28)</f>
        <v>0</v>
      </c>
      <c r="CX304" s="60" t="n">
        <f aca="false">$G$28*SUMPRODUCT($E$33:$P$33,BX304:CI304,$E$28:$P$28)</f>
        <v>0</v>
      </c>
      <c r="CY304" s="60" t="n">
        <f aca="false">$H$28*SUMPRODUCT($E$34:$P$34,BX304:CI304,$E$28:$P$28)</f>
        <v>0</v>
      </c>
      <c r="CZ304" s="60" t="n">
        <f aca="false">$I$28*SUMPRODUCT($E$35:$P$35,BX304:CI304,$E$28:$P$28)</f>
        <v>0</v>
      </c>
      <c r="DA304" s="60" t="n">
        <f aca="false">$J$28*SUMPRODUCT($E$36:$P$36,BX304:CI304,$E$28:$P$28)</f>
        <v>0</v>
      </c>
      <c r="DB304" s="60" t="n">
        <f aca="false">$K$28*SUMPRODUCT($E$37:$P$37,BX304:CI304,$E$28:$P$28)</f>
        <v>0</v>
      </c>
      <c r="DC304" s="60" t="n">
        <f aca="false">$L$28*SUMPRODUCT($E$38:$P$38,BX304:CI304,$E$28:$P$28)</f>
        <v>0</v>
      </c>
      <c r="DD304" s="60" t="n">
        <f aca="false">$M$28*SUMPRODUCT($E$39:$P$39,BX304:CI304,$E$28:$P$28)</f>
        <v>0</v>
      </c>
      <c r="DE304" s="60" t="n">
        <f aca="false">$N$28*SUMPRODUCT($E$40:$P$40,BX304:CI304,$E$28:$P$28)</f>
        <v>0</v>
      </c>
      <c r="DF304" s="60" t="n">
        <f aca="false">$O$28*SUMPRODUCT($E$41:$P$41,BX304:CI304,$E$28:$P$28)</f>
        <v>0</v>
      </c>
      <c r="DG304" s="60" t="n">
        <f aca="false">$P$28*SUMPRODUCT($E$42:$P$42,BX304:CI304,$E$28:$P$28)</f>
        <v>0</v>
      </c>
      <c r="DH304" s="60" t="n">
        <f aca="false">SUMPRODUCT(BX304:CI304,CV304:DG304)</f>
        <v>0.184416866619846</v>
      </c>
      <c r="DI304" s="60" t="n">
        <f aca="false">SUMPRODUCT(BX304:CI304,$E$27:$P$27)</f>
        <v>2.67389635063809E-005</v>
      </c>
      <c r="DJ304" s="60" t="n">
        <f aca="false">DH304*$C$9/($C$10*$C$8)^2</f>
        <v>0.21776909410545</v>
      </c>
      <c r="DK304" s="60" t="n">
        <f aca="false">DI304*$C$9/($C$10*$C$8)</f>
        <v>0.0918845243259994</v>
      </c>
      <c r="DL304" s="60" t="n">
        <f aca="false">CHOOSE($C$7,-(1+DK304),-1,-(1-DK304))</f>
        <v>-0.908115475674001</v>
      </c>
      <c r="DM304" s="60" t="n">
        <f aca="false">CHOOSE($C$7,DJ304,DJ304-DK304-DK304^2,DJ304-3*DK304^2-2*DK304)</f>
        <v>0.00867174802160559</v>
      </c>
      <c r="DN304" s="60" t="n">
        <f aca="false">CHOOSE($C$7,-DJ304*DK304,-DJ304*DK304,-(DJ304*DK304-DK304^2-DK304^3))</f>
        <v>-0.0107910842936637</v>
      </c>
      <c r="DO304" s="60" t="n">
        <f aca="false">DM304-DL304^2/3</f>
        <v>-0.266219491031267</v>
      </c>
      <c r="DP304" s="60" t="n">
        <f aca="false">2*DL304^3/27-DL304*DM304/3+DN304</f>
        <v>-0.0636400988362784</v>
      </c>
      <c r="DQ304" s="60" t="n">
        <f aca="false">DP304^2/4+DO304^3/27</f>
        <v>0.000313710901361829</v>
      </c>
      <c r="DR304" s="60" t="n">
        <f aca="false">-DP304/2-IF(DP304&gt;=0,1,-1)*SQRT(MAX(DQ304,0))</f>
        <v>0.0495319352963236</v>
      </c>
      <c r="DS304" s="60" t="n">
        <f aca="false">SIGN(DR304)*ABS(DR304)^(1/3)</f>
        <v>0.367249967174439</v>
      </c>
      <c r="DT304" s="60" t="n">
        <f aca="false">IF(DS304=0,0,DS304-DO304/(3*DS304))</f>
        <v>0.60888329127384</v>
      </c>
      <c r="DU304" s="60" t="n">
        <f aca="false">2*SQRT(MAX(-DO304,0)/3)</f>
        <v>0.595784626668918</v>
      </c>
      <c r="DV304" s="60" t="n">
        <f aca="false">ACOS(IF(DU304=0,0,MAX(-1,MIN(1,3*DP304/(DO304*DU304)))))</f>
        <v>0</v>
      </c>
      <c r="DW304" s="60" t="n">
        <f aca="false">DU304*COS(DV304/3)</f>
        <v>0.595784626668918</v>
      </c>
      <c r="DX304" s="60" t="n">
        <f aca="false">IF(DQ304&lt;0,DW304,DT304)-DL304/3</f>
        <v>0.91158844983184</v>
      </c>
      <c r="DY304" s="60" t="n">
        <f aca="false">IFERROR((((DX304+DL304)*DX304+DM304)*DX304+DN304)/((3*DX304+2*DL304)*DX304+DM304),0)</f>
        <v>0</v>
      </c>
      <c r="DZ304" s="60" t="n">
        <f aca="false">IF(ABS(DY304)&lt;0.1*ABS(DX304),DX304-DY304,DX304)</f>
        <v>0.91158844983184</v>
      </c>
      <c r="EA304" s="60" t="n">
        <f aca="false">IFERROR((((DZ304+DL304)*DZ304+DM304)*DZ304+DN304)/((3*DZ304+2*DL304)*DZ304+DM304),0)</f>
        <v>0</v>
      </c>
      <c r="EB304" s="60" t="n">
        <f aca="false">IF(ABS(EA304)&lt;0.1*ABS(DZ304),DZ304-EA304,DZ304)</f>
        <v>0.91158844983184</v>
      </c>
      <c r="EC304" s="60" t="n">
        <f aca="false">-DN304/EB304</f>
        <v>0.0118376711504565</v>
      </c>
      <c r="ED304" s="60" t="n">
        <f aca="false">(DM304-EC304)/EB304</f>
        <v>-0.00347297415783941</v>
      </c>
      <c r="EE304" s="60" t="n">
        <f aca="false">ED304^2-4*EC304</f>
        <v>-0.0473386230523248</v>
      </c>
      <c r="EF304" s="60" t="n">
        <f aca="false">IF(EE304&gt;=0,(ED304+IF(ED304&gt;=0,1,-1)*SQRT(EE304))/2,0)</f>
        <v>0</v>
      </c>
      <c r="EG304" s="60" t="n">
        <f aca="false">IF(AND(EE304&gt;=0,EF304&lt;&gt;0),MIN(EF304,EC304/EF304),-1)</f>
        <v>-1</v>
      </c>
      <c r="EH304" s="60" t="n">
        <f aca="false">AND(EE304&gt;=0,EG304&gt;DK304,ABS(EB304-EG304)&gt;=0.00005*MAX(EB304,EG304))</f>
        <v>0</v>
      </c>
      <c r="EI304" s="60" t="n">
        <f aca="false">IF(EH304,IFERROR((((EG304+DL304)*EG304+DM304)*EG304+DN304)/((3*EG304+2*DL304)*EG304+DM304),0),0)</f>
        <v>0</v>
      </c>
      <c r="EJ304" s="60" t="n">
        <f aca="false">IF(ABS(EI304)&lt;0.1*ABS(EG304),EG304-EI304,EG304)</f>
        <v>-1</v>
      </c>
      <c r="EK304" s="60" t="n">
        <f aca="false">IF(EH304,IFERROR((((EJ304+DL304)*EJ304+DM304)*EJ304+DN304)/((3*EJ304+2*DL304)*EJ304+DM304),0),0)</f>
        <v>0</v>
      </c>
      <c r="EL304" s="60" t="n">
        <f aca="false">IF(ABS(EK304)&lt;0.1*ABS(EJ304),EJ304-EK304,EJ304)</f>
        <v>-1</v>
      </c>
      <c r="EM304" s="60" t="n">
        <f aca="false">IF(EH304,MAX(EB304,EL304),EB304)</f>
        <v>0.91158844983184</v>
      </c>
      <c r="EN304" s="60" t="n">
        <f aca="false">IF(EH304,MIN(EB304,EL304),-1)</f>
        <v>-1</v>
      </c>
      <c r="EO304" s="60" t="n">
        <f aca="false">CHOOSE($C$7,DJ304/EM304,DJ304/DK304*LN(1+DK304/EM304),DJ304/(2*SQRT(2)*DK304)*LN((EM304+(1+SQRT(2))*DK304)/(EM304+(1-SQRT(2))*DK304)))</f>
        <v>0.218240791233887</v>
      </c>
      <c r="EP304" s="60" t="n">
        <f aca="false">EM304-1-LN(EM304-DK304)-EO304</f>
        <v>-0.107840271021729</v>
      </c>
      <c r="EQ304" s="60" t="n">
        <f aca="false">IF(EH304,CHOOSE($C$7,DJ304/EN304,DJ304/DK304*LN(1+DK304/EN304),DJ304/(2*SQRT(2)*DK304)*LN((EN304+(1+SQRT(2))*DK304)/(EN304+(1-SQRT(2))*DK304))),0)</f>
        <v>0</v>
      </c>
      <c r="ER304" s="60" t="n">
        <f aca="false">IF(EH304,EN304-1-LN(EN304-DK304)-EQ304,0)</f>
        <v>0</v>
      </c>
      <c r="ES304" s="60" t="n">
        <f aca="false">AND(EH304,ER304&lt;EP304)</f>
        <v>0</v>
      </c>
      <c r="ET304" s="60" t="n">
        <f aca="false">IF(ES304,EN304,EM304)</f>
        <v>0.91158844983184</v>
      </c>
      <c r="EU304" s="60" t="n">
        <f aca="false">IF(ES304,EQ304,EO304)</f>
        <v>0.218240791233887</v>
      </c>
      <c r="EV304" s="60" t="n">
        <f aca="false">LN(ET304-DK304)</f>
        <v>-0.198812070380318</v>
      </c>
      <c r="EW304" s="60" t="n">
        <f aca="false">$E$27/DI304*(ET304-1)-EV304-EU304*(2*CV304/DH304-$E$27/DI304)</f>
        <v>-0.107840271021729</v>
      </c>
      <c r="EX304" s="60" t="n">
        <f aca="false">$F$27/DI304*(ET304-1)-EV304-EU304*(2*CW304/DH304-$F$27/DI304)</f>
        <v>0.198812070380318</v>
      </c>
      <c r="EY304" s="60" t="n">
        <f aca="false">$G$27/DI304*(ET304-1)-EV304-EU304*(2*CX304/DH304-$G$27/DI304)</f>
        <v>0.198812070380318</v>
      </c>
      <c r="EZ304" s="60" t="n">
        <f aca="false">$H$27/DI304*(ET304-1)-EV304-EU304*(2*CY304/DH304-$H$27/DI304)</f>
        <v>0.198812070380318</v>
      </c>
      <c r="FA304" s="60" t="n">
        <f aca="false">$I$27/DI304*(ET304-1)-EV304-EU304*(2*CZ304/DH304-$I$27/DI304)</f>
        <v>0.198812070380318</v>
      </c>
      <c r="FB304" s="60" t="n">
        <f aca="false">$J$27/DI304*(ET304-1)-EV304-EU304*(2*DA304/DH304-$J$27/DI304)</f>
        <v>0.198812070380318</v>
      </c>
      <c r="FC304" s="60" t="n">
        <f aca="false">$K$27/DI304*(ET304-1)-EV304-EU304*(2*DB304/DH304-$K$27/DI304)</f>
        <v>0.198812070380318</v>
      </c>
      <c r="FD304" s="60" t="n">
        <f aca="false">$L$27/DI304*(ET304-1)-EV304-EU304*(2*DC304/DH304-$L$27/DI304)</f>
        <v>0.198812070380318</v>
      </c>
      <c r="FE304" s="60" t="n">
        <f aca="false">$M$27/DI304*(ET304-1)-EV304-EU304*(2*DD304/DH304-$M$27/DI304)</f>
        <v>0.198812070380318</v>
      </c>
      <c r="FF304" s="60" t="n">
        <f aca="false">$N$27/DI304*(ET304-1)-EV304-EU304*(2*DE304/DH304-$N$27/DI304)</f>
        <v>0.198812070380318</v>
      </c>
      <c r="FG304" s="60" t="n">
        <f aca="false">$O$27/DI304*(ET304-1)-EV304-EU304*(2*DF304/DH304-$O$27/DI304)</f>
        <v>0.198812070380318</v>
      </c>
      <c r="FH304" s="60" t="n">
        <f aca="false">$P$27/DI304*(ET304-1)-EV304-EU304*(2*DG304/DH304-$P$27/DI304)</f>
        <v>0.198812070380318</v>
      </c>
      <c r="FI304" s="60" t="n">
        <f aca="false">DK304/ET304&gt;$C$22</f>
        <v>0</v>
      </c>
      <c r="FJ304" s="60" t="n">
        <f aca="false">$E$28*SUMPRODUCT($E$31:$P$31,CJ304:CU304,$E$28:$P$28)</f>
        <v>0.184416866619846</v>
      </c>
      <c r="FK304" s="60" t="n">
        <f aca="false">$F$28*SUMPRODUCT($E$32:$P$32,CJ304:CU304,$E$28:$P$28)</f>
        <v>0</v>
      </c>
      <c r="FL304" s="60" t="n">
        <f aca="false">$G$28*SUMPRODUCT($E$33:$P$33,CJ304:CU304,$E$28:$P$28)</f>
        <v>0</v>
      </c>
      <c r="FM304" s="60" t="n">
        <f aca="false">$H$28*SUMPRODUCT($E$34:$P$34,CJ304:CU304,$E$28:$P$28)</f>
        <v>0</v>
      </c>
      <c r="FN304" s="60" t="n">
        <f aca="false">$I$28*SUMPRODUCT($E$35:$P$35,CJ304:CU304,$E$28:$P$28)</f>
        <v>0</v>
      </c>
      <c r="FO304" s="60" t="n">
        <f aca="false">$J$28*SUMPRODUCT($E$36:$P$36,CJ304:CU304,$E$28:$P$28)</f>
        <v>0</v>
      </c>
      <c r="FP304" s="60" t="n">
        <f aca="false">$K$28*SUMPRODUCT($E$37:$P$37,CJ304:CU304,$E$28:$P$28)</f>
        <v>0</v>
      </c>
      <c r="FQ304" s="60" t="n">
        <f aca="false">$L$28*SUMPRODUCT($E$38:$P$38,CJ304:CU304,$E$28:$P$28)</f>
        <v>0</v>
      </c>
      <c r="FR304" s="60" t="n">
        <f aca="false">$M$28*SUMPRODUCT($E$39:$P$39,CJ304:CU304,$E$28:$P$28)</f>
        <v>0</v>
      </c>
      <c r="FS304" s="60" t="n">
        <f aca="false">$N$28*SUMPRODUCT($E$40:$P$40,CJ304:CU304,$E$28:$P$28)</f>
        <v>0</v>
      </c>
      <c r="FT304" s="60" t="n">
        <f aca="false">$O$28*SUMPRODUCT($E$41:$P$41,CJ304:CU304,$E$28:$P$28)</f>
        <v>0</v>
      </c>
      <c r="FU304" s="60" t="n">
        <f aca="false">$P$28*SUMPRODUCT($E$42:$P$42,CJ304:CU304,$E$28:$P$28)</f>
        <v>0</v>
      </c>
      <c r="FV304" s="60" t="n">
        <f aca="false">SUMPRODUCT(CJ304:CU304,FJ304:FU304)</f>
        <v>0.184416866619846</v>
      </c>
      <c r="FW304" s="60" t="n">
        <f aca="false">SUMPRODUCT(CJ304:CU304,$E$27:$P$27)</f>
        <v>2.67389635063809E-005</v>
      </c>
      <c r="FX304" s="60" t="n">
        <f aca="false">FV304*$C$9/($C$10*$C$8)^2</f>
        <v>0.21776909410545</v>
      </c>
      <c r="FY304" s="60" t="n">
        <f aca="false">FW304*$C$9/($C$10*$C$8)</f>
        <v>0.0918845243259994</v>
      </c>
      <c r="FZ304" s="60" t="n">
        <f aca="false">CHOOSE($C$7,-(1+FY304),-1,-(1-FY304))</f>
        <v>-0.908115475674001</v>
      </c>
      <c r="GA304" s="60" t="n">
        <f aca="false">CHOOSE($C$7,FX304,FX304-FY304-FY304^2,FX304-3*FY304^2-2*FY304)</f>
        <v>0.00867174802160559</v>
      </c>
      <c r="GB304" s="60" t="n">
        <f aca="false">CHOOSE($C$7,-FX304*FY304,-FX304*FY304,-(FX304*FY304-FY304^2-FY304^3))</f>
        <v>-0.0107910842936637</v>
      </c>
      <c r="GC304" s="60" t="n">
        <f aca="false">GA304-FZ304^2/3</f>
        <v>-0.266219491031267</v>
      </c>
      <c r="GD304" s="60" t="n">
        <f aca="false">2*FZ304^3/27-FZ304*GA304/3+GB304</f>
        <v>-0.0636400988362784</v>
      </c>
      <c r="GE304" s="60" t="n">
        <f aca="false">GD304^2/4+GC304^3/27</f>
        <v>0.000313710901361829</v>
      </c>
      <c r="GF304" s="60" t="n">
        <f aca="false">-GD304/2-IF(GD304&gt;=0,1,-1)*SQRT(MAX(GE304,0))</f>
        <v>0.0495319352963236</v>
      </c>
      <c r="GG304" s="60" t="n">
        <f aca="false">SIGN(GF304)*ABS(GF304)^(1/3)</f>
        <v>0.367249967174439</v>
      </c>
      <c r="GH304" s="60" t="n">
        <f aca="false">IF(GG304=0,0,GG304-GC304/(3*GG304))</f>
        <v>0.60888329127384</v>
      </c>
      <c r="GI304" s="60" t="n">
        <f aca="false">2*SQRT(MAX(-GC304,0)/3)</f>
        <v>0.595784626668918</v>
      </c>
      <c r="GJ304" s="60" t="n">
        <f aca="false">ACOS(IF(GI304=0,0,MAX(-1,MIN(1,3*GD304/(GC304*GI304)))))</f>
        <v>0</v>
      </c>
      <c r="GK304" s="60" t="n">
        <f aca="false">GI304*COS(GJ304/3)</f>
        <v>0.595784626668918</v>
      </c>
      <c r="GL304" s="60" t="n">
        <f aca="false">IF(GE304&lt;0,GK304,GH304)-FZ304/3</f>
        <v>0.91158844983184</v>
      </c>
      <c r="GM304" s="60" t="n">
        <f aca="false">IFERROR((((GL304+FZ304)*GL304+GA304)*GL304+GB304)/((3*GL304+2*FZ304)*GL304+GA304),0)</f>
        <v>0</v>
      </c>
      <c r="GN304" s="60" t="n">
        <f aca="false">IF(ABS(GM304)&lt;0.1*ABS(GL304),GL304-GM304,GL304)</f>
        <v>0.91158844983184</v>
      </c>
      <c r="GO304" s="60" t="n">
        <f aca="false">IFERROR((((GN304+FZ304)*GN304+GA304)*GN304+GB304)/((3*GN304+2*FZ304)*GN304+GA304),0)</f>
        <v>0</v>
      </c>
      <c r="GP304" s="60" t="n">
        <f aca="false">IF(ABS(GO304)&lt;0.1*ABS(GN304),GN304-GO304,GN304)</f>
        <v>0.91158844983184</v>
      </c>
      <c r="GQ304" s="60" t="n">
        <f aca="false">-GB304/GP304</f>
        <v>0.0118376711504565</v>
      </c>
      <c r="GR304" s="60" t="n">
        <f aca="false">(GA304-GQ304)/GP304</f>
        <v>-0.00347297415783941</v>
      </c>
      <c r="GS304" s="60" t="n">
        <f aca="false">GR304^2-4*GQ304</f>
        <v>-0.0473386230523248</v>
      </c>
      <c r="GT304" s="60" t="n">
        <f aca="false">IF(GS304&gt;=0,(GR304+IF(GR304&gt;=0,1,-1)*SQRT(GS304))/2,0)</f>
        <v>0</v>
      </c>
      <c r="GU304" s="60" t="n">
        <f aca="false">IF(AND(GS304&gt;=0,GT304&lt;&gt;0),MIN(GT304,GQ304/GT304),-1)</f>
        <v>-1</v>
      </c>
      <c r="GV304" s="60" t="n">
        <f aca="false">AND(GS304&gt;=0,GU304&gt;FY304,ABS(GP304-GU304)&gt;=0.00005*MAX(GP304,GU304))</f>
        <v>0</v>
      </c>
      <c r="GW304" s="60" t="n">
        <f aca="false">IF(GV304,IFERROR((((GU304+FZ304)*GU304+GA304)*GU304+GB304)/((3*GU304+2*FZ304)*GU304+GA304),0),0)</f>
        <v>0</v>
      </c>
      <c r="GX304" s="60" t="n">
        <f aca="false">IF(ABS(GW304)&lt;0.1*ABS(GU304),GU304-GW304,GU304)</f>
        <v>-1</v>
      </c>
      <c r="GY304" s="60" t="n">
        <f aca="false">IF(GV304,IFERROR((((GX304+FZ304)*GX304+GA304)*GX304+GB304)/((3*GX304+2*FZ304)*GX304+GA304),0),0)</f>
        <v>0</v>
      </c>
      <c r="GZ304" s="60" t="n">
        <f aca="false">IF(ABS(GY304)&lt;0.1*ABS(GX304),GX304-GY304,GX304)</f>
        <v>-1</v>
      </c>
      <c r="HA304" s="60" t="n">
        <f aca="false">IF(GV304,MAX(GP304,GZ304),GP304)</f>
        <v>0.91158844983184</v>
      </c>
      <c r="HB304" s="60" t="n">
        <f aca="false">IF(GV304,MIN(GP304,GZ304),-1)</f>
        <v>-1</v>
      </c>
      <c r="HC304" s="60" t="n">
        <f aca="false">CHOOSE($C$7,FX304/HA304,FX304/FY304*LN(1+FY304/HA304),FX304/(2*SQRT(2)*FY304)*LN((HA304+(1+SQRT(2))*FY304)/(HA304+(1-SQRT(2))*FY304)))</f>
        <v>0.218240791233887</v>
      </c>
      <c r="HD304" s="60" t="n">
        <f aca="false">HA304-1-LN(HA304-FY304)-HC304</f>
        <v>-0.107840271021729</v>
      </c>
      <c r="HE304" s="60" t="n">
        <f aca="false">IF(GV304,CHOOSE($C$7,FX304/HB304,FX304/FY304*LN(1+FY304/HB304),FX304/(2*SQRT(2)*FY304)*LN((HB304+(1+SQRT(2))*FY304)/(HB304+(1-SQRT(2))*FY304))),0)</f>
        <v>0</v>
      </c>
      <c r="HF304" s="60" t="n">
        <f aca="false">IF(GV304,HB304-1-LN(HB304-FY304)-HE304,0)</f>
        <v>0</v>
      </c>
      <c r="HG304" s="60" t="n">
        <f aca="false">AND(GV304,HF304&lt;HD304)</f>
        <v>0</v>
      </c>
      <c r="HH304" s="60" t="n">
        <f aca="false">IF(HG304,HB304,HA304)</f>
        <v>0.91158844983184</v>
      </c>
      <c r="HI304" s="60" t="n">
        <f aca="false">IF(HG304,HE304,HC304)</f>
        <v>0.218240791233887</v>
      </c>
      <c r="HJ304" s="60" t="n">
        <f aca="false">LN(HH304-FY304)</f>
        <v>-0.198812070380318</v>
      </c>
      <c r="HK304" s="60" t="n">
        <f aca="false">$E$27/FW304*(HH304-1)-HJ304-HI304*(2*FJ304/FV304-$E$27/FW304)</f>
        <v>-0.107840271021729</v>
      </c>
      <c r="HL304" s="60" t="n">
        <f aca="false">$F$27/FW304*(HH304-1)-HJ304-HI304*(2*FK304/FV304-$F$27/FW304)</f>
        <v>0.198812070380318</v>
      </c>
      <c r="HM304" s="60" t="n">
        <f aca="false">$G$27/FW304*(HH304-1)-HJ304-HI304*(2*FL304/FV304-$G$27/FW304)</f>
        <v>0.198812070380318</v>
      </c>
      <c r="HN304" s="60" t="n">
        <f aca="false">$H$27/FW304*(HH304-1)-HJ304-HI304*(2*FM304/FV304-$H$27/FW304)</f>
        <v>0.198812070380318</v>
      </c>
      <c r="HO304" s="60" t="n">
        <f aca="false">$I$27/FW304*(HH304-1)-HJ304-HI304*(2*FN304/FV304-$I$27/FW304)</f>
        <v>0.198812070380318</v>
      </c>
      <c r="HP304" s="60" t="n">
        <f aca="false">$J$27/FW304*(HH304-1)-HJ304-HI304*(2*FO304/FV304-$J$27/FW304)</f>
        <v>0.198812070380318</v>
      </c>
      <c r="HQ304" s="60" t="n">
        <f aca="false">$K$27/FW304*(HH304-1)-HJ304-HI304*(2*FP304/FV304-$K$27/FW304)</f>
        <v>0.198812070380318</v>
      </c>
      <c r="HR304" s="60" t="n">
        <f aca="false">$L$27/FW304*(HH304-1)-HJ304-HI304*(2*FQ304/FV304-$L$27/FW304)</f>
        <v>0.198812070380318</v>
      </c>
      <c r="HS304" s="60" t="n">
        <f aca="false">$M$27/FW304*(HH304-1)-HJ304-HI304*(2*FR304/FV304-$M$27/FW304)</f>
        <v>0.198812070380318</v>
      </c>
      <c r="HT304" s="60" t="n">
        <f aca="false">$N$27/FW304*(HH304-1)-HJ304-HI304*(2*FS304/FV304-$N$27/FW304)</f>
        <v>0.198812070380318</v>
      </c>
      <c r="HU304" s="60" t="n">
        <f aca="false">$O$27/FW304*(HH304-1)-HJ304-HI304*(2*FT304/FV304-$O$27/FW304)</f>
        <v>0.198812070380318</v>
      </c>
      <c r="HV304" s="60" t="n">
        <f aca="false">$P$27/FW304*(HH304-1)-HJ304-HI304*(2*FU304/FV304-$P$27/FW304)</f>
        <v>0.198812070380318</v>
      </c>
      <c r="HW304" s="60" t="n">
        <f aca="false">FY304/HH304&gt;$C$22</f>
        <v>0</v>
      </c>
      <c r="HX304" s="60" t="n">
        <f aca="false">IF($E$13&gt;0,MAX(-300,MIN(300,EW304-HK304)),0)</f>
        <v>0</v>
      </c>
      <c r="HY304" s="60" t="n">
        <f aca="false">IF($F$13&gt;0,MAX(-300,MIN(300,EX304-HL304)),0)</f>
        <v>0</v>
      </c>
      <c r="HZ304" s="60" t="n">
        <f aca="false">IF($G$13&gt;0,MAX(-300,MIN(300,EY304-HM304)),0)</f>
        <v>0</v>
      </c>
      <c r="IA304" s="60" t="n">
        <f aca="false">IF($H$13&gt;0,MAX(-300,MIN(300,EZ304-HN304)),0)</f>
        <v>0</v>
      </c>
      <c r="IB304" s="60" t="n">
        <f aca="false">IF($I$13&gt;0,MAX(-300,MIN(300,FA304-HO304)),0)</f>
        <v>0</v>
      </c>
      <c r="IC304" s="60" t="n">
        <f aca="false">IF($J$13&gt;0,MAX(-300,MIN(300,FB304-HP304)),0)</f>
        <v>0</v>
      </c>
      <c r="ID304" s="60" t="n">
        <f aca="false">IF($K$13&gt;0,MAX(-300,MIN(300,FC304-HQ304)),0)</f>
        <v>0</v>
      </c>
      <c r="IE304" s="60" t="n">
        <f aca="false">IF($L$13&gt;0,MAX(-300,MIN(300,FD304-HR304)),0)</f>
        <v>0</v>
      </c>
      <c r="IF304" s="60" t="n">
        <f aca="false">IF($M$13&gt;0,MAX(-300,MIN(300,FE304-HS304)),0)</f>
        <v>0</v>
      </c>
      <c r="IG304" s="60" t="n">
        <f aca="false">IF($N$13&gt;0,MAX(-300,MIN(300,FF304-HT304)),0)</f>
        <v>0</v>
      </c>
      <c r="IH304" s="60" t="n">
        <f aca="false">IF($O$13&gt;0,MAX(-300,MIN(300,FG304-HU304)),0)</f>
        <v>0</v>
      </c>
      <c r="II304" s="60" t="n">
        <f aca="false">IF($P$13&gt;0,MAX(-300,MIN(300,FH304-HV304)),0)</f>
        <v>0</v>
      </c>
      <c r="IJ304" s="60" t="n">
        <f aca="false">SUMXMY2(HX304:II304,B304:M304)</f>
        <v>0</v>
      </c>
      <c r="IK304" s="60" t="n">
        <f aca="false">SUMSQ(B304:M304)</f>
        <v>0</v>
      </c>
    </row>
    <row r="305" customFormat="false" ht="15" hidden="false" customHeight="false" outlineLevel="0" collapsed="false">
      <c r="A305" s="59" t="n">
        <v>8</v>
      </c>
      <c r="B305" s="60" t="n">
        <f aca="false">HX304</f>
        <v>0</v>
      </c>
      <c r="C305" s="60" t="n">
        <f aca="false">HY304</f>
        <v>0</v>
      </c>
      <c r="D305" s="60" t="n">
        <f aca="false">HZ304</f>
        <v>0</v>
      </c>
      <c r="E305" s="60" t="n">
        <f aca="false">IA304</f>
        <v>0</v>
      </c>
      <c r="F305" s="60" t="n">
        <f aca="false">IB304</f>
        <v>0</v>
      </c>
      <c r="G305" s="60" t="n">
        <f aca="false">IC304</f>
        <v>0</v>
      </c>
      <c r="H305" s="60" t="n">
        <f aca="false">ID304</f>
        <v>0</v>
      </c>
      <c r="I305" s="60" t="n">
        <f aca="false">IE304</f>
        <v>0</v>
      </c>
      <c r="J305" s="60" t="n">
        <f aca="false">IF304</f>
        <v>0</v>
      </c>
      <c r="K305" s="60" t="n">
        <f aca="false">IG304</f>
        <v>0</v>
      </c>
      <c r="L305" s="60" t="n">
        <f aca="false">IH304</f>
        <v>0</v>
      </c>
      <c r="M305" s="60" t="n">
        <f aca="false">II304</f>
        <v>0</v>
      </c>
      <c r="N305" s="60" t="n">
        <f aca="false">EXP(B305)</f>
        <v>1</v>
      </c>
      <c r="O305" s="60" t="n">
        <f aca="false">EXP(C305)</f>
        <v>1</v>
      </c>
      <c r="P305" s="60" t="n">
        <f aca="false">EXP(D305)</f>
        <v>1</v>
      </c>
      <c r="Q305" s="60" t="n">
        <f aca="false">EXP(E305)</f>
        <v>1</v>
      </c>
      <c r="R305" s="60" t="n">
        <f aca="false">EXP(F305)</f>
        <v>1</v>
      </c>
      <c r="S305" s="60" t="n">
        <f aca="false">EXP(G305)</f>
        <v>1</v>
      </c>
      <c r="T305" s="60" t="n">
        <f aca="false">EXP(H305)</f>
        <v>1</v>
      </c>
      <c r="U305" s="60" t="n">
        <f aca="false">EXP(I305)</f>
        <v>1</v>
      </c>
      <c r="V305" s="60" t="n">
        <f aca="false">EXP(J305)</f>
        <v>1</v>
      </c>
      <c r="W305" s="60" t="n">
        <f aca="false">EXP(K305)</f>
        <v>1</v>
      </c>
      <c r="X305" s="60" t="n">
        <f aca="false">EXP(L305)</f>
        <v>1</v>
      </c>
      <c r="Y305" s="60" t="n">
        <f aca="false">EXP(M305)</f>
        <v>1</v>
      </c>
      <c r="Z305" s="60" t="n">
        <f aca="false">MAX(N305:Y305)</f>
        <v>1</v>
      </c>
      <c r="AA305" s="60" t="n">
        <f aca="false">MIN(N305:Y305)</f>
        <v>1</v>
      </c>
      <c r="AB305" s="60" t="n">
        <f aca="false">AND(Z305&gt;1,AA305&lt;1)</f>
        <v>0</v>
      </c>
      <c r="AC305" s="60" t="n">
        <f aca="false">IF(AB305,1/(1-Z305),0)</f>
        <v>0</v>
      </c>
      <c r="AD305" s="60" t="n">
        <f aca="false">IF(AB305,1/(1-AA305),1)</f>
        <v>1</v>
      </c>
      <c r="AE305" s="60" t="n">
        <f aca="false">IF(AB305,MIN(MAX(BI304,AC305+0.000000001*(AD305-AC305)),AD305-0.000000001*(AD305-AC305)),IF(AA305&gt;=1,1,0))</f>
        <v>1</v>
      </c>
      <c r="AF305" s="60" t="n">
        <f aca="false">SUMPRODUCT($E$13:$P$13*(N305:Y305-1)/(1+AE305*(N305:Y305-1)))</f>
        <v>0</v>
      </c>
      <c r="AG305" s="60" t="n">
        <f aca="false">-SUMPRODUCT($E$13:$P$13*(N305:Y305-1)^2/(1+AE305*(N305:Y305-1))^2)</f>
        <v>-0</v>
      </c>
      <c r="AH305" s="60" t="n">
        <f aca="false">IF(OR(NOT(AB305),AG305=0),AE305,IF(AE305-AF305/AG305&lt;=AC305,(AE305+AC305)/2,IF(AE305-AF305/AG305&gt;=AD305,(AE305+AD305)/2,AE305-AF305/AG305)))</f>
        <v>1</v>
      </c>
      <c r="AI305" s="60" t="n">
        <f aca="false">SUMPRODUCT($E$13:$P$13*(N305:Y305-1)/(1+AH305*(N305:Y305-1)))</f>
        <v>0</v>
      </c>
      <c r="AJ305" s="60" t="n">
        <f aca="false">-SUMPRODUCT($E$13:$P$13*(N305:Y305-1)^2/(1+AH305*(N305:Y305-1))^2)</f>
        <v>-0</v>
      </c>
      <c r="AK305" s="60" t="n">
        <f aca="false">IF(OR(NOT(AB305),AJ305=0),AH305,IF(AH305-AI305/AJ305&lt;=AC305,(AH305+AC305)/2,IF(AH305-AI305/AJ305&gt;=AD305,(AH305+AD305)/2,AH305-AI305/AJ305)))</f>
        <v>1</v>
      </c>
      <c r="AL305" s="60" t="n">
        <f aca="false">SUMPRODUCT($E$13:$P$13*(N305:Y305-1)/(1+AK305*(N305:Y305-1)))</f>
        <v>0</v>
      </c>
      <c r="AM305" s="60" t="n">
        <f aca="false">-SUMPRODUCT($E$13:$P$13*(N305:Y305-1)^2/(1+AK305*(N305:Y305-1))^2)</f>
        <v>-0</v>
      </c>
      <c r="AN305" s="60" t="n">
        <f aca="false">IF(OR(NOT(AB305),AM305=0),AK305,IF(AK305-AL305/AM305&lt;=AC305,(AK305+AC305)/2,IF(AK305-AL305/AM305&gt;=AD305,(AK305+AD305)/2,AK305-AL305/AM305)))</f>
        <v>1</v>
      </c>
      <c r="AO305" s="60" t="n">
        <f aca="false">SUMPRODUCT($E$13:$P$13*(N305:Y305-1)/(1+AN305*(N305:Y305-1)))</f>
        <v>0</v>
      </c>
      <c r="AP305" s="60" t="n">
        <f aca="false">-SUMPRODUCT($E$13:$P$13*(N305:Y305-1)^2/(1+AN305*(N305:Y305-1))^2)</f>
        <v>-0</v>
      </c>
      <c r="AQ305" s="60" t="n">
        <f aca="false">IF(OR(NOT(AB305),AP305=0),AN305,IF(AN305-AO305/AP305&lt;=AC305,(AN305+AC305)/2,IF(AN305-AO305/AP305&gt;=AD305,(AN305+AD305)/2,AN305-AO305/AP305)))</f>
        <v>1</v>
      </c>
      <c r="AR305" s="60" t="n">
        <f aca="false">SUMPRODUCT($E$13:$P$13*(N305:Y305-1)/(1+AQ305*(N305:Y305-1)))</f>
        <v>0</v>
      </c>
      <c r="AS305" s="60" t="n">
        <f aca="false">-SUMPRODUCT($E$13:$P$13*(N305:Y305-1)^2/(1+AQ305*(N305:Y305-1))^2)</f>
        <v>-0</v>
      </c>
      <c r="AT305" s="60" t="n">
        <f aca="false">IF(OR(NOT(AB305),AS305=0),AQ305,IF(AQ305-AR305/AS305&lt;=AC305,(AQ305+AC305)/2,IF(AQ305-AR305/AS305&gt;=AD305,(AQ305+AD305)/2,AQ305-AR305/AS305)))</f>
        <v>1</v>
      </c>
      <c r="AU305" s="60" t="n">
        <f aca="false">SUMPRODUCT($E$13:$P$13*(N305:Y305-1)/(1+AT305*(N305:Y305-1)))</f>
        <v>0</v>
      </c>
      <c r="AV305" s="60" t="n">
        <f aca="false">-SUMPRODUCT($E$13:$P$13*(N305:Y305-1)^2/(1+AT305*(N305:Y305-1))^2)</f>
        <v>-0</v>
      </c>
      <c r="AW305" s="60" t="n">
        <f aca="false">IF(OR(NOT(AB305),AV305=0),AT305,IF(AT305-AU305/AV305&lt;=AC305,(AT305+AC305)/2,IF(AT305-AU305/AV305&gt;=AD305,(AT305+AD305)/2,AT305-AU305/AV305)))</f>
        <v>1</v>
      </c>
      <c r="AX305" s="60" t="n">
        <f aca="false">SUMPRODUCT($E$13:$P$13*(N305:Y305-1)/(1+AW305*(N305:Y305-1)))</f>
        <v>0</v>
      </c>
      <c r="AY305" s="60" t="n">
        <f aca="false">-SUMPRODUCT($E$13:$P$13*(N305:Y305-1)^2/(1+AW305*(N305:Y305-1))^2)</f>
        <v>-0</v>
      </c>
      <c r="AZ305" s="60" t="n">
        <f aca="false">IF(OR(NOT(AB305),AY305=0),AW305,IF(AW305-AX305/AY305&lt;=AC305,(AW305+AC305)/2,IF(AW305-AX305/AY305&gt;=AD305,(AW305+AD305)/2,AW305-AX305/AY305)))</f>
        <v>1</v>
      </c>
      <c r="BA305" s="60" t="n">
        <f aca="false">SUMPRODUCT($E$13:$P$13*(N305:Y305-1)/(1+AZ305*(N305:Y305-1)))</f>
        <v>0</v>
      </c>
      <c r="BB305" s="60" t="n">
        <f aca="false">-SUMPRODUCT($E$13:$P$13*(N305:Y305-1)^2/(1+AZ305*(N305:Y305-1))^2)</f>
        <v>-0</v>
      </c>
      <c r="BC305" s="60" t="n">
        <f aca="false">IF(OR(NOT(AB305),BB305=0),AZ305,IF(AZ305-BA305/BB305&lt;=AC305,(AZ305+AC305)/2,IF(AZ305-BA305/BB305&gt;=AD305,(AZ305+AD305)/2,AZ305-BA305/BB305)))</f>
        <v>1</v>
      </c>
      <c r="BD305" s="60" t="n">
        <f aca="false">SUMPRODUCT($E$13:$P$13*(N305:Y305-1)/(1+BC305*(N305:Y305-1)))</f>
        <v>0</v>
      </c>
      <c r="BE305" s="60" t="n">
        <f aca="false">-SUMPRODUCT($E$13:$P$13*(N305:Y305-1)^2/(1+BC305*(N305:Y305-1))^2)</f>
        <v>-0</v>
      </c>
      <c r="BF305" s="60" t="n">
        <f aca="false">IF(OR(NOT(AB305),BE305=0),BC305,IF(BC305-BD305/BE305&lt;=AC305,(BC305+AC305)/2,IF(BC305-BD305/BE305&gt;=AD305,(BC305+AD305)/2,BC305-BD305/BE305)))</f>
        <v>1</v>
      </c>
      <c r="BG305" s="60" t="n">
        <f aca="false">SUMPRODUCT($E$13:$P$13*(N305:Y305-1)/(1+BF305*(N305:Y305-1)))</f>
        <v>0</v>
      </c>
      <c r="BH305" s="60" t="n">
        <f aca="false">-SUMPRODUCT($E$13:$P$13*(N305:Y305-1)^2/(1+BF305*(N305:Y305-1))^2)</f>
        <v>-0</v>
      </c>
      <c r="BI305" s="60" t="n">
        <f aca="false">IF(OR(NOT(AB305),BH305=0),BF305,IF(BF305-BG305/BH305&lt;=AC305,(BF305+AC305)/2,IF(BF305-BG305/BH305&gt;=AD305,(BF305+AD305)/2,BF305-BG305/BH305)))</f>
        <v>1</v>
      </c>
      <c r="BJ305" s="60" t="n">
        <f aca="false">$E$13/(1+BI305*(N305-1))</f>
        <v>1</v>
      </c>
      <c r="BK305" s="60" t="n">
        <f aca="false">$F$13/(1+BI305*(O305-1))</f>
        <v>0</v>
      </c>
      <c r="BL305" s="60" t="n">
        <f aca="false">$G$13/(1+BI305*(P305-1))</f>
        <v>0</v>
      </c>
      <c r="BM305" s="60" t="n">
        <f aca="false">$H$13/(1+BI305*(Q305-1))</f>
        <v>0</v>
      </c>
      <c r="BN305" s="60" t="n">
        <f aca="false">$I$13/(1+BI305*(R305-1))</f>
        <v>0</v>
      </c>
      <c r="BO305" s="60" t="n">
        <f aca="false">$J$13/(1+BI305*(S305-1))</f>
        <v>0</v>
      </c>
      <c r="BP305" s="60" t="n">
        <f aca="false">$K$13/(1+BI305*(T305-1))</f>
        <v>0</v>
      </c>
      <c r="BQ305" s="60" t="n">
        <f aca="false">$L$13/(1+BI305*(U305-1))</f>
        <v>0</v>
      </c>
      <c r="BR305" s="60" t="n">
        <f aca="false">$M$13/(1+BI305*(V305-1))</f>
        <v>0</v>
      </c>
      <c r="BS305" s="60" t="n">
        <f aca="false">$N$13/(1+BI305*(W305-1))</f>
        <v>0</v>
      </c>
      <c r="BT305" s="60" t="n">
        <f aca="false">$O$13/(1+BI305*(X305-1))</f>
        <v>0</v>
      </c>
      <c r="BU305" s="60" t="n">
        <f aca="false">$P$13/(1+BI305*(Y305-1))</f>
        <v>0</v>
      </c>
      <c r="BV305" s="60" t="n">
        <f aca="false">SUM(BJ305:BU305)</f>
        <v>1</v>
      </c>
      <c r="BW305" s="60" t="n">
        <f aca="false">SUMPRODUCT(N305:Y305,BJ305:BU305)</f>
        <v>1</v>
      </c>
      <c r="BX305" s="60" t="n">
        <f aca="false">BJ305/BV305</f>
        <v>1</v>
      </c>
      <c r="BY305" s="60" t="n">
        <f aca="false">BK305/BV305</f>
        <v>0</v>
      </c>
      <c r="BZ305" s="60" t="n">
        <f aca="false">BL305/BV305</f>
        <v>0</v>
      </c>
      <c r="CA305" s="60" t="n">
        <f aca="false">BM305/BV305</f>
        <v>0</v>
      </c>
      <c r="CB305" s="60" t="n">
        <f aca="false">BN305/BV305</f>
        <v>0</v>
      </c>
      <c r="CC305" s="60" t="n">
        <f aca="false">BO305/BV305</f>
        <v>0</v>
      </c>
      <c r="CD305" s="60" t="n">
        <f aca="false">BP305/BV305</f>
        <v>0</v>
      </c>
      <c r="CE305" s="60" t="n">
        <f aca="false">BQ305/BV305</f>
        <v>0</v>
      </c>
      <c r="CF305" s="60" t="n">
        <f aca="false">BR305/BV305</f>
        <v>0</v>
      </c>
      <c r="CG305" s="60" t="n">
        <f aca="false">BS305/BV305</f>
        <v>0</v>
      </c>
      <c r="CH305" s="60" t="n">
        <f aca="false">BT305/BV305</f>
        <v>0</v>
      </c>
      <c r="CI305" s="60" t="n">
        <f aca="false">BU305/BV305</f>
        <v>0</v>
      </c>
      <c r="CJ305" s="60" t="n">
        <f aca="false">N305*BJ305/BW305</f>
        <v>1</v>
      </c>
      <c r="CK305" s="60" t="n">
        <f aca="false">O305*BK305/BW305</f>
        <v>0</v>
      </c>
      <c r="CL305" s="60" t="n">
        <f aca="false">P305*BL305/BW305</f>
        <v>0</v>
      </c>
      <c r="CM305" s="60" t="n">
        <f aca="false">Q305*BM305/BW305</f>
        <v>0</v>
      </c>
      <c r="CN305" s="60" t="n">
        <f aca="false">R305*BN305/BW305</f>
        <v>0</v>
      </c>
      <c r="CO305" s="60" t="n">
        <f aca="false">S305*BO305/BW305</f>
        <v>0</v>
      </c>
      <c r="CP305" s="60" t="n">
        <f aca="false">T305*BP305/BW305</f>
        <v>0</v>
      </c>
      <c r="CQ305" s="60" t="n">
        <f aca="false">U305*BQ305/BW305</f>
        <v>0</v>
      </c>
      <c r="CR305" s="60" t="n">
        <f aca="false">V305*BR305/BW305</f>
        <v>0</v>
      </c>
      <c r="CS305" s="60" t="n">
        <f aca="false">W305*BS305/BW305</f>
        <v>0</v>
      </c>
      <c r="CT305" s="60" t="n">
        <f aca="false">X305*BT305/BW305</f>
        <v>0</v>
      </c>
      <c r="CU305" s="60" t="n">
        <f aca="false">Y305*BU305/BW305</f>
        <v>0</v>
      </c>
      <c r="CV305" s="60" t="n">
        <f aca="false">$E$28*SUMPRODUCT($E$31:$P$31,BX305:CI305,$E$28:$P$28)</f>
        <v>0.184416866619846</v>
      </c>
      <c r="CW305" s="60" t="n">
        <f aca="false">$F$28*SUMPRODUCT($E$32:$P$32,BX305:CI305,$E$28:$P$28)</f>
        <v>0</v>
      </c>
      <c r="CX305" s="60" t="n">
        <f aca="false">$G$28*SUMPRODUCT($E$33:$P$33,BX305:CI305,$E$28:$P$28)</f>
        <v>0</v>
      </c>
      <c r="CY305" s="60" t="n">
        <f aca="false">$H$28*SUMPRODUCT($E$34:$P$34,BX305:CI305,$E$28:$P$28)</f>
        <v>0</v>
      </c>
      <c r="CZ305" s="60" t="n">
        <f aca="false">$I$28*SUMPRODUCT($E$35:$P$35,BX305:CI305,$E$28:$P$28)</f>
        <v>0</v>
      </c>
      <c r="DA305" s="60" t="n">
        <f aca="false">$J$28*SUMPRODUCT($E$36:$P$36,BX305:CI305,$E$28:$P$28)</f>
        <v>0</v>
      </c>
      <c r="DB305" s="60" t="n">
        <f aca="false">$K$28*SUMPRODUCT($E$37:$P$37,BX305:CI305,$E$28:$P$28)</f>
        <v>0</v>
      </c>
      <c r="DC305" s="60" t="n">
        <f aca="false">$L$28*SUMPRODUCT($E$38:$P$38,BX305:CI305,$E$28:$P$28)</f>
        <v>0</v>
      </c>
      <c r="DD305" s="60" t="n">
        <f aca="false">$M$28*SUMPRODUCT($E$39:$P$39,BX305:CI305,$E$28:$P$28)</f>
        <v>0</v>
      </c>
      <c r="DE305" s="60" t="n">
        <f aca="false">$N$28*SUMPRODUCT($E$40:$P$40,BX305:CI305,$E$28:$P$28)</f>
        <v>0</v>
      </c>
      <c r="DF305" s="60" t="n">
        <f aca="false">$O$28*SUMPRODUCT($E$41:$P$41,BX305:CI305,$E$28:$P$28)</f>
        <v>0</v>
      </c>
      <c r="DG305" s="60" t="n">
        <f aca="false">$P$28*SUMPRODUCT($E$42:$P$42,BX305:CI305,$E$28:$P$28)</f>
        <v>0</v>
      </c>
      <c r="DH305" s="60" t="n">
        <f aca="false">SUMPRODUCT(BX305:CI305,CV305:DG305)</f>
        <v>0.184416866619846</v>
      </c>
      <c r="DI305" s="60" t="n">
        <f aca="false">SUMPRODUCT(BX305:CI305,$E$27:$P$27)</f>
        <v>2.67389635063809E-005</v>
      </c>
      <c r="DJ305" s="60" t="n">
        <f aca="false">DH305*$C$9/($C$10*$C$8)^2</f>
        <v>0.21776909410545</v>
      </c>
      <c r="DK305" s="60" t="n">
        <f aca="false">DI305*$C$9/($C$10*$C$8)</f>
        <v>0.0918845243259994</v>
      </c>
      <c r="DL305" s="60" t="n">
        <f aca="false">CHOOSE($C$7,-(1+DK305),-1,-(1-DK305))</f>
        <v>-0.908115475674001</v>
      </c>
      <c r="DM305" s="60" t="n">
        <f aca="false">CHOOSE($C$7,DJ305,DJ305-DK305-DK305^2,DJ305-3*DK305^2-2*DK305)</f>
        <v>0.00867174802160559</v>
      </c>
      <c r="DN305" s="60" t="n">
        <f aca="false">CHOOSE($C$7,-DJ305*DK305,-DJ305*DK305,-(DJ305*DK305-DK305^2-DK305^3))</f>
        <v>-0.0107910842936637</v>
      </c>
      <c r="DO305" s="60" t="n">
        <f aca="false">DM305-DL305^2/3</f>
        <v>-0.266219491031267</v>
      </c>
      <c r="DP305" s="60" t="n">
        <f aca="false">2*DL305^3/27-DL305*DM305/3+DN305</f>
        <v>-0.0636400988362784</v>
      </c>
      <c r="DQ305" s="60" t="n">
        <f aca="false">DP305^2/4+DO305^3/27</f>
        <v>0.000313710901361829</v>
      </c>
      <c r="DR305" s="60" t="n">
        <f aca="false">-DP305/2-IF(DP305&gt;=0,1,-1)*SQRT(MAX(DQ305,0))</f>
        <v>0.0495319352963236</v>
      </c>
      <c r="DS305" s="60" t="n">
        <f aca="false">SIGN(DR305)*ABS(DR305)^(1/3)</f>
        <v>0.367249967174439</v>
      </c>
      <c r="DT305" s="60" t="n">
        <f aca="false">IF(DS305=0,0,DS305-DO305/(3*DS305))</f>
        <v>0.60888329127384</v>
      </c>
      <c r="DU305" s="60" t="n">
        <f aca="false">2*SQRT(MAX(-DO305,0)/3)</f>
        <v>0.595784626668918</v>
      </c>
      <c r="DV305" s="60" t="n">
        <f aca="false">ACOS(IF(DU305=0,0,MAX(-1,MIN(1,3*DP305/(DO305*DU305)))))</f>
        <v>0</v>
      </c>
      <c r="DW305" s="60" t="n">
        <f aca="false">DU305*COS(DV305/3)</f>
        <v>0.595784626668918</v>
      </c>
      <c r="DX305" s="60" t="n">
        <f aca="false">IF(DQ305&lt;0,DW305,DT305)-DL305/3</f>
        <v>0.91158844983184</v>
      </c>
      <c r="DY305" s="60" t="n">
        <f aca="false">IFERROR((((DX305+DL305)*DX305+DM305)*DX305+DN305)/((3*DX305+2*DL305)*DX305+DM305),0)</f>
        <v>0</v>
      </c>
      <c r="DZ305" s="60" t="n">
        <f aca="false">IF(ABS(DY305)&lt;0.1*ABS(DX305),DX305-DY305,DX305)</f>
        <v>0.91158844983184</v>
      </c>
      <c r="EA305" s="60" t="n">
        <f aca="false">IFERROR((((DZ305+DL305)*DZ305+DM305)*DZ305+DN305)/((3*DZ305+2*DL305)*DZ305+DM305),0)</f>
        <v>0</v>
      </c>
      <c r="EB305" s="60" t="n">
        <f aca="false">IF(ABS(EA305)&lt;0.1*ABS(DZ305),DZ305-EA305,DZ305)</f>
        <v>0.91158844983184</v>
      </c>
      <c r="EC305" s="60" t="n">
        <f aca="false">-DN305/EB305</f>
        <v>0.0118376711504565</v>
      </c>
      <c r="ED305" s="60" t="n">
        <f aca="false">(DM305-EC305)/EB305</f>
        <v>-0.00347297415783941</v>
      </c>
      <c r="EE305" s="60" t="n">
        <f aca="false">ED305^2-4*EC305</f>
        <v>-0.0473386230523248</v>
      </c>
      <c r="EF305" s="60" t="n">
        <f aca="false">IF(EE305&gt;=0,(ED305+IF(ED305&gt;=0,1,-1)*SQRT(EE305))/2,0)</f>
        <v>0</v>
      </c>
      <c r="EG305" s="60" t="n">
        <f aca="false">IF(AND(EE305&gt;=0,EF305&lt;&gt;0),MIN(EF305,EC305/EF305),-1)</f>
        <v>-1</v>
      </c>
      <c r="EH305" s="60" t="n">
        <f aca="false">AND(EE305&gt;=0,EG305&gt;DK305,ABS(EB305-EG305)&gt;=0.00005*MAX(EB305,EG305))</f>
        <v>0</v>
      </c>
      <c r="EI305" s="60" t="n">
        <f aca="false">IF(EH305,IFERROR((((EG305+DL305)*EG305+DM305)*EG305+DN305)/((3*EG305+2*DL305)*EG305+DM305),0),0)</f>
        <v>0</v>
      </c>
      <c r="EJ305" s="60" t="n">
        <f aca="false">IF(ABS(EI305)&lt;0.1*ABS(EG305),EG305-EI305,EG305)</f>
        <v>-1</v>
      </c>
      <c r="EK305" s="60" t="n">
        <f aca="false">IF(EH305,IFERROR((((EJ305+DL305)*EJ305+DM305)*EJ305+DN305)/((3*EJ305+2*DL305)*EJ305+DM305),0),0)</f>
        <v>0</v>
      </c>
      <c r="EL305" s="60" t="n">
        <f aca="false">IF(ABS(EK305)&lt;0.1*ABS(EJ305),EJ305-EK305,EJ305)</f>
        <v>-1</v>
      </c>
      <c r="EM305" s="60" t="n">
        <f aca="false">IF(EH305,MAX(EB305,EL305),EB305)</f>
        <v>0.91158844983184</v>
      </c>
      <c r="EN305" s="60" t="n">
        <f aca="false">IF(EH305,MIN(EB305,EL305),-1)</f>
        <v>-1</v>
      </c>
      <c r="EO305" s="60" t="n">
        <f aca="false">CHOOSE($C$7,DJ305/EM305,DJ305/DK305*LN(1+DK305/EM305),DJ305/(2*SQRT(2)*DK305)*LN((EM305+(1+SQRT(2))*DK305)/(EM305+(1-SQRT(2))*DK305)))</f>
        <v>0.218240791233887</v>
      </c>
      <c r="EP305" s="60" t="n">
        <f aca="false">EM305-1-LN(EM305-DK305)-EO305</f>
        <v>-0.107840271021729</v>
      </c>
      <c r="EQ305" s="60" t="n">
        <f aca="false">IF(EH305,CHOOSE($C$7,DJ305/EN305,DJ305/DK305*LN(1+DK305/EN305),DJ305/(2*SQRT(2)*DK305)*LN((EN305+(1+SQRT(2))*DK305)/(EN305+(1-SQRT(2))*DK305))),0)</f>
        <v>0</v>
      </c>
      <c r="ER305" s="60" t="n">
        <f aca="false">IF(EH305,EN305-1-LN(EN305-DK305)-EQ305,0)</f>
        <v>0</v>
      </c>
      <c r="ES305" s="60" t="n">
        <f aca="false">AND(EH305,ER305&lt;EP305)</f>
        <v>0</v>
      </c>
      <c r="ET305" s="60" t="n">
        <f aca="false">IF(ES305,EN305,EM305)</f>
        <v>0.91158844983184</v>
      </c>
      <c r="EU305" s="60" t="n">
        <f aca="false">IF(ES305,EQ305,EO305)</f>
        <v>0.218240791233887</v>
      </c>
      <c r="EV305" s="60" t="n">
        <f aca="false">LN(ET305-DK305)</f>
        <v>-0.198812070380318</v>
      </c>
      <c r="EW305" s="60" t="n">
        <f aca="false">$E$27/DI305*(ET305-1)-EV305-EU305*(2*CV305/DH305-$E$27/DI305)</f>
        <v>-0.107840271021729</v>
      </c>
      <c r="EX305" s="60" t="n">
        <f aca="false">$F$27/DI305*(ET305-1)-EV305-EU305*(2*CW305/DH305-$F$27/DI305)</f>
        <v>0.198812070380318</v>
      </c>
      <c r="EY305" s="60" t="n">
        <f aca="false">$G$27/DI305*(ET305-1)-EV305-EU305*(2*CX305/DH305-$G$27/DI305)</f>
        <v>0.198812070380318</v>
      </c>
      <c r="EZ305" s="60" t="n">
        <f aca="false">$H$27/DI305*(ET305-1)-EV305-EU305*(2*CY305/DH305-$H$27/DI305)</f>
        <v>0.198812070380318</v>
      </c>
      <c r="FA305" s="60" t="n">
        <f aca="false">$I$27/DI305*(ET305-1)-EV305-EU305*(2*CZ305/DH305-$I$27/DI305)</f>
        <v>0.198812070380318</v>
      </c>
      <c r="FB305" s="60" t="n">
        <f aca="false">$J$27/DI305*(ET305-1)-EV305-EU305*(2*DA305/DH305-$J$27/DI305)</f>
        <v>0.198812070380318</v>
      </c>
      <c r="FC305" s="60" t="n">
        <f aca="false">$K$27/DI305*(ET305-1)-EV305-EU305*(2*DB305/DH305-$K$27/DI305)</f>
        <v>0.198812070380318</v>
      </c>
      <c r="FD305" s="60" t="n">
        <f aca="false">$L$27/DI305*(ET305-1)-EV305-EU305*(2*DC305/DH305-$L$27/DI305)</f>
        <v>0.198812070380318</v>
      </c>
      <c r="FE305" s="60" t="n">
        <f aca="false">$M$27/DI305*(ET305-1)-EV305-EU305*(2*DD305/DH305-$M$27/DI305)</f>
        <v>0.198812070380318</v>
      </c>
      <c r="FF305" s="60" t="n">
        <f aca="false">$N$27/DI305*(ET305-1)-EV305-EU305*(2*DE305/DH305-$N$27/DI305)</f>
        <v>0.198812070380318</v>
      </c>
      <c r="FG305" s="60" t="n">
        <f aca="false">$O$27/DI305*(ET305-1)-EV305-EU305*(2*DF305/DH305-$O$27/DI305)</f>
        <v>0.198812070380318</v>
      </c>
      <c r="FH305" s="60" t="n">
        <f aca="false">$P$27/DI305*(ET305-1)-EV305-EU305*(2*DG305/DH305-$P$27/DI305)</f>
        <v>0.198812070380318</v>
      </c>
      <c r="FI305" s="60" t="n">
        <f aca="false">DK305/ET305&gt;$C$22</f>
        <v>0</v>
      </c>
      <c r="FJ305" s="60" t="n">
        <f aca="false">$E$28*SUMPRODUCT($E$31:$P$31,CJ305:CU305,$E$28:$P$28)</f>
        <v>0.184416866619846</v>
      </c>
      <c r="FK305" s="60" t="n">
        <f aca="false">$F$28*SUMPRODUCT($E$32:$P$32,CJ305:CU305,$E$28:$P$28)</f>
        <v>0</v>
      </c>
      <c r="FL305" s="60" t="n">
        <f aca="false">$G$28*SUMPRODUCT($E$33:$P$33,CJ305:CU305,$E$28:$P$28)</f>
        <v>0</v>
      </c>
      <c r="FM305" s="60" t="n">
        <f aca="false">$H$28*SUMPRODUCT($E$34:$P$34,CJ305:CU305,$E$28:$P$28)</f>
        <v>0</v>
      </c>
      <c r="FN305" s="60" t="n">
        <f aca="false">$I$28*SUMPRODUCT($E$35:$P$35,CJ305:CU305,$E$28:$P$28)</f>
        <v>0</v>
      </c>
      <c r="FO305" s="60" t="n">
        <f aca="false">$J$28*SUMPRODUCT($E$36:$P$36,CJ305:CU305,$E$28:$P$28)</f>
        <v>0</v>
      </c>
      <c r="FP305" s="60" t="n">
        <f aca="false">$K$28*SUMPRODUCT($E$37:$P$37,CJ305:CU305,$E$28:$P$28)</f>
        <v>0</v>
      </c>
      <c r="FQ305" s="60" t="n">
        <f aca="false">$L$28*SUMPRODUCT($E$38:$P$38,CJ305:CU305,$E$28:$P$28)</f>
        <v>0</v>
      </c>
      <c r="FR305" s="60" t="n">
        <f aca="false">$M$28*SUMPRODUCT($E$39:$P$39,CJ305:CU305,$E$28:$P$28)</f>
        <v>0</v>
      </c>
      <c r="FS305" s="60" t="n">
        <f aca="false">$N$28*SUMPRODUCT($E$40:$P$40,CJ305:CU305,$E$28:$P$28)</f>
        <v>0</v>
      </c>
      <c r="FT305" s="60" t="n">
        <f aca="false">$O$28*SUMPRODUCT($E$41:$P$41,CJ305:CU305,$E$28:$P$28)</f>
        <v>0</v>
      </c>
      <c r="FU305" s="60" t="n">
        <f aca="false">$P$28*SUMPRODUCT($E$42:$P$42,CJ305:CU305,$E$28:$P$28)</f>
        <v>0</v>
      </c>
      <c r="FV305" s="60" t="n">
        <f aca="false">SUMPRODUCT(CJ305:CU305,FJ305:FU305)</f>
        <v>0.184416866619846</v>
      </c>
      <c r="FW305" s="60" t="n">
        <f aca="false">SUMPRODUCT(CJ305:CU305,$E$27:$P$27)</f>
        <v>2.67389635063809E-005</v>
      </c>
      <c r="FX305" s="60" t="n">
        <f aca="false">FV305*$C$9/($C$10*$C$8)^2</f>
        <v>0.21776909410545</v>
      </c>
      <c r="FY305" s="60" t="n">
        <f aca="false">FW305*$C$9/($C$10*$C$8)</f>
        <v>0.0918845243259994</v>
      </c>
      <c r="FZ305" s="60" t="n">
        <f aca="false">CHOOSE($C$7,-(1+FY305),-1,-(1-FY305))</f>
        <v>-0.908115475674001</v>
      </c>
      <c r="GA305" s="60" t="n">
        <f aca="false">CHOOSE($C$7,FX305,FX305-FY305-FY305^2,FX305-3*FY305^2-2*FY305)</f>
        <v>0.00867174802160559</v>
      </c>
      <c r="GB305" s="60" t="n">
        <f aca="false">CHOOSE($C$7,-FX305*FY305,-FX305*FY305,-(FX305*FY305-FY305^2-FY305^3))</f>
        <v>-0.0107910842936637</v>
      </c>
      <c r="GC305" s="60" t="n">
        <f aca="false">GA305-FZ305^2/3</f>
        <v>-0.266219491031267</v>
      </c>
      <c r="GD305" s="60" t="n">
        <f aca="false">2*FZ305^3/27-FZ305*GA305/3+GB305</f>
        <v>-0.0636400988362784</v>
      </c>
      <c r="GE305" s="60" t="n">
        <f aca="false">GD305^2/4+GC305^3/27</f>
        <v>0.000313710901361829</v>
      </c>
      <c r="GF305" s="60" t="n">
        <f aca="false">-GD305/2-IF(GD305&gt;=0,1,-1)*SQRT(MAX(GE305,0))</f>
        <v>0.0495319352963236</v>
      </c>
      <c r="GG305" s="60" t="n">
        <f aca="false">SIGN(GF305)*ABS(GF305)^(1/3)</f>
        <v>0.367249967174439</v>
      </c>
      <c r="GH305" s="60" t="n">
        <f aca="false">IF(GG305=0,0,GG305-GC305/(3*GG305))</f>
        <v>0.60888329127384</v>
      </c>
      <c r="GI305" s="60" t="n">
        <f aca="false">2*SQRT(MAX(-GC305,0)/3)</f>
        <v>0.595784626668918</v>
      </c>
      <c r="GJ305" s="60" t="n">
        <f aca="false">ACOS(IF(GI305=0,0,MAX(-1,MIN(1,3*GD305/(GC305*GI305)))))</f>
        <v>0</v>
      </c>
      <c r="GK305" s="60" t="n">
        <f aca="false">GI305*COS(GJ305/3)</f>
        <v>0.595784626668918</v>
      </c>
      <c r="GL305" s="60" t="n">
        <f aca="false">IF(GE305&lt;0,GK305,GH305)-FZ305/3</f>
        <v>0.91158844983184</v>
      </c>
      <c r="GM305" s="60" t="n">
        <f aca="false">IFERROR((((GL305+FZ305)*GL305+GA305)*GL305+GB305)/((3*GL305+2*FZ305)*GL305+GA305),0)</f>
        <v>0</v>
      </c>
      <c r="GN305" s="60" t="n">
        <f aca="false">IF(ABS(GM305)&lt;0.1*ABS(GL305),GL305-GM305,GL305)</f>
        <v>0.91158844983184</v>
      </c>
      <c r="GO305" s="60" t="n">
        <f aca="false">IFERROR((((GN305+FZ305)*GN305+GA305)*GN305+GB305)/((3*GN305+2*FZ305)*GN305+GA305),0)</f>
        <v>0</v>
      </c>
      <c r="GP305" s="60" t="n">
        <f aca="false">IF(ABS(GO305)&lt;0.1*ABS(GN305),GN305-GO305,GN305)</f>
        <v>0.91158844983184</v>
      </c>
      <c r="GQ305" s="60" t="n">
        <f aca="false">-GB305/GP305</f>
        <v>0.0118376711504565</v>
      </c>
      <c r="GR305" s="60" t="n">
        <f aca="false">(GA305-GQ305)/GP305</f>
        <v>-0.00347297415783941</v>
      </c>
      <c r="GS305" s="60" t="n">
        <f aca="false">GR305^2-4*GQ305</f>
        <v>-0.0473386230523248</v>
      </c>
      <c r="GT305" s="60" t="n">
        <f aca="false">IF(GS305&gt;=0,(GR305+IF(GR305&gt;=0,1,-1)*SQRT(GS305))/2,0)</f>
        <v>0</v>
      </c>
      <c r="GU305" s="60" t="n">
        <f aca="false">IF(AND(GS305&gt;=0,GT305&lt;&gt;0),MIN(GT305,GQ305/GT305),-1)</f>
        <v>-1</v>
      </c>
      <c r="GV305" s="60" t="n">
        <f aca="false">AND(GS305&gt;=0,GU305&gt;FY305,ABS(GP305-GU305)&gt;=0.00005*MAX(GP305,GU305))</f>
        <v>0</v>
      </c>
      <c r="GW305" s="60" t="n">
        <f aca="false">IF(GV305,IFERROR((((GU305+FZ305)*GU305+GA305)*GU305+GB305)/((3*GU305+2*FZ305)*GU305+GA305),0),0)</f>
        <v>0</v>
      </c>
      <c r="GX305" s="60" t="n">
        <f aca="false">IF(ABS(GW305)&lt;0.1*ABS(GU305),GU305-GW305,GU305)</f>
        <v>-1</v>
      </c>
      <c r="GY305" s="60" t="n">
        <f aca="false">IF(GV305,IFERROR((((GX305+FZ305)*GX305+GA305)*GX305+GB305)/((3*GX305+2*FZ305)*GX305+GA305),0),0)</f>
        <v>0</v>
      </c>
      <c r="GZ305" s="60" t="n">
        <f aca="false">IF(ABS(GY305)&lt;0.1*ABS(GX305),GX305-GY305,GX305)</f>
        <v>-1</v>
      </c>
      <c r="HA305" s="60" t="n">
        <f aca="false">IF(GV305,MAX(GP305,GZ305),GP305)</f>
        <v>0.91158844983184</v>
      </c>
      <c r="HB305" s="60" t="n">
        <f aca="false">IF(GV305,MIN(GP305,GZ305),-1)</f>
        <v>-1</v>
      </c>
      <c r="HC305" s="60" t="n">
        <f aca="false">CHOOSE($C$7,FX305/HA305,FX305/FY305*LN(1+FY305/HA305),FX305/(2*SQRT(2)*FY305)*LN((HA305+(1+SQRT(2))*FY305)/(HA305+(1-SQRT(2))*FY305)))</f>
        <v>0.218240791233887</v>
      </c>
      <c r="HD305" s="60" t="n">
        <f aca="false">HA305-1-LN(HA305-FY305)-HC305</f>
        <v>-0.107840271021729</v>
      </c>
      <c r="HE305" s="60" t="n">
        <f aca="false">IF(GV305,CHOOSE($C$7,FX305/HB305,FX305/FY305*LN(1+FY305/HB305),FX305/(2*SQRT(2)*FY305)*LN((HB305+(1+SQRT(2))*FY305)/(HB305+(1-SQRT(2))*FY305))),0)</f>
        <v>0</v>
      </c>
      <c r="HF305" s="60" t="n">
        <f aca="false">IF(GV305,HB305-1-LN(HB305-FY305)-HE305,0)</f>
        <v>0</v>
      </c>
      <c r="HG305" s="60" t="n">
        <f aca="false">AND(GV305,HF305&lt;HD305)</f>
        <v>0</v>
      </c>
      <c r="HH305" s="60" t="n">
        <f aca="false">IF(HG305,HB305,HA305)</f>
        <v>0.91158844983184</v>
      </c>
      <c r="HI305" s="60" t="n">
        <f aca="false">IF(HG305,HE305,HC305)</f>
        <v>0.218240791233887</v>
      </c>
      <c r="HJ305" s="60" t="n">
        <f aca="false">LN(HH305-FY305)</f>
        <v>-0.198812070380318</v>
      </c>
      <c r="HK305" s="60" t="n">
        <f aca="false">$E$27/FW305*(HH305-1)-HJ305-HI305*(2*FJ305/FV305-$E$27/FW305)</f>
        <v>-0.107840271021729</v>
      </c>
      <c r="HL305" s="60" t="n">
        <f aca="false">$F$27/FW305*(HH305-1)-HJ305-HI305*(2*FK305/FV305-$F$27/FW305)</f>
        <v>0.198812070380318</v>
      </c>
      <c r="HM305" s="60" t="n">
        <f aca="false">$G$27/FW305*(HH305-1)-HJ305-HI305*(2*FL305/FV305-$G$27/FW305)</f>
        <v>0.198812070380318</v>
      </c>
      <c r="HN305" s="60" t="n">
        <f aca="false">$H$27/FW305*(HH305-1)-HJ305-HI305*(2*FM305/FV305-$H$27/FW305)</f>
        <v>0.198812070380318</v>
      </c>
      <c r="HO305" s="60" t="n">
        <f aca="false">$I$27/FW305*(HH305-1)-HJ305-HI305*(2*FN305/FV305-$I$27/FW305)</f>
        <v>0.198812070380318</v>
      </c>
      <c r="HP305" s="60" t="n">
        <f aca="false">$J$27/FW305*(HH305-1)-HJ305-HI305*(2*FO305/FV305-$J$27/FW305)</f>
        <v>0.198812070380318</v>
      </c>
      <c r="HQ305" s="60" t="n">
        <f aca="false">$K$27/FW305*(HH305-1)-HJ305-HI305*(2*FP305/FV305-$K$27/FW305)</f>
        <v>0.198812070380318</v>
      </c>
      <c r="HR305" s="60" t="n">
        <f aca="false">$L$27/FW305*(HH305-1)-HJ305-HI305*(2*FQ305/FV305-$L$27/FW305)</f>
        <v>0.198812070380318</v>
      </c>
      <c r="HS305" s="60" t="n">
        <f aca="false">$M$27/FW305*(HH305-1)-HJ305-HI305*(2*FR305/FV305-$M$27/FW305)</f>
        <v>0.198812070380318</v>
      </c>
      <c r="HT305" s="60" t="n">
        <f aca="false">$N$27/FW305*(HH305-1)-HJ305-HI305*(2*FS305/FV305-$N$27/FW305)</f>
        <v>0.198812070380318</v>
      </c>
      <c r="HU305" s="60" t="n">
        <f aca="false">$O$27/FW305*(HH305-1)-HJ305-HI305*(2*FT305/FV305-$O$27/FW305)</f>
        <v>0.198812070380318</v>
      </c>
      <c r="HV305" s="60" t="n">
        <f aca="false">$P$27/FW305*(HH305-1)-HJ305-HI305*(2*FU305/FV305-$P$27/FW305)</f>
        <v>0.198812070380318</v>
      </c>
      <c r="HW305" s="60" t="n">
        <f aca="false">FY305/HH305&gt;$C$22</f>
        <v>0</v>
      </c>
      <c r="HX305" s="60" t="n">
        <f aca="false">IF($E$13&gt;0,MAX(-300,MIN(300,EW305-HK305)),0)</f>
        <v>0</v>
      </c>
      <c r="HY305" s="60" t="n">
        <f aca="false">IF($F$13&gt;0,MAX(-300,MIN(300,EX305-HL305)),0)</f>
        <v>0</v>
      </c>
      <c r="HZ305" s="60" t="n">
        <f aca="false">IF($G$13&gt;0,MAX(-300,MIN(300,EY305-HM305)),0)</f>
        <v>0</v>
      </c>
      <c r="IA305" s="60" t="n">
        <f aca="false">IF($H$13&gt;0,MAX(-300,MIN(300,EZ305-HN305)),0)</f>
        <v>0</v>
      </c>
      <c r="IB305" s="60" t="n">
        <f aca="false">IF($I$13&gt;0,MAX(-300,MIN(300,FA305-HO305)),0)</f>
        <v>0</v>
      </c>
      <c r="IC305" s="60" t="n">
        <f aca="false">IF($J$13&gt;0,MAX(-300,MIN(300,FB305-HP305)),0)</f>
        <v>0</v>
      </c>
      <c r="ID305" s="60" t="n">
        <f aca="false">IF($K$13&gt;0,MAX(-300,MIN(300,FC305-HQ305)),0)</f>
        <v>0</v>
      </c>
      <c r="IE305" s="60" t="n">
        <f aca="false">IF($L$13&gt;0,MAX(-300,MIN(300,FD305-HR305)),0)</f>
        <v>0</v>
      </c>
      <c r="IF305" s="60" t="n">
        <f aca="false">IF($M$13&gt;0,MAX(-300,MIN(300,FE305-HS305)),0)</f>
        <v>0</v>
      </c>
      <c r="IG305" s="60" t="n">
        <f aca="false">IF($N$13&gt;0,MAX(-300,MIN(300,FF305-HT305)),0)</f>
        <v>0</v>
      </c>
      <c r="IH305" s="60" t="n">
        <f aca="false">IF($O$13&gt;0,MAX(-300,MIN(300,FG305-HU305)),0)</f>
        <v>0</v>
      </c>
      <c r="II305" s="60" t="n">
        <f aca="false">IF($P$13&gt;0,MAX(-300,MIN(300,FH305-HV305)),0)</f>
        <v>0</v>
      </c>
      <c r="IJ305" s="60" t="n">
        <f aca="false">SUMXMY2(HX305:II305,B305:M305)</f>
        <v>0</v>
      </c>
      <c r="IK305" s="60" t="n">
        <f aca="false">SUMSQ(B305:M305)</f>
        <v>0</v>
      </c>
    </row>
    <row r="306" customFormat="false" ht="15" hidden="false" customHeight="false" outlineLevel="0" collapsed="false">
      <c r="A306" s="59" t="n">
        <v>9</v>
      </c>
      <c r="B306" s="60" t="n">
        <f aca="false">HX305</f>
        <v>0</v>
      </c>
      <c r="C306" s="60" t="n">
        <f aca="false">HY305</f>
        <v>0</v>
      </c>
      <c r="D306" s="60" t="n">
        <f aca="false">HZ305</f>
        <v>0</v>
      </c>
      <c r="E306" s="60" t="n">
        <f aca="false">IA305</f>
        <v>0</v>
      </c>
      <c r="F306" s="60" t="n">
        <f aca="false">IB305</f>
        <v>0</v>
      </c>
      <c r="G306" s="60" t="n">
        <f aca="false">IC305</f>
        <v>0</v>
      </c>
      <c r="H306" s="60" t="n">
        <f aca="false">ID305</f>
        <v>0</v>
      </c>
      <c r="I306" s="60" t="n">
        <f aca="false">IE305</f>
        <v>0</v>
      </c>
      <c r="J306" s="60" t="n">
        <f aca="false">IF305</f>
        <v>0</v>
      </c>
      <c r="K306" s="60" t="n">
        <f aca="false">IG305</f>
        <v>0</v>
      </c>
      <c r="L306" s="60" t="n">
        <f aca="false">IH305</f>
        <v>0</v>
      </c>
      <c r="M306" s="60" t="n">
        <f aca="false">II305</f>
        <v>0</v>
      </c>
      <c r="N306" s="60" t="n">
        <f aca="false">EXP(B306)</f>
        <v>1</v>
      </c>
      <c r="O306" s="60" t="n">
        <f aca="false">EXP(C306)</f>
        <v>1</v>
      </c>
      <c r="P306" s="60" t="n">
        <f aca="false">EXP(D306)</f>
        <v>1</v>
      </c>
      <c r="Q306" s="60" t="n">
        <f aca="false">EXP(E306)</f>
        <v>1</v>
      </c>
      <c r="R306" s="60" t="n">
        <f aca="false">EXP(F306)</f>
        <v>1</v>
      </c>
      <c r="S306" s="60" t="n">
        <f aca="false">EXP(G306)</f>
        <v>1</v>
      </c>
      <c r="T306" s="60" t="n">
        <f aca="false">EXP(H306)</f>
        <v>1</v>
      </c>
      <c r="U306" s="60" t="n">
        <f aca="false">EXP(I306)</f>
        <v>1</v>
      </c>
      <c r="V306" s="60" t="n">
        <f aca="false">EXP(J306)</f>
        <v>1</v>
      </c>
      <c r="W306" s="60" t="n">
        <f aca="false">EXP(K306)</f>
        <v>1</v>
      </c>
      <c r="X306" s="60" t="n">
        <f aca="false">EXP(L306)</f>
        <v>1</v>
      </c>
      <c r="Y306" s="60" t="n">
        <f aca="false">EXP(M306)</f>
        <v>1</v>
      </c>
      <c r="Z306" s="60" t="n">
        <f aca="false">MAX(N306:Y306)</f>
        <v>1</v>
      </c>
      <c r="AA306" s="60" t="n">
        <f aca="false">MIN(N306:Y306)</f>
        <v>1</v>
      </c>
      <c r="AB306" s="60" t="n">
        <f aca="false">AND(Z306&gt;1,AA306&lt;1)</f>
        <v>0</v>
      </c>
      <c r="AC306" s="60" t="n">
        <f aca="false">IF(AB306,1/(1-Z306),0)</f>
        <v>0</v>
      </c>
      <c r="AD306" s="60" t="n">
        <f aca="false">IF(AB306,1/(1-AA306),1)</f>
        <v>1</v>
      </c>
      <c r="AE306" s="60" t="n">
        <f aca="false">IF(AB306,MIN(MAX(BI305,AC306+0.000000001*(AD306-AC306)),AD306-0.000000001*(AD306-AC306)),IF(AA306&gt;=1,1,0))</f>
        <v>1</v>
      </c>
      <c r="AF306" s="60" t="n">
        <f aca="false">SUMPRODUCT($E$13:$P$13*(N306:Y306-1)/(1+AE306*(N306:Y306-1)))</f>
        <v>0</v>
      </c>
      <c r="AG306" s="60" t="n">
        <f aca="false">-SUMPRODUCT($E$13:$P$13*(N306:Y306-1)^2/(1+AE306*(N306:Y306-1))^2)</f>
        <v>-0</v>
      </c>
      <c r="AH306" s="60" t="n">
        <f aca="false">IF(OR(NOT(AB306),AG306=0),AE306,IF(AE306-AF306/AG306&lt;=AC306,(AE306+AC306)/2,IF(AE306-AF306/AG306&gt;=AD306,(AE306+AD306)/2,AE306-AF306/AG306)))</f>
        <v>1</v>
      </c>
      <c r="AI306" s="60" t="n">
        <f aca="false">SUMPRODUCT($E$13:$P$13*(N306:Y306-1)/(1+AH306*(N306:Y306-1)))</f>
        <v>0</v>
      </c>
      <c r="AJ306" s="60" t="n">
        <f aca="false">-SUMPRODUCT($E$13:$P$13*(N306:Y306-1)^2/(1+AH306*(N306:Y306-1))^2)</f>
        <v>-0</v>
      </c>
      <c r="AK306" s="60" t="n">
        <f aca="false">IF(OR(NOT(AB306),AJ306=0),AH306,IF(AH306-AI306/AJ306&lt;=AC306,(AH306+AC306)/2,IF(AH306-AI306/AJ306&gt;=AD306,(AH306+AD306)/2,AH306-AI306/AJ306)))</f>
        <v>1</v>
      </c>
      <c r="AL306" s="60" t="n">
        <f aca="false">SUMPRODUCT($E$13:$P$13*(N306:Y306-1)/(1+AK306*(N306:Y306-1)))</f>
        <v>0</v>
      </c>
      <c r="AM306" s="60" t="n">
        <f aca="false">-SUMPRODUCT($E$13:$P$13*(N306:Y306-1)^2/(1+AK306*(N306:Y306-1))^2)</f>
        <v>-0</v>
      </c>
      <c r="AN306" s="60" t="n">
        <f aca="false">IF(OR(NOT(AB306),AM306=0),AK306,IF(AK306-AL306/AM306&lt;=AC306,(AK306+AC306)/2,IF(AK306-AL306/AM306&gt;=AD306,(AK306+AD306)/2,AK306-AL306/AM306)))</f>
        <v>1</v>
      </c>
      <c r="AO306" s="60" t="n">
        <f aca="false">SUMPRODUCT($E$13:$P$13*(N306:Y306-1)/(1+AN306*(N306:Y306-1)))</f>
        <v>0</v>
      </c>
      <c r="AP306" s="60" t="n">
        <f aca="false">-SUMPRODUCT($E$13:$P$13*(N306:Y306-1)^2/(1+AN306*(N306:Y306-1))^2)</f>
        <v>-0</v>
      </c>
      <c r="AQ306" s="60" t="n">
        <f aca="false">IF(OR(NOT(AB306),AP306=0),AN306,IF(AN306-AO306/AP306&lt;=AC306,(AN306+AC306)/2,IF(AN306-AO306/AP306&gt;=AD306,(AN306+AD306)/2,AN306-AO306/AP306)))</f>
        <v>1</v>
      </c>
      <c r="AR306" s="60" t="n">
        <f aca="false">SUMPRODUCT($E$13:$P$13*(N306:Y306-1)/(1+AQ306*(N306:Y306-1)))</f>
        <v>0</v>
      </c>
      <c r="AS306" s="60" t="n">
        <f aca="false">-SUMPRODUCT($E$13:$P$13*(N306:Y306-1)^2/(1+AQ306*(N306:Y306-1))^2)</f>
        <v>-0</v>
      </c>
      <c r="AT306" s="60" t="n">
        <f aca="false">IF(OR(NOT(AB306),AS306=0),AQ306,IF(AQ306-AR306/AS306&lt;=AC306,(AQ306+AC306)/2,IF(AQ306-AR306/AS306&gt;=AD306,(AQ306+AD306)/2,AQ306-AR306/AS306)))</f>
        <v>1</v>
      </c>
      <c r="AU306" s="60" t="n">
        <f aca="false">SUMPRODUCT($E$13:$P$13*(N306:Y306-1)/(1+AT306*(N306:Y306-1)))</f>
        <v>0</v>
      </c>
      <c r="AV306" s="60" t="n">
        <f aca="false">-SUMPRODUCT($E$13:$P$13*(N306:Y306-1)^2/(1+AT306*(N306:Y306-1))^2)</f>
        <v>-0</v>
      </c>
      <c r="AW306" s="60" t="n">
        <f aca="false">IF(OR(NOT(AB306),AV306=0),AT306,IF(AT306-AU306/AV306&lt;=AC306,(AT306+AC306)/2,IF(AT306-AU306/AV306&gt;=AD306,(AT306+AD306)/2,AT306-AU306/AV306)))</f>
        <v>1</v>
      </c>
      <c r="AX306" s="60" t="n">
        <f aca="false">SUMPRODUCT($E$13:$P$13*(N306:Y306-1)/(1+AW306*(N306:Y306-1)))</f>
        <v>0</v>
      </c>
      <c r="AY306" s="60" t="n">
        <f aca="false">-SUMPRODUCT($E$13:$P$13*(N306:Y306-1)^2/(1+AW306*(N306:Y306-1))^2)</f>
        <v>-0</v>
      </c>
      <c r="AZ306" s="60" t="n">
        <f aca="false">IF(OR(NOT(AB306),AY306=0),AW306,IF(AW306-AX306/AY306&lt;=AC306,(AW306+AC306)/2,IF(AW306-AX306/AY306&gt;=AD306,(AW306+AD306)/2,AW306-AX306/AY306)))</f>
        <v>1</v>
      </c>
      <c r="BA306" s="60" t="n">
        <f aca="false">SUMPRODUCT($E$13:$P$13*(N306:Y306-1)/(1+AZ306*(N306:Y306-1)))</f>
        <v>0</v>
      </c>
      <c r="BB306" s="60" t="n">
        <f aca="false">-SUMPRODUCT($E$13:$P$13*(N306:Y306-1)^2/(1+AZ306*(N306:Y306-1))^2)</f>
        <v>-0</v>
      </c>
      <c r="BC306" s="60" t="n">
        <f aca="false">IF(OR(NOT(AB306),BB306=0),AZ306,IF(AZ306-BA306/BB306&lt;=AC306,(AZ306+AC306)/2,IF(AZ306-BA306/BB306&gt;=AD306,(AZ306+AD306)/2,AZ306-BA306/BB306)))</f>
        <v>1</v>
      </c>
      <c r="BD306" s="60" t="n">
        <f aca="false">SUMPRODUCT($E$13:$P$13*(N306:Y306-1)/(1+BC306*(N306:Y306-1)))</f>
        <v>0</v>
      </c>
      <c r="BE306" s="60" t="n">
        <f aca="false">-SUMPRODUCT($E$13:$P$13*(N306:Y306-1)^2/(1+BC306*(N306:Y306-1))^2)</f>
        <v>-0</v>
      </c>
      <c r="BF306" s="60" t="n">
        <f aca="false">IF(OR(NOT(AB306),BE306=0),BC306,IF(BC306-BD306/BE306&lt;=AC306,(BC306+AC306)/2,IF(BC306-BD306/BE306&gt;=AD306,(BC306+AD306)/2,BC306-BD306/BE306)))</f>
        <v>1</v>
      </c>
      <c r="BG306" s="60" t="n">
        <f aca="false">SUMPRODUCT($E$13:$P$13*(N306:Y306-1)/(1+BF306*(N306:Y306-1)))</f>
        <v>0</v>
      </c>
      <c r="BH306" s="60" t="n">
        <f aca="false">-SUMPRODUCT($E$13:$P$13*(N306:Y306-1)^2/(1+BF306*(N306:Y306-1))^2)</f>
        <v>-0</v>
      </c>
      <c r="BI306" s="60" t="n">
        <f aca="false">IF(OR(NOT(AB306),BH306=0),BF306,IF(BF306-BG306/BH306&lt;=AC306,(BF306+AC306)/2,IF(BF306-BG306/BH306&gt;=AD306,(BF306+AD306)/2,BF306-BG306/BH306)))</f>
        <v>1</v>
      </c>
      <c r="BJ306" s="60" t="n">
        <f aca="false">$E$13/(1+BI306*(N306-1))</f>
        <v>1</v>
      </c>
      <c r="BK306" s="60" t="n">
        <f aca="false">$F$13/(1+BI306*(O306-1))</f>
        <v>0</v>
      </c>
      <c r="BL306" s="60" t="n">
        <f aca="false">$G$13/(1+BI306*(P306-1))</f>
        <v>0</v>
      </c>
      <c r="BM306" s="60" t="n">
        <f aca="false">$H$13/(1+BI306*(Q306-1))</f>
        <v>0</v>
      </c>
      <c r="BN306" s="60" t="n">
        <f aca="false">$I$13/(1+BI306*(R306-1))</f>
        <v>0</v>
      </c>
      <c r="BO306" s="60" t="n">
        <f aca="false">$J$13/(1+BI306*(S306-1))</f>
        <v>0</v>
      </c>
      <c r="BP306" s="60" t="n">
        <f aca="false">$K$13/(1+BI306*(T306-1))</f>
        <v>0</v>
      </c>
      <c r="BQ306" s="60" t="n">
        <f aca="false">$L$13/(1+BI306*(U306-1))</f>
        <v>0</v>
      </c>
      <c r="BR306" s="60" t="n">
        <f aca="false">$M$13/(1+BI306*(V306-1))</f>
        <v>0</v>
      </c>
      <c r="BS306" s="60" t="n">
        <f aca="false">$N$13/(1+BI306*(W306-1))</f>
        <v>0</v>
      </c>
      <c r="BT306" s="60" t="n">
        <f aca="false">$O$13/(1+BI306*(X306-1))</f>
        <v>0</v>
      </c>
      <c r="BU306" s="60" t="n">
        <f aca="false">$P$13/(1+BI306*(Y306-1))</f>
        <v>0</v>
      </c>
      <c r="BV306" s="60" t="n">
        <f aca="false">SUM(BJ306:BU306)</f>
        <v>1</v>
      </c>
      <c r="BW306" s="60" t="n">
        <f aca="false">SUMPRODUCT(N306:Y306,BJ306:BU306)</f>
        <v>1</v>
      </c>
      <c r="BX306" s="60" t="n">
        <f aca="false">BJ306/BV306</f>
        <v>1</v>
      </c>
      <c r="BY306" s="60" t="n">
        <f aca="false">BK306/BV306</f>
        <v>0</v>
      </c>
      <c r="BZ306" s="60" t="n">
        <f aca="false">BL306/BV306</f>
        <v>0</v>
      </c>
      <c r="CA306" s="60" t="n">
        <f aca="false">BM306/BV306</f>
        <v>0</v>
      </c>
      <c r="CB306" s="60" t="n">
        <f aca="false">BN306/BV306</f>
        <v>0</v>
      </c>
      <c r="CC306" s="60" t="n">
        <f aca="false">BO306/BV306</f>
        <v>0</v>
      </c>
      <c r="CD306" s="60" t="n">
        <f aca="false">BP306/BV306</f>
        <v>0</v>
      </c>
      <c r="CE306" s="60" t="n">
        <f aca="false">BQ306/BV306</f>
        <v>0</v>
      </c>
      <c r="CF306" s="60" t="n">
        <f aca="false">BR306/BV306</f>
        <v>0</v>
      </c>
      <c r="CG306" s="60" t="n">
        <f aca="false">BS306/BV306</f>
        <v>0</v>
      </c>
      <c r="CH306" s="60" t="n">
        <f aca="false">BT306/BV306</f>
        <v>0</v>
      </c>
      <c r="CI306" s="60" t="n">
        <f aca="false">BU306/BV306</f>
        <v>0</v>
      </c>
      <c r="CJ306" s="60" t="n">
        <f aca="false">N306*BJ306/BW306</f>
        <v>1</v>
      </c>
      <c r="CK306" s="60" t="n">
        <f aca="false">O306*BK306/BW306</f>
        <v>0</v>
      </c>
      <c r="CL306" s="60" t="n">
        <f aca="false">P306*BL306/BW306</f>
        <v>0</v>
      </c>
      <c r="CM306" s="60" t="n">
        <f aca="false">Q306*BM306/BW306</f>
        <v>0</v>
      </c>
      <c r="CN306" s="60" t="n">
        <f aca="false">R306*BN306/BW306</f>
        <v>0</v>
      </c>
      <c r="CO306" s="60" t="n">
        <f aca="false">S306*BO306/BW306</f>
        <v>0</v>
      </c>
      <c r="CP306" s="60" t="n">
        <f aca="false">T306*BP306/BW306</f>
        <v>0</v>
      </c>
      <c r="CQ306" s="60" t="n">
        <f aca="false">U306*BQ306/BW306</f>
        <v>0</v>
      </c>
      <c r="CR306" s="60" t="n">
        <f aca="false">V306*BR306/BW306</f>
        <v>0</v>
      </c>
      <c r="CS306" s="60" t="n">
        <f aca="false">W306*BS306/BW306</f>
        <v>0</v>
      </c>
      <c r="CT306" s="60" t="n">
        <f aca="false">X306*BT306/BW306</f>
        <v>0</v>
      </c>
      <c r="CU306" s="60" t="n">
        <f aca="false">Y306*BU306/BW306</f>
        <v>0</v>
      </c>
      <c r="CV306" s="60" t="n">
        <f aca="false">$E$28*SUMPRODUCT($E$31:$P$31,BX306:CI306,$E$28:$P$28)</f>
        <v>0.184416866619846</v>
      </c>
      <c r="CW306" s="60" t="n">
        <f aca="false">$F$28*SUMPRODUCT($E$32:$P$32,BX306:CI306,$E$28:$P$28)</f>
        <v>0</v>
      </c>
      <c r="CX306" s="60" t="n">
        <f aca="false">$G$28*SUMPRODUCT($E$33:$P$33,BX306:CI306,$E$28:$P$28)</f>
        <v>0</v>
      </c>
      <c r="CY306" s="60" t="n">
        <f aca="false">$H$28*SUMPRODUCT($E$34:$P$34,BX306:CI306,$E$28:$P$28)</f>
        <v>0</v>
      </c>
      <c r="CZ306" s="60" t="n">
        <f aca="false">$I$28*SUMPRODUCT($E$35:$P$35,BX306:CI306,$E$28:$P$28)</f>
        <v>0</v>
      </c>
      <c r="DA306" s="60" t="n">
        <f aca="false">$J$28*SUMPRODUCT($E$36:$P$36,BX306:CI306,$E$28:$P$28)</f>
        <v>0</v>
      </c>
      <c r="DB306" s="60" t="n">
        <f aca="false">$K$28*SUMPRODUCT($E$37:$P$37,BX306:CI306,$E$28:$P$28)</f>
        <v>0</v>
      </c>
      <c r="DC306" s="60" t="n">
        <f aca="false">$L$28*SUMPRODUCT($E$38:$P$38,BX306:CI306,$E$28:$P$28)</f>
        <v>0</v>
      </c>
      <c r="DD306" s="60" t="n">
        <f aca="false">$M$28*SUMPRODUCT($E$39:$P$39,BX306:CI306,$E$28:$P$28)</f>
        <v>0</v>
      </c>
      <c r="DE306" s="60" t="n">
        <f aca="false">$N$28*SUMPRODUCT($E$40:$P$40,BX306:CI306,$E$28:$P$28)</f>
        <v>0</v>
      </c>
      <c r="DF306" s="60" t="n">
        <f aca="false">$O$28*SUMPRODUCT($E$41:$P$41,BX306:CI306,$E$28:$P$28)</f>
        <v>0</v>
      </c>
      <c r="DG306" s="60" t="n">
        <f aca="false">$P$28*SUMPRODUCT($E$42:$P$42,BX306:CI306,$E$28:$P$28)</f>
        <v>0</v>
      </c>
      <c r="DH306" s="60" t="n">
        <f aca="false">SUMPRODUCT(BX306:CI306,CV306:DG306)</f>
        <v>0.184416866619846</v>
      </c>
      <c r="DI306" s="60" t="n">
        <f aca="false">SUMPRODUCT(BX306:CI306,$E$27:$P$27)</f>
        <v>2.67389635063809E-005</v>
      </c>
      <c r="DJ306" s="60" t="n">
        <f aca="false">DH306*$C$9/($C$10*$C$8)^2</f>
        <v>0.21776909410545</v>
      </c>
      <c r="DK306" s="60" t="n">
        <f aca="false">DI306*$C$9/($C$10*$C$8)</f>
        <v>0.0918845243259994</v>
      </c>
      <c r="DL306" s="60" t="n">
        <f aca="false">CHOOSE($C$7,-(1+DK306),-1,-(1-DK306))</f>
        <v>-0.908115475674001</v>
      </c>
      <c r="DM306" s="60" t="n">
        <f aca="false">CHOOSE($C$7,DJ306,DJ306-DK306-DK306^2,DJ306-3*DK306^2-2*DK306)</f>
        <v>0.00867174802160559</v>
      </c>
      <c r="DN306" s="60" t="n">
        <f aca="false">CHOOSE($C$7,-DJ306*DK306,-DJ306*DK306,-(DJ306*DK306-DK306^2-DK306^3))</f>
        <v>-0.0107910842936637</v>
      </c>
      <c r="DO306" s="60" t="n">
        <f aca="false">DM306-DL306^2/3</f>
        <v>-0.266219491031267</v>
      </c>
      <c r="DP306" s="60" t="n">
        <f aca="false">2*DL306^3/27-DL306*DM306/3+DN306</f>
        <v>-0.0636400988362784</v>
      </c>
      <c r="DQ306" s="60" t="n">
        <f aca="false">DP306^2/4+DO306^3/27</f>
        <v>0.000313710901361829</v>
      </c>
      <c r="DR306" s="60" t="n">
        <f aca="false">-DP306/2-IF(DP306&gt;=0,1,-1)*SQRT(MAX(DQ306,0))</f>
        <v>0.0495319352963236</v>
      </c>
      <c r="DS306" s="60" t="n">
        <f aca="false">SIGN(DR306)*ABS(DR306)^(1/3)</f>
        <v>0.367249967174439</v>
      </c>
      <c r="DT306" s="60" t="n">
        <f aca="false">IF(DS306=0,0,DS306-DO306/(3*DS306))</f>
        <v>0.60888329127384</v>
      </c>
      <c r="DU306" s="60" t="n">
        <f aca="false">2*SQRT(MAX(-DO306,0)/3)</f>
        <v>0.595784626668918</v>
      </c>
      <c r="DV306" s="60" t="n">
        <f aca="false">ACOS(IF(DU306=0,0,MAX(-1,MIN(1,3*DP306/(DO306*DU306)))))</f>
        <v>0</v>
      </c>
      <c r="DW306" s="60" t="n">
        <f aca="false">DU306*COS(DV306/3)</f>
        <v>0.595784626668918</v>
      </c>
      <c r="DX306" s="60" t="n">
        <f aca="false">IF(DQ306&lt;0,DW306,DT306)-DL306/3</f>
        <v>0.91158844983184</v>
      </c>
      <c r="DY306" s="60" t="n">
        <f aca="false">IFERROR((((DX306+DL306)*DX306+DM306)*DX306+DN306)/((3*DX306+2*DL306)*DX306+DM306),0)</f>
        <v>0</v>
      </c>
      <c r="DZ306" s="60" t="n">
        <f aca="false">IF(ABS(DY306)&lt;0.1*ABS(DX306),DX306-DY306,DX306)</f>
        <v>0.91158844983184</v>
      </c>
      <c r="EA306" s="60" t="n">
        <f aca="false">IFERROR((((DZ306+DL306)*DZ306+DM306)*DZ306+DN306)/((3*DZ306+2*DL306)*DZ306+DM306),0)</f>
        <v>0</v>
      </c>
      <c r="EB306" s="60" t="n">
        <f aca="false">IF(ABS(EA306)&lt;0.1*ABS(DZ306),DZ306-EA306,DZ306)</f>
        <v>0.91158844983184</v>
      </c>
      <c r="EC306" s="60" t="n">
        <f aca="false">-DN306/EB306</f>
        <v>0.0118376711504565</v>
      </c>
      <c r="ED306" s="60" t="n">
        <f aca="false">(DM306-EC306)/EB306</f>
        <v>-0.00347297415783941</v>
      </c>
      <c r="EE306" s="60" t="n">
        <f aca="false">ED306^2-4*EC306</f>
        <v>-0.0473386230523248</v>
      </c>
      <c r="EF306" s="60" t="n">
        <f aca="false">IF(EE306&gt;=0,(ED306+IF(ED306&gt;=0,1,-1)*SQRT(EE306))/2,0)</f>
        <v>0</v>
      </c>
      <c r="EG306" s="60" t="n">
        <f aca="false">IF(AND(EE306&gt;=0,EF306&lt;&gt;0),MIN(EF306,EC306/EF306),-1)</f>
        <v>-1</v>
      </c>
      <c r="EH306" s="60" t="n">
        <f aca="false">AND(EE306&gt;=0,EG306&gt;DK306,ABS(EB306-EG306)&gt;=0.00005*MAX(EB306,EG306))</f>
        <v>0</v>
      </c>
      <c r="EI306" s="60" t="n">
        <f aca="false">IF(EH306,IFERROR((((EG306+DL306)*EG306+DM306)*EG306+DN306)/((3*EG306+2*DL306)*EG306+DM306),0),0)</f>
        <v>0</v>
      </c>
      <c r="EJ306" s="60" t="n">
        <f aca="false">IF(ABS(EI306)&lt;0.1*ABS(EG306),EG306-EI306,EG306)</f>
        <v>-1</v>
      </c>
      <c r="EK306" s="60" t="n">
        <f aca="false">IF(EH306,IFERROR((((EJ306+DL306)*EJ306+DM306)*EJ306+DN306)/((3*EJ306+2*DL306)*EJ306+DM306),0),0)</f>
        <v>0</v>
      </c>
      <c r="EL306" s="60" t="n">
        <f aca="false">IF(ABS(EK306)&lt;0.1*ABS(EJ306),EJ306-EK306,EJ306)</f>
        <v>-1</v>
      </c>
      <c r="EM306" s="60" t="n">
        <f aca="false">IF(EH306,MAX(EB306,EL306),EB306)</f>
        <v>0.91158844983184</v>
      </c>
      <c r="EN306" s="60" t="n">
        <f aca="false">IF(EH306,MIN(EB306,EL306),-1)</f>
        <v>-1</v>
      </c>
      <c r="EO306" s="60" t="n">
        <f aca="false">CHOOSE($C$7,DJ306/EM306,DJ306/DK306*LN(1+DK306/EM306),DJ306/(2*SQRT(2)*DK306)*LN((EM306+(1+SQRT(2))*DK306)/(EM306+(1-SQRT(2))*DK306)))</f>
        <v>0.218240791233887</v>
      </c>
      <c r="EP306" s="60" t="n">
        <f aca="false">EM306-1-LN(EM306-DK306)-EO306</f>
        <v>-0.107840271021729</v>
      </c>
      <c r="EQ306" s="60" t="n">
        <f aca="false">IF(EH306,CHOOSE($C$7,DJ306/EN306,DJ306/DK306*LN(1+DK306/EN306),DJ306/(2*SQRT(2)*DK306)*LN((EN306+(1+SQRT(2))*DK306)/(EN306+(1-SQRT(2))*DK306))),0)</f>
        <v>0</v>
      </c>
      <c r="ER306" s="60" t="n">
        <f aca="false">IF(EH306,EN306-1-LN(EN306-DK306)-EQ306,0)</f>
        <v>0</v>
      </c>
      <c r="ES306" s="60" t="n">
        <f aca="false">AND(EH306,ER306&lt;EP306)</f>
        <v>0</v>
      </c>
      <c r="ET306" s="60" t="n">
        <f aca="false">IF(ES306,EN306,EM306)</f>
        <v>0.91158844983184</v>
      </c>
      <c r="EU306" s="60" t="n">
        <f aca="false">IF(ES306,EQ306,EO306)</f>
        <v>0.218240791233887</v>
      </c>
      <c r="EV306" s="60" t="n">
        <f aca="false">LN(ET306-DK306)</f>
        <v>-0.198812070380318</v>
      </c>
      <c r="EW306" s="60" t="n">
        <f aca="false">$E$27/DI306*(ET306-1)-EV306-EU306*(2*CV306/DH306-$E$27/DI306)</f>
        <v>-0.107840271021729</v>
      </c>
      <c r="EX306" s="60" t="n">
        <f aca="false">$F$27/DI306*(ET306-1)-EV306-EU306*(2*CW306/DH306-$F$27/DI306)</f>
        <v>0.198812070380318</v>
      </c>
      <c r="EY306" s="60" t="n">
        <f aca="false">$G$27/DI306*(ET306-1)-EV306-EU306*(2*CX306/DH306-$G$27/DI306)</f>
        <v>0.198812070380318</v>
      </c>
      <c r="EZ306" s="60" t="n">
        <f aca="false">$H$27/DI306*(ET306-1)-EV306-EU306*(2*CY306/DH306-$H$27/DI306)</f>
        <v>0.198812070380318</v>
      </c>
      <c r="FA306" s="60" t="n">
        <f aca="false">$I$27/DI306*(ET306-1)-EV306-EU306*(2*CZ306/DH306-$I$27/DI306)</f>
        <v>0.198812070380318</v>
      </c>
      <c r="FB306" s="60" t="n">
        <f aca="false">$J$27/DI306*(ET306-1)-EV306-EU306*(2*DA306/DH306-$J$27/DI306)</f>
        <v>0.198812070380318</v>
      </c>
      <c r="FC306" s="60" t="n">
        <f aca="false">$K$27/DI306*(ET306-1)-EV306-EU306*(2*DB306/DH306-$K$27/DI306)</f>
        <v>0.198812070380318</v>
      </c>
      <c r="FD306" s="60" t="n">
        <f aca="false">$L$27/DI306*(ET306-1)-EV306-EU306*(2*DC306/DH306-$L$27/DI306)</f>
        <v>0.198812070380318</v>
      </c>
      <c r="FE306" s="60" t="n">
        <f aca="false">$M$27/DI306*(ET306-1)-EV306-EU306*(2*DD306/DH306-$M$27/DI306)</f>
        <v>0.198812070380318</v>
      </c>
      <c r="FF306" s="60" t="n">
        <f aca="false">$N$27/DI306*(ET306-1)-EV306-EU306*(2*DE306/DH306-$N$27/DI306)</f>
        <v>0.198812070380318</v>
      </c>
      <c r="FG306" s="60" t="n">
        <f aca="false">$O$27/DI306*(ET306-1)-EV306-EU306*(2*DF306/DH306-$O$27/DI306)</f>
        <v>0.198812070380318</v>
      </c>
      <c r="FH306" s="60" t="n">
        <f aca="false">$P$27/DI306*(ET306-1)-EV306-EU306*(2*DG306/DH306-$P$27/DI306)</f>
        <v>0.198812070380318</v>
      </c>
      <c r="FI306" s="60" t="n">
        <f aca="false">DK306/ET306&gt;$C$22</f>
        <v>0</v>
      </c>
      <c r="FJ306" s="60" t="n">
        <f aca="false">$E$28*SUMPRODUCT($E$31:$P$31,CJ306:CU306,$E$28:$P$28)</f>
        <v>0.184416866619846</v>
      </c>
      <c r="FK306" s="60" t="n">
        <f aca="false">$F$28*SUMPRODUCT($E$32:$P$32,CJ306:CU306,$E$28:$P$28)</f>
        <v>0</v>
      </c>
      <c r="FL306" s="60" t="n">
        <f aca="false">$G$28*SUMPRODUCT($E$33:$P$33,CJ306:CU306,$E$28:$P$28)</f>
        <v>0</v>
      </c>
      <c r="FM306" s="60" t="n">
        <f aca="false">$H$28*SUMPRODUCT($E$34:$P$34,CJ306:CU306,$E$28:$P$28)</f>
        <v>0</v>
      </c>
      <c r="FN306" s="60" t="n">
        <f aca="false">$I$28*SUMPRODUCT($E$35:$P$35,CJ306:CU306,$E$28:$P$28)</f>
        <v>0</v>
      </c>
      <c r="FO306" s="60" t="n">
        <f aca="false">$J$28*SUMPRODUCT($E$36:$P$36,CJ306:CU306,$E$28:$P$28)</f>
        <v>0</v>
      </c>
      <c r="FP306" s="60" t="n">
        <f aca="false">$K$28*SUMPRODUCT($E$37:$P$37,CJ306:CU306,$E$28:$P$28)</f>
        <v>0</v>
      </c>
      <c r="FQ306" s="60" t="n">
        <f aca="false">$L$28*SUMPRODUCT($E$38:$P$38,CJ306:CU306,$E$28:$P$28)</f>
        <v>0</v>
      </c>
      <c r="FR306" s="60" t="n">
        <f aca="false">$M$28*SUMPRODUCT($E$39:$P$39,CJ306:CU306,$E$28:$P$28)</f>
        <v>0</v>
      </c>
      <c r="FS306" s="60" t="n">
        <f aca="false">$N$28*SUMPRODUCT($E$40:$P$40,CJ306:CU306,$E$28:$P$28)</f>
        <v>0</v>
      </c>
      <c r="FT306" s="60" t="n">
        <f aca="false">$O$28*SUMPRODUCT($E$41:$P$41,CJ306:CU306,$E$28:$P$28)</f>
        <v>0</v>
      </c>
      <c r="FU306" s="60" t="n">
        <f aca="false">$P$28*SUMPRODUCT($E$42:$P$42,CJ306:CU306,$E$28:$P$28)</f>
        <v>0</v>
      </c>
      <c r="FV306" s="60" t="n">
        <f aca="false">SUMPRODUCT(CJ306:CU306,FJ306:FU306)</f>
        <v>0.184416866619846</v>
      </c>
      <c r="FW306" s="60" t="n">
        <f aca="false">SUMPRODUCT(CJ306:CU306,$E$27:$P$27)</f>
        <v>2.67389635063809E-005</v>
      </c>
      <c r="FX306" s="60" t="n">
        <f aca="false">FV306*$C$9/($C$10*$C$8)^2</f>
        <v>0.21776909410545</v>
      </c>
      <c r="FY306" s="60" t="n">
        <f aca="false">FW306*$C$9/($C$10*$C$8)</f>
        <v>0.0918845243259994</v>
      </c>
      <c r="FZ306" s="60" t="n">
        <f aca="false">CHOOSE($C$7,-(1+FY306),-1,-(1-FY306))</f>
        <v>-0.908115475674001</v>
      </c>
      <c r="GA306" s="60" t="n">
        <f aca="false">CHOOSE($C$7,FX306,FX306-FY306-FY306^2,FX306-3*FY306^2-2*FY306)</f>
        <v>0.00867174802160559</v>
      </c>
      <c r="GB306" s="60" t="n">
        <f aca="false">CHOOSE($C$7,-FX306*FY306,-FX306*FY306,-(FX306*FY306-FY306^2-FY306^3))</f>
        <v>-0.0107910842936637</v>
      </c>
      <c r="GC306" s="60" t="n">
        <f aca="false">GA306-FZ306^2/3</f>
        <v>-0.266219491031267</v>
      </c>
      <c r="GD306" s="60" t="n">
        <f aca="false">2*FZ306^3/27-FZ306*GA306/3+GB306</f>
        <v>-0.0636400988362784</v>
      </c>
      <c r="GE306" s="60" t="n">
        <f aca="false">GD306^2/4+GC306^3/27</f>
        <v>0.000313710901361829</v>
      </c>
      <c r="GF306" s="60" t="n">
        <f aca="false">-GD306/2-IF(GD306&gt;=0,1,-1)*SQRT(MAX(GE306,0))</f>
        <v>0.0495319352963236</v>
      </c>
      <c r="GG306" s="60" t="n">
        <f aca="false">SIGN(GF306)*ABS(GF306)^(1/3)</f>
        <v>0.367249967174439</v>
      </c>
      <c r="GH306" s="60" t="n">
        <f aca="false">IF(GG306=0,0,GG306-GC306/(3*GG306))</f>
        <v>0.60888329127384</v>
      </c>
      <c r="GI306" s="60" t="n">
        <f aca="false">2*SQRT(MAX(-GC306,0)/3)</f>
        <v>0.595784626668918</v>
      </c>
      <c r="GJ306" s="60" t="n">
        <f aca="false">ACOS(IF(GI306=0,0,MAX(-1,MIN(1,3*GD306/(GC306*GI306)))))</f>
        <v>0</v>
      </c>
      <c r="GK306" s="60" t="n">
        <f aca="false">GI306*COS(GJ306/3)</f>
        <v>0.595784626668918</v>
      </c>
      <c r="GL306" s="60" t="n">
        <f aca="false">IF(GE306&lt;0,GK306,GH306)-FZ306/3</f>
        <v>0.91158844983184</v>
      </c>
      <c r="GM306" s="60" t="n">
        <f aca="false">IFERROR((((GL306+FZ306)*GL306+GA306)*GL306+GB306)/((3*GL306+2*FZ306)*GL306+GA306),0)</f>
        <v>0</v>
      </c>
      <c r="GN306" s="60" t="n">
        <f aca="false">IF(ABS(GM306)&lt;0.1*ABS(GL306),GL306-GM306,GL306)</f>
        <v>0.91158844983184</v>
      </c>
      <c r="GO306" s="60" t="n">
        <f aca="false">IFERROR((((GN306+FZ306)*GN306+GA306)*GN306+GB306)/((3*GN306+2*FZ306)*GN306+GA306),0)</f>
        <v>0</v>
      </c>
      <c r="GP306" s="60" t="n">
        <f aca="false">IF(ABS(GO306)&lt;0.1*ABS(GN306),GN306-GO306,GN306)</f>
        <v>0.91158844983184</v>
      </c>
      <c r="GQ306" s="60" t="n">
        <f aca="false">-GB306/GP306</f>
        <v>0.0118376711504565</v>
      </c>
      <c r="GR306" s="60" t="n">
        <f aca="false">(GA306-GQ306)/GP306</f>
        <v>-0.00347297415783941</v>
      </c>
      <c r="GS306" s="60" t="n">
        <f aca="false">GR306^2-4*GQ306</f>
        <v>-0.0473386230523248</v>
      </c>
      <c r="GT306" s="60" t="n">
        <f aca="false">IF(GS306&gt;=0,(GR306+IF(GR306&gt;=0,1,-1)*SQRT(GS306))/2,0)</f>
        <v>0</v>
      </c>
      <c r="GU306" s="60" t="n">
        <f aca="false">IF(AND(GS306&gt;=0,GT306&lt;&gt;0),MIN(GT306,GQ306/GT306),-1)</f>
        <v>-1</v>
      </c>
      <c r="GV306" s="60" t="n">
        <f aca="false">AND(GS306&gt;=0,GU306&gt;FY306,ABS(GP306-GU306)&gt;=0.00005*MAX(GP306,GU306))</f>
        <v>0</v>
      </c>
      <c r="GW306" s="60" t="n">
        <f aca="false">IF(GV306,IFERROR((((GU306+FZ306)*GU306+GA306)*GU306+GB306)/((3*GU306+2*FZ306)*GU306+GA306),0),0)</f>
        <v>0</v>
      </c>
      <c r="GX306" s="60" t="n">
        <f aca="false">IF(ABS(GW306)&lt;0.1*ABS(GU306),GU306-GW306,GU306)</f>
        <v>-1</v>
      </c>
      <c r="GY306" s="60" t="n">
        <f aca="false">IF(GV306,IFERROR((((GX306+FZ306)*GX306+GA306)*GX306+GB306)/((3*GX306+2*FZ306)*GX306+GA306),0),0)</f>
        <v>0</v>
      </c>
      <c r="GZ306" s="60" t="n">
        <f aca="false">IF(ABS(GY306)&lt;0.1*ABS(GX306),GX306-GY306,GX306)</f>
        <v>-1</v>
      </c>
      <c r="HA306" s="60" t="n">
        <f aca="false">IF(GV306,MAX(GP306,GZ306),GP306)</f>
        <v>0.91158844983184</v>
      </c>
      <c r="HB306" s="60" t="n">
        <f aca="false">IF(GV306,MIN(GP306,GZ306),-1)</f>
        <v>-1</v>
      </c>
      <c r="HC306" s="60" t="n">
        <f aca="false">CHOOSE($C$7,FX306/HA306,FX306/FY306*LN(1+FY306/HA306),FX306/(2*SQRT(2)*FY306)*LN((HA306+(1+SQRT(2))*FY306)/(HA306+(1-SQRT(2))*FY306)))</f>
        <v>0.218240791233887</v>
      </c>
      <c r="HD306" s="60" t="n">
        <f aca="false">HA306-1-LN(HA306-FY306)-HC306</f>
        <v>-0.107840271021729</v>
      </c>
      <c r="HE306" s="60" t="n">
        <f aca="false">IF(GV306,CHOOSE($C$7,FX306/HB306,FX306/FY306*LN(1+FY306/HB306),FX306/(2*SQRT(2)*FY306)*LN((HB306+(1+SQRT(2))*FY306)/(HB306+(1-SQRT(2))*FY306))),0)</f>
        <v>0</v>
      </c>
      <c r="HF306" s="60" t="n">
        <f aca="false">IF(GV306,HB306-1-LN(HB306-FY306)-HE306,0)</f>
        <v>0</v>
      </c>
      <c r="HG306" s="60" t="n">
        <f aca="false">AND(GV306,HF306&lt;HD306)</f>
        <v>0</v>
      </c>
      <c r="HH306" s="60" t="n">
        <f aca="false">IF(HG306,HB306,HA306)</f>
        <v>0.91158844983184</v>
      </c>
      <c r="HI306" s="60" t="n">
        <f aca="false">IF(HG306,HE306,HC306)</f>
        <v>0.218240791233887</v>
      </c>
      <c r="HJ306" s="60" t="n">
        <f aca="false">LN(HH306-FY306)</f>
        <v>-0.198812070380318</v>
      </c>
      <c r="HK306" s="60" t="n">
        <f aca="false">$E$27/FW306*(HH306-1)-HJ306-HI306*(2*FJ306/FV306-$E$27/FW306)</f>
        <v>-0.107840271021729</v>
      </c>
      <c r="HL306" s="60" t="n">
        <f aca="false">$F$27/FW306*(HH306-1)-HJ306-HI306*(2*FK306/FV306-$F$27/FW306)</f>
        <v>0.198812070380318</v>
      </c>
      <c r="HM306" s="60" t="n">
        <f aca="false">$G$27/FW306*(HH306-1)-HJ306-HI306*(2*FL306/FV306-$G$27/FW306)</f>
        <v>0.198812070380318</v>
      </c>
      <c r="HN306" s="60" t="n">
        <f aca="false">$H$27/FW306*(HH306-1)-HJ306-HI306*(2*FM306/FV306-$H$27/FW306)</f>
        <v>0.198812070380318</v>
      </c>
      <c r="HO306" s="60" t="n">
        <f aca="false">$I$27/FW306*(HH306-1)-HJ306-HI306*(2*FN306/FV306-$I$27/FW306)</f>
        <v>0.198812070380318</v>
      </c>
      <c r="HP306" s="60" t="n">
        <f aca="false">$J$27/FW306*(HH306-1)-HJ306-HI306*(2*FO306/FV306-$J$27/FW306)</f>
        <v>0.198812070380318</v>
      </c>
      <c r="HQ306" s="60" t="n">
        <f aca="false">$K$27/FW306*(HH306-1)-HJ306-HI306*(2*FP306/FV306-$K$27/FW306)</f>
        <v>0.198812070380318</v>
      </c>
      <c r="HR306" s="60" t="n">
        <f aca="false">$L$27/FW306*(HH306-1)-HJ306-HI306*(2*FQ306/FV306-$L$27/FW306)</f>
        <v>0.198812070380318</v>
      </c>
      <c r="HS306" s="60" t="n">
        <f aca="false">$M$27/FW306*(HH306-1)-HJ306-HI306*(2*FR306/FV306-$M$27/FW306)</f>
        <v>0.198812070380318</v>
      </c>
      <c r="HT306" s="60" t="n">
        <f aca="false">$N$27/FW306*(HH306-1)-HJ306-HI306*(2*FS306/FV306-$N$27/FW306)</f>
        <v>0.198812070380318</v>
      </c>
      <c r="HU306" s="60" t="n">
        <f aca="false">$O$27/FW306*(HH306-1)-HJ306-HI306*(2*FT306/FV306-$O$27/FW306)</f>
        <v>0.198812070380318</v>
      </c>
      <c r="HV306" s="60" t="n">
        <f aca="false">$P$27/FW306*(HH306-1)-HJ306-HI306*(2*FU306/FV306-$P$27/FW306)</f>
        <v>0.198812070380318</v>
      </c>
      <c r="HW306" s="60" t="n">
        <f aca="false">FY306/HH306&gt;$C$22</f>
        <v>0</v>
      </c>
      <c r="HX306" s="60" t="n">
        <f aca="false">IF($E$13&gt;0,MAX(-300,MIN(300,EW306-HK306)),0)</f>
        <v>0</v>
      </c>
      <c r="HY306" s="60" t="n">
        <f aca="false">IF($F$13&gt;0,MAX(-300,MIN(300,EX306-HL306)),0)</f>
        <v>0</v>
      </c>
      <c r="HZ306" s="60" t="n">
        <f aca="false">IF($G$13&gt;0,MAX(-300,MIN(300,EY306-HM306)),0)</f>
        <v>0</v>
      </c>
      <c r="IA306" s="60" t="n">
        <f aca="false">IF($H$13&gt;0,MAX(-300,MIN(300,EZ306-HN306)),0)</f>
        <v>0</v>
      </c>
      <c r="IB306" s="60" t="n">
        <f aca="false">IF($I$13&gt;0,MAX(-300,MIN(300,FA306-HO306)),0)</f>
        <v>0</v>
      </c>
      <c r="IC306" s="60" t="n">
        <f aca="false">IF($J$13&gt;0,MAX(-300,MIN(300,FB306-HP306)),0)</f>
        <v>0</v>
      </c>
      <c r="ID306" s="60" t="n">
        <f aca="false">IF($K$13&gt;0,MAX(-300,MIN(300,FC306-HQ306)),0)</f>
        <v>0</v>
      </c>
      <c r="IE306" s="60" t="n">
        <f aca="false">IF($L$13&gt;0,MAX(-300,MIN(300,FD306-HR306)),0)</f>
        <v>0</v>
      </c>
      <c r="IF306" s="60" t="n">
        <f aca="false">IF($M$13&gt;0,MAX(-300,MIN(300,FE306-HS306)),0)</f>
        <v>0</v>
      </c>
      <c r="IG306" s="60" t="n">
        <f aca="false">IF($N$13&gt;0,MAX(-300,MIN(300,FF306-HT306)),0)</f>
        <v>0</v>
      </c>
      <c r="IH306" s="60" t="n">
        <f aca="false">IF($O$13&gt;0,MAX(-300,MIN(300,FG306-HU306)),0)</f>
        <v>0</v>
      </c>
      <c r="II306" s="60" t="n">
        <f aca="false">IF($P$13&gt;0,MAX(-300,MIN(300,FH306-HV306)),0)</f>
        <v>0</v>
      </c>
      <c r="IJ306" s="60" t="n">
        <f aca="false">SUMXMY2(HX306:II306,B306:M306)</f>
        <v>0</v>
      </c>
      <c r="IK306" s="60" t="n">
        <f aca="false">SUMSQ(B306:M306)</f>
        <v>0</v>
      </c>
    </row>
    <row r="307" customFormat="false" ht="15" hidden="false" customHeight="false" outlineLevel="0" collapsed="false">
      <c r="A307" s="59" t="n">
        <v>10</v>
      </c>
      <c r="B307" s="60" t="n">
        <f aca="false">HX306</f>
        <v>0</v>
      </c>
      <c r="C307" s="60" t="n">
        <f aca="false">HY306</f>
        <v>0</v>
      </c>
      <c r="D307" s="60" t="n">
        <f aca="false">HZ306</f>
        <v>0</v>
      </c>
      <c r="E307" s="60" t="n">
        <f aca="false">IA306</f>
        <v>0</v>
      </c>
      <c r="F307" s="60" t="n">
        <f aca="false">IB306</f>
        <v>0</v>
      </c>
      <c r="G307" s="60" t="n">
        <f aca="false">IC306</f>
        <v>0</v>
      </c>
      <c r="H307" s="60" t="n">
        <f aca="false">ID306</f>
        <v>0</v>
      </c>
      <c r="I307" s="60" t="n">
        <f aca="false">IE306</f>
        <v>0</v>
      </c>
      <c r="J307" s="60" t="n">
        <f aca="false">IF306</f>
        <v>0</v>
      </c>
      <c r="K307" s="60" t="n">
        <f aca="false">IG306</f>
        <v>0</v>
      </c>
      <c r="L307" s="60" t="n">
        <f aca="false">IH306</f>
        <v>0</v>
      </c>
      <c r="M307" s="60" t="n">
        <f aca="false">II306</f>
        <v>0</v>
      </c>
      <c r="N307" s="60" t="n">
        <f aca="false">EXP(B307)</f>
        <v>1</v>
      </c>
      <c r="O307" s="60" t="n">
        <f aca="false">EXP(C307)</f>
        <v>1</v>
      </c>
      <c r="P307" s="60" t="n">
        <f aca="false">EXP(D307)</f>
        <v>1</v>
      </c>
      <c r="Q307" s="60" t="n">
        <f aca="false">EXP(E307)</f>
        <v>1</v>
      </c>
      <c r="R307" s="60" t="n">
        <f aca="false">EXP(F307)</f>
        <v>1</v>
      </c>
      <c r="S307" s="60" t="n">
        <f aca="false">EXP(G307)</f>
        <v>1</v>
      </c>
      <c r="T307" s="60" t="n">
        <f aca="false">EXP(H307)</f>
        <v>1</v>
      </c>
      <c r="U307" s="60" t="n">
        <f aca="false">EXP(I307)</f>
        <v>1</v>
      </c>
      <c r="V307" s="60" t="n">
        <f aca="false">EXP(J307)</f>
        <v>1</v>
      </c>
      <c r="W307" s="60" t="n">
        <f aca="false">EXP(K307)</f>
        <v>1</v>
      </c>
      <c r="X307" s="60" t="n">
        <f aca="false">EXP(L307)</f>
        <v>1</v>
      </c>
      <c r="Y307" s="60" t="n">
        <f aca="false">EXP(M307)</f>
        <v>1</v>
      </c>
      <c r="Z307" s="60" t="n">
        <f aca="false">MAX(N307:Y307)</f>
        <v>1</v>
      </c>
      <c r="AA307" s="60" t="n">
        <f aca="false">MIN(N307:Y307)</f>
        <v>1</v>
      </c>
      <c r="AB307" s="60" t="n">
        <f aca="false">AND(Z307&gt;1,AA307&lt;1)</f>
        <v>0</v>
      </c>
      <c r="AC307" s="60" t="n">
        <f aca="false">IF(AB307,1/(1-Z307),0)</f>
        <v>0</v>
      </c>
      <c r="AD307" s="60" t="n">
        <f aca="false">IF(AB307,1/(1-AA307),1)</f>
        <v>1</v>
      </c>
      <c r="AE307" s="60" t="n">
        <f aca="false">IF(AB307,MIN(MAX(BI306,AC307+0.000000001*(AD307-AC307)),AD307-0.000000001*(AD307-AC307)),IF(AA307&gt;=1,1,0))</f>
        <v>1</v>
      </c>
      <c r="AF307" s="60" t="n">
        <f aca="false">SUMPRODUCT($E$13:$P$13*(N307:Y307-1)/(1+AE307*(N307:Y307-1)))</f>
        <v>0</v>
      </c>
      <c r="AG307" s="60" t="n">
        <f aca="false">-SUMPRODUCT($E$13:$P$13*(N307:Y307-1)^2/(1+AE307*(N307:Y307-1))^2)</f>
        <v>-0</v>
      </c>
      <c r="AH307" s="60" t="n">
        <f aca="false">IF(OR(NOT(AB307),AG307=0),AE307,IF(AE307-AF307/AG307&lt;=AC307,(AE307+AC307)/2,IF(AE307-AF307/AG307&gt;=AD307,(AE307+AD307)/2,AE307-AF307/AG307)))</f>
        <v>1</v>
      </c>
      <c r="AI307" s="60" t="n">
        <f aca="false">SUMPRODUCT($E$13:$P$13*(N307:Y307-1)/(1+AH307*(N307:Y307-1)))</f>
        <v>0</v>
      </c>
      <c r="AJ307" s="60" t="n">
        <f aca="false">-SUMPRODUCT($E$13:$P$13*(N307:Y307-1)^2/(1+AH307*(N307:Y307-1))^2)</f>
        <v>-0</v>
      </c>
      <c r="AK307" s="60" t="n">
        <f aca="false">IF(OR(NOT(AB307),AJ307=0),AH307,IF(AH307-AI307/AJ307&lt;=AC307,(AH307+AC307)/2,IF(AH307-AI307/AJ307&gt;=AD307,(AH307+AD307)/2,AH307-AI307/AJ307)))</f>
        <v>1</v>
      </c>
      <c r="AL307" s="60" t="n">
        <f aca="false">SUMPRODUCT($E$13:$P$13*(N307:Y307-1)/(1+AK307*(N307:Y307-1)))</f>
        <v>0</v>
      </c>
      <c r="AM307" s="60" t="n">
        <f aca="false">-SUMPRODUCT($E$13:$P$13*(N307:Y307-1)^2/(1+AK307*(N307:Y307-1))^2)</f>
        <v>-0</v>
      </c>
      <c r="AN307" s="60" t="n">
        <f aca="false">IF(OR(NOT(AB307),AM307=0),AK307,IF(AK307-AL307/AM307&lt;=AC307,(AK307+AC307)/2,IF(AK307-AL307/AM307&gt;=AD307,(AK307+AD307)/2,AK307-AL307/AM307)))</f>
        <v>1</v>
      </c>
      <c r="AO307" s="60" t="n">
        <f aca="false">SUMPRODUCT($E$13:$P$13*(N307:Y307-1)/(1+AN307*(N307:Y307-1)))</f>
        <v>0</v>
      </c>
      <c r="AP307" s="60" t="n">
        <f aca="false">-SUMPRODUCT($E$13:$P$13*(N307:Y307-1)^2/(1+AN307*(N307:Y307-1))^2)</f>
        <v>-0</v>
      </c>
      <c r="AQ307" s="60" t="n">
        <f aca="false">IF(OR(NOT(AB307),AP307=0),AN307,IF(AN307-AO307/AP307&lt;=AC307,(AN307+AC307)/2,IF(AN307-AO307/AP307&gt;=AD307,(AN307+AD307)/2,AN307-AO307/AP307)))</f>
        <v>1</v>
      </c>
      <c r="AR307" s="60" t="n">
        <f aca="false">SUMPRODUCT($E$13:$P$13*(N307:Y307-1)/(1+AQ307*(N307:Y307-1)))</f>
        <v>0</v>
      </c>
      <c r="AS307" s="60" t="n">
        <f aca="false">-SUMPRODUCT($E$13:$P$13*(N307:Y307-1)^2/(1+AQ307*(N307:Y307-1))^2)</f>
        <v>-0</v>
      </c>
      <c r="AT307" s="60" t="n">
        <f aca="false">IF(OR(NOT(AB307),AS307=0),AQ307,IF(AQ307-AR307/AS307&lt;=AC307,(AQ307+AC307)/2,IF(AQ307-AR307/AS307&gt;=AD307,(AQ307+AD307)/2,AQ307-AR307/AS307)))</f>
        <v>1</v>
      </c>
      <c r="AU307" s="60" t="n">
        <f aca="false">SUMPRODUCT($E$13:$P$13*(N307:Y307-1)/(1+AT307*(N307:Y307-1)))</f>
        <v>0</v>
      </c>
      <c r="AV307" s="60" t="n">
        <f aca="false">-SUMPRODUCT($E$13:$P$13*(N307:Y307-1)^2/(1+AT307*(N307:Y307-1))^2)</f>
        <v>-0</v>
      </c>
      <c r="AW307" s="60" t="n">
        <f aca="false">IF(OR(NOT(AB307),AV307=0),AT307,IF(AT307-AU307/AV307&lt;=AC307,(AT307+AC307)/2,IF(AT307-AU307/AV307&gt;=AD307,(AT307+AD307)/2,AT307-AU307/AV307)))</f>
        <v>1</v>
      </c>
      <c r="AX307" s="60" t="n">
        <f aca="false">SUMPRODUCT($E$13:$P$13*(N307:Y307-1)/(1+AW307*(N307:Y307-1)))</f>
        <v>0</v>
      </c>
      <c r="AY307" s="60" t="n">
        <f aca="false">-SUMPRODUCT($E$13:$P$13*(N307:Y307-1)^2/(1+AW307*(N307:Y307-1))^2)</f>
        <v>-0</v>
      </c>
      <c r="AZ307" s="60" t="n">
        <f aca="false">IF(OR(NOT(AB307),AY307=0),AW307,IF(AW307-AX307/AY307&lt;=AC307,(AW307+AC307)/2,IF(AW307-AX307/AY307&gt;=AD307,(AW307+AD307)/2,AW307-AX307/AY307)))</f>
        <v>1</v>
      </c>
      <c r="BA307" s="60" t="n">
        <f aca="false">SUMPRODUCT($E$13:$P$13*(N307:Y307-1)/(1+AZ307*(N307:Y307-1)))</f>
        <v>0</v>
      </c>
      <c r="BB307" s="60" t="n">
        <f aca="false">-SUMPRODUCT($E$13:$P$13*(N307:Y307-1)^2/(1+AZ307*(N307:Y307-1))^2)</f>
        <v>-0</v>
      </c>
      <c r="BC307" s="60" t="n">
        <f aca="false">IF(OR(NOT(AB307),BB307=0),AZ307,IF(AZ307-BA307/BB307&lt;=AC307,(AZ307+AC307)/2,IF(AZ307-BA307/BB307&gt;=AD307,(AZ307+AD307)/2,AZ307-BA307/BB307)))</f>
        <v>1</v>
      </c>
      <c r="BD307" s="60" t="n">
        <f aca="false">SUMPRODUCT($E$13:$P$13*(N307:Y307-1)/(1+BC307*(N307:Y307-1)))</f>
        <v>0</v>
      </c>
      <c r="BE307" s="60" t="n">
        <f aca="false">-SUMPRODUCT($E$13:$P$13*(N307:Y307-1)^2/(1+BC307*(N307:Y307-1))^2)</f>
        <v>-0</v>
      </c>
      <c r="BF307" s="60" t="n">
        <f aca="false">IF(OR(NOT(AB307),BE307=0),BC307,IF(BC307-BD307/BE307&lt;=AC307,(BC307+AC307)/2,IF(BC307-BD307/BE307&gt;=AD307,(BC307+AD307)/2,BC307-BD307/BE307)))</f>
        <v>1</v>
      </c>
      <c r="BG307" s="60" t="n">
        <f aca="false">SUMPRODUCT($E$13:$P$13*(N307:Y307-1)/(1+BF307*(N307:Y307-1)))</f>
        <v>0</v>
      </c>
      <c r="BH307" s="60" t="n">
        <f aca="false">-SUMPRODUCT($E$13:$P$13*(N307:Y307-1)^2/(1+BF307*(N307:Y307-1))^2)</f>
        <v>-0</v>
      </c>
      <c r="BI307" s="60" t="n">
        <f aca="false">IF(OR(NOT(AB307),BH307=0),BF307,IF(BF307-BG307/BH307&lt;=AC307,(BF307+AC307)/2,IF(BF307-BG307/BH307&gt;=AD307,(BF307+AD307)/2,BF307-BG307/BH307)))</f>
        <v>1</v>
      </c>
      <c r="BJ307" s="60" t="n">
        <f aca="false">$E$13/(1+BI307*(N307-1))</f>
        <v>1</v>
      </c>
      <c r="BK307" s="60" t="n">
        <f aca="false">$F$13/(1+BI307*(O307-1))</f>
        <v>0</v>
      </c>
      <c r="BL307" s="60" t="n">
        <f aca="false">$G$13/(1+BI307*(P307-1))</f>
        <v>0</v>
      </c>
      <c r="BM307" s="60" t="n">
        <f aca="false">$H$13/(1+BI307*(Q307-1))</f>
        <v>0</v>
      </c>
      <c r="BN307" s="60" t="n">
        <f aca="false">$I$13/(1+BI307*(R307-1))</f>
        <v>0</v>
      </c>
      <c r="BO307" s="60" t="n">
        <f aca="false">$J$13/(1+BI307*(S307-1))</f>
        <v>0</v>
      </c>
      <c r="BP307" s="60" t="n">
        <f aca="false">$K$13/(1+BI307*(T307-1))</f>
        <v>0</v>
      </c>
      <c r="BQ307" s="60" t="n">
        <f aca="false">$L$13/(1+BI307*(U307-1))</f>
        <v>0</v>
      </c>
      <c r="BR307" s="60" t="n">
        <f aca="false">$M$13/(1+BI307*(V307-1))</f>
        <v>0</v>
      </c>
      <c r="BS307" s="60" t="n">
        <f aca="false">$N$13/(1+BI307*(W307-1))</f>
        <v>0</v>
      </c>
      <c r="BT307" s="60" t="n">
        <f aca="false">$O$13/(1+BI307*(X307-1))</f>
        <v>0</v>
      </c>
      <c r="BU307" s="60" t="n">
        <f aca="false">$P$13/(1+BI307*(Y307-1))</f>
        <v>0</v>
      </c>
      <c r="BV307" s="60" t="n">
        <f aca="false">SUM(BJ307:BU307)</f>
        <v>1</v>
      </c>
      <c r="BW307" s="60" t="n">
        <f aca="false">SUMPRODUCT(N307:Y307,BJ307:BU307)</f>
        <v>1</v>
      </c>
      <c r="BX307" s="60" t="n">
        <f aca="false">BJ307/BV307</f>
        <v>1</v>
      </c>
      <c r="BY307" s="60" t="n">
        <f aca="false">BK307/BV307</f>
        <v>0</v>
      </c>
      <c r="BZ307" s="60" t="n">
        <f aca="false">BL307/BV307</f>
        <v>0</v>
      </c>
      <c r="CA307" s="60" t="n">
        <f aca="false">BM307/BV307</f>
        <v>0</v>
      </c>
      <c r="CB307" s="60" t="n">
        <f aca="false">BN307/BV307</f>
        <v>0</v>
      </c>
      <c r="CC307" s="60" t="n">
        <f aca="false">BO307/BV307</f>
        <v>0</v>
      </c>
      <c r="CD307" s="60" t="n">
        <f aca="false">BP307/BV307</f>
        <v>0</v>
      </c>
      <c r="CE307" s="60" t="n">
        <f aca="false">BQ307/BV307</f>
        <v>0</v>
      </c>
      <c r="CF307" s="60" t="n">
        <f aca="false">BR307/BV307</f>
        <v>0</v>
      </c>
      <c r="CG307" s="60" t="n">
        <f aca="false">BS307/BV307</f>
        <v>0</v>
      </c>
      <c r="CH307" s="60" t="n">
        <f aca="false">BT307/BV307</f>
        <v>0</v>
      </c>
      <c r="CI307" s="60" t="n">
        <f aca="false">BU307/BV307</f>
        <v>0</v>
      </c>
      <c r="CJ307" s="60" t="n">
        <f aca="false">N307*BJ307/BW307</f>
        <v>1</v>
      </c>
      <c r="CK307" s="60" t="n">
        <f aca="false">O307*BK307/BW307</f>
        <v>0</v>
      </c>
      <c r="CL307" s="60" t="n">
        <f aca="false">P307*BL307/BW307</f>
        <v>0</v>
      </c>
      <c r="CM307" s="60" t="n">
        <f aca="false">Q307*BM307/BW307</f>
        <v>0</v>
      </c>
      <c r="CN307" s="60" t="n">
        <f aca="false">R307*BN307/BW307</f>
        <v>0</v>
      </c>
      <c r="CO307" s="60" t="n">
        <f aca="false">S307*BO307/BW307</f>
        <v>0</v>
      </c>
      <c r="CP307" s="60" t="n">
        <f aca="false">T307*BP307/BW307</f>
        <v>0</v>
      </c>
      <c r="CQ307" s="60" t="n">
        <f aca="false">U307*BQ307/BW307</f>
        <v>0</v>
      </c>
      <c r="CR307" s="60" t="n">
        <f aca="false">V307*BR307/BW307</f>
        <v>0</v>
      </c>
      <c r="CS307" s="60" t="n">
        <f aca="false">W307*BS307/BW307</f>
        <v>0</v>
      </c>
      <c r="CT307" s="60" t="n">
        <f aca="false">X307*BT307/BW307</f>
        <v>0</v>
      </c>
      <c r="CU307" s="60" t="n">
        <f aca="false">Y307*BU307/BW307</f>
        <v>0</v>
      </c>
      <c r="CV307" s="60" t="n">
        <f aca="false">$E$28*SUMPRODUCT($E$31:$P$31,BX307:CI307,$E$28:$P$28)</f>
        <v>0.184416866619846</v>
      </c>
      <c r="CW307" s="60" t="n">
        <f aca="false">$F$28*SUMPRODUCT($E$32:$P$32,BX307:CI307,$E$28:$P$28)</f>
        <v>0</v>
      </c>
      <c r="CX307" s="60" t="n">
        <f aca="false">$G$28*SUMPRODUCT($E$33:$P$33,BX307:CI307,$E$28:$P$28)</f>
        <v>0</v>
      </c>
      <c r="CY307" s="60" t="n">
        <f aca="false">$H$28*SUMPRODUCT($E$34:$P$34,BX307:CI307,$E$28:$P$28)</f>
        <v>0</v>
      </c>
      <c r="CZ307" s="60" t="n">
        <f aca="false">$I$28*SUMPRODUCT($E$35:$P$35,BX307:CI307,$E$28:$P$28)</f>
        <v>0</v>
      </c>
      <c r="DA307" s="60" t="n">
        <f aca="false">$J$28*SUMPRODUCT($E$36:$P$36,BX307:CI307,$E$28:$P$28)</f>
        <v>0</v>
      </c>
      <c r="DB307" s="60" t="n">
        <f aca="false">$K$28*SUMPRODUCT($E$37:$P$37,BX307:CI307,$E$28:$P$28)</f>
        <v>0</v>
      </c>
      <c r="DC307" s="60" t="n">
        <f aca="false">$L$28*SUMPRODUCT($E$38:$P$38,BX307:CI307,$E$28:$P$28)</f>
        <v>0</v>
      </c>
      <c r="DD307" s="60" t="n">
        <f aca="false">$M$28*SUMPRODUCT($E$39:$P$39,BX307:CI307,$E$28:$P$28)</f>
        <v>0</v>
      </c>
      <c r="DE307" s="60" t="n">
        <f aca="false">$N$28*SUMPRODUCT($E$40:$P$40,BX307:CI307,$E$28:$P$28)</f>
        <v>0</v>
      </c>
      <c r="DF307" s="60" t="n">
        <f aca="false">$O$28*SUMPRODUCT($E$41:$P$41,BX307:CI307,$E$28:$P$28)</f>
        <v>0</v>
      </c>
      <c r="DG307" s="60" t="n">
        <f aca="false">$P$28*SUMPRODUCT($E$42:$P$42,BX307:CI307,$E$28:$P$28)</f>
        <v>0</v>
      </c>
      <c r="DH307" s="60" t="n">
        <f aca="false">SUMPRODUCT(BX307:CI307,CV307:DG307)</f>
        <v>0.184416866619846</v>
      </c>
      <c r="DI307" s="60" t="n">
        <f aca="false">SUMPRODUCT(BX307:CI307,$E$27:$P$27)</f>
        <v>2.67389635063809E-005</v>
      </c>
      <c r="DJ307" s="60" t="n">
        <f aca="false">DH307*$C$9/($C$10*$C$8)^2</f>
        <v>0.21776909410545</v>
      </c>
      <c r="DK307" s="60" t="n">
        <f aca="false">DI307*$C$9/($C$10*$C$8)</f>
        <v>0.0918845243259994</v>
      </c>
      <c r="DL307" s="60" t="n">
        <f aca="false">CHOOSE($C$7,-(1+DK307),-1,-(1-DK307))</f>
        <v>-0.908115475674001</v>
      </c>
      <c r="DM307" s="60" t="n">
        <f aca="false">CHOOSE($C$7,DJ307,DJ307-DK307-DK307^2,DJ307-3*DK307^2-2*DK307)</f>
        <v>0.00867174802160559</v>
      </c>
      <c r="DN307" s="60" t="n">
        <f aca="false">CHOOSE($C$7,-DJ307*DK307,-DJ307*DK307,-(DJ307*DK307-DK307^2-DK307^3))</f>
        <v>-0.0107910842936637</v>
      </c>
      <c r="DO307" s="60" t="n">
        <f aca="false">DM307-DL307^2/3</f>
        <v>-0.266219491031267</v>
      </c>
      <c r="DP307" s="60" t="n">
        <f aca="false">2*DL307^3/27-DL307*DM307/3+DN307</f>
        <v>-0.0636400988362784</v>
      </c>
      <c r="DQ307" s="60" t="n">
        <f aca="false">DP307^2/4+DO307^3/27</f>
        <v>0.000313710901361829</v>
      </c>
      <c r="DR307" s="60" t="n">
        <f aca="false">-DP307/2-IF(DP307&gt;=0,1,-1)*SQRT(MAX(DQ307,0))</f>
        <v>0.0495319352963236</v>
      </c>
      <c r="DS307" s="60" t="n">
        <f aca="false">SIGN(DR307)*ABS(DR307)^(1/3)</f>
        <v>0.367249967174439</v>
      </c>
      <c r="DT307" s="60" t="n">
        <f aca="false">IF(DS307=0,0,DS307-DO307/(3*DS307))</f>
        <v>0.60888329127384</v>
      </c>
      <c r="DU307" s="60" t="n">
        <f aca="false">2*SQRT(MAX(-DO307,0)/3)</f>
        <v>0.595784626668918</v>
      </c>
      <c r="DV307" s="60" t="n">
        <f aca="false">ACOS(IF(DU307=0,0,MAX(-1,MIN(1,3*DP307/(DO307*DU307)))))</f>
        <v>0</v>
      </c>
      <c r="DW307" s="60" t="n">
        <f aca="false">DU307*COS(DV307/3)</f>
        <v>0.595784626668918</v>
      </c>
      <c r="DX307" s="60" t="n">
        <f aca="false">IF(DQ307&lt;0,DW307,DT307)-DL307/3</f>
        <v>0.91158844983184</v>
      </c>
      <c r="DY307" s="60" t="n">
        <f aca="false">IFERROR((((DX307+DL307)*DX307+DM307)*DX307+DN307)/((3*DX307+2*DL307)*DX307+DM307),0)</f>
        <v>0</v>
      </c>
      <c r="DZ307" s="60" t="n">
        <f aca="false">IF(ABS(DY307)&lt;0.1*ABS(DX307),DX307-DY307,DX307)</f>
        <v>0.91158844983184</v>
      </c>
      <c r="EA307" s="60" t="n">
        <f aca="false">IFERROR((((DZ307+DL307)*DZ307+DM307)*DZ307+DN307)/((3*DZ307+2*DL307)*DZ307+DM307),0)</f>
        <v>0</v>
      </c>
      <c r="EB307" s="60" t="n">
        <f aca="false">IF(ABS(EA307)&lt;0.1*ABS(DZ307),DZ307-EA307,DZ307)</f>
        <v>0.91158844983184</v>
      </c>
      <c r="EC307" s="60" t="n">
        <f aca="false">-DN307/EB307</f>
        <v>0.0118376711504565</v>
      </c>
      <c r="ED307" s="60" t="n">
        <f aca="false">(DM307-EC307)/EB307</f>
        <v>-0.00347297415783941</v>
      </c>
      <c r="EE307" s="60" t="n">
        <f aca="false">ED307^2-4*EC307</f>
        <v>-0.0473386230523248</v>
      </c>
      <c r="EF307" s="60" t="n">
        <f aca="false">IF(EE307&gt;=0,(ED307+IF(ED307&gt;=0,1,-1)*SQRT(EE307))/2,0)</f>
        <v>0</v>
      </c>
      <c r="EG307" s="60" t="n">
        <f aca="false">IF(AND(EE307&gt;=0,EF307&lt;&gt;0),MIN(EF307,EC307/EF307),-1)</f>
        <v>-1</v>
      </c>
      <c r="EH307" s="60" t="n">
        <f aca="false">AND(EE307&gt;=0,EG307&gt;DK307,ABS(EB307-EG307)&gt;=0.00005*MAX(EB307,EG307))</f>
        <v>0</v>
      </c>
      <c r="EI307" s="60" t="n">
        <f aca="false">IF(EH307,IFERROR((((EG307+DL307)*EG307+DM307)*EG307+DN307)/((3*EG307+2*DL307)*EG307+DM307),0),0)</f>
        <v>0</v>
      </c>
      <c r="EJ307" s="60" t="n">
        <f aca="false">IF(ABS(EI307)&lt;0.1*ABS(EG307),EG307-EI307,EG307)</f>
        <v>-1</v>
      </c>
      <c r="EK307" s="60" t="n">
        <f aca="false">IF(EH307,IFERROR((((EJ307+DL307)*EJ307+DM307)*EJ307+DN307)/((3*EJ307+2*DL307)*EJ307+DM307),0),0)</f>
        <v>0</v>
      </c>
      <c r="EL307" s="60" t="n">
        <f aca="false">IF(ABS(EK307)&lt;0.1*ABS(EJ307),EJ307-EK307,EJ307)</f>
        <v>-1</v>
      </c>
      <c r="EM307" s="60" t="n">
        <f aca="false">IF(EH307,MAX(EB307,EL307),EB307)</f>
        <v>0.91158844983184</v>
      </c>
      <c r="EN307" s="60" t="n">
        <f aca="false">IF(EH307,MIN(EB307,EL307),-1)</f>
        <v>-1</v>
      </c>
      <c r="EO307" s="60" t="n">
        <f aca="false">CHOOSE($C$7,DJ307/EM307,DJ307/DK307*LN(1+DK307/EM307),DJ307/(2*SQRT(2)*DK307)*LN((EM307+(1+SQRT(2))*DK307)/(EM307+(1-SQRT(2))*DK307)))</f>
        <v>0.218240791233887</v>
      </c>
      <c r="EP307" s="60" t="n">
        <f aca="false">EM307-1-LN(EM307-DK307)-EO307</f>
        <v>-0.107840271021729</v>
      </c>
      <c r="EQ307" s="60" t="n">
        <f aca="false">IF(EH307,CHOOSE($C$7,DJ307/EN307,DJ307/DK307*LN(1+DK307/EN307),DJ307/(2*SQRT(2)*DK307)*LN((EN307+(1+SQRT(2))*DK307)/(EN307+(1-SQRT(2))*DK307))),0)</f>
        <v>0</v>
      </c>
      <c r="ER307" s="60" t="n">
        <f aca="false">IF(EH307,EN307-1-LN(EN307-DK307)-EQ307,0)</f>
        <v>0</v>
      </c>
      <c r="ES307" s="60" t="n">
        <f aca="false">AND(EH307,ER307&lt;EP307)</f>
        <v>0</v>
      </c>
      <c r="ET307" s="60" t="n">
        <f aca="false">IF(ES307,EN307,EM307)</f>
        <v>0.91158844983184</v>
      </c>
      <c r="EU307" s="60" t="n">
        <f aca="false">IF(ES307,EQ307,EO307)</f>
        <v>0.218240791233887</v>
      </c>
      <c r="EV307" s="60" t="n">
        <f aca="false">LN(ET307-DK307)</f>
        <v>-0.198812070380318</v>
      </c>
      <c r="EW307" s="60" t="n">
        <f aca="false">$E$27/DI307*(ET307-1)-EV307-EU307*(2*CV307/DH307-$E$27/DI307)</f>
        <v>-0.107840271021729</v>
      </c>
      <c r="EX307" s="60" t="n">
        <f aca="false">$F$27/DI307*(ET307-1)-EV307-EU307*(2*CW307/DH307-$F$27/DI307)</f>
        <v>0.198812070380318</v>
      </c>
      <c r="EY307" s="60" t="n">
        <f aca="false">$G$27/DI307*(ET307-1)-EV307-EU307*(2*CX307/DH307-$G$27/DI307)</f>
        <v>0.198812070380318</v>
      </c>
      <c r="EZ307" s="60" t="n">
        <f aca="false">$H$27/DI307*(ET307-1)-EV307-EU307*(2*CY307/DH307-$H$27/DI307)</f>
        <v>0.198812070380318</v>
      </c>
      <c r="FA307" s="60" t="n">
        <f aca="false">$I$27/DI307*(ET307-1)-EV307-EU307*(2*CZ307/DH307-$I$27/DI307)</f>
        <v>0.198812070380318</v>
      </c>
      <c r="FB307" s="60" t="n">
        <f aca="false">$J$27/DI307*(ET307-1)-EV307-EU307*(2*DA307/DH307-$J$27/DI307)</f>
        <v>0.198812070380318</v>
      </c>
      <c r="FC307" s="60" t="n">
        <f aca="false">$K$27/DI307*(ET307-1)-EV307-EU307*(2*DB307/DH307-$K$27/DI307)</f>
        <v>0.198812070380318</v>
      </c>
      <c r="FD307" s="60" t="n">
        <f aca="false">$L$27/DI307*(ET307-1)-EV307-EU307*(2*DC307/DH307-$L$27/DI307)</f>
        <v>0.198812070380318</v>
      </c>
      <c r="FE307" s="60" t="n">
        <f aca="false">$M$27/DI307*(ET307-1)-EV307-EU307*(2*DD307/DH307-$M$27/DI307)</f>
        <v>0.198812070380318</v>
      </c>
      <c r="FF307" s="60" t="n">
        <f aca="false">$N$27/DI307*(ET307-1)-EV307-EU307*(2*DE307/DH307-$N$27/DI307)</f>
        <v>0.198812070380318</v>
      </c>
      <c r="FG307" s="60" t="n">
        <f aca="false">$O$27/DI307*(ET307-1)-EV307-EU307*(2*DF307/DH307-$O$27/DI307)</f>
        <v>0.198812070380318</v>
      </c>
      <c r="FH307" s="60" t="n">
        <f aca="false">$P$27/DI307*(ET307-1)-EV307-EU307*(2*DG307/DH307-$P$27/DI307)</f>
        <v>0.198812070380318</v>
      </c>
      <c r="FI307" s="60" t="n">
        <f aca="false">DK307/ET307&gt;$C$22</f>
        <v>0</v>
      </c>
      <c r="FJ307" s="60" t="n">
        <f aca="false">$E$28*SUMPRODUCT($E$31:$P$31,CJ307:CU307,$E$28:$P$28)</f>
        <v>0.184416866619846</v>
      </c>
      <c r="FK307" s="60" t="n">
        <f aca="false">$F$28*SUMPRODUCT($E$32:$P$32,CJ307:CU307,$E$28:$P$28)</f>
        <v>0</v>
      </c>
      <c r="FL307" s="60" t="n">
        <f aca="false">$G$28*SUMPRODUCT($E$33:$P$33,CJ307:CU307,$E$28:$P$28)</f>
        <v>0</v>
      </c>
      <c r="FM307" s="60" t="n">
        <f aca="false">$H$28*SUMPRODUCT($E$34:$P$34,CJ307:CU307,$E$28:$P$28)</f>
        <v>0</v>
      </c>
      <c r="FN307" s="60" t="n">
        <f aca="false">$I$28*SUMPRODUCT($E$35:$P$35,CJ307:CU307,$E$28:$P$28)</f>
        <v>0</v>
      </c>
      <c r="FO307" s="60" t="n">
        <f aca="false">$J$28*SUMPRODUCT($E$36:$P$36,CJ307:CU307,$E$28:$P$28)</f>
        <v>0</v>
      </c>
      <c r="FP307" s="60" t="n">
        <f aca="false">$K$28*SUMPRODUCT($E$37:$P$37,CJ307:CU307,$E$28:$P$28)</f>
        <v>0</v>
      </c>
      <c r="FQ307" s="60" t="n">
        <f aca="false">$L$28*SUMPRODUCT($E$38:$P$38,CJ307:CU307,$E$28:$P$28)</f>
        <v>0</v>
      </c>
      <c r="FR307" s="60" t="n">
        <f aca="false">$M$28*SUMPRODUCT($E$39:$P$39,CJ307:CU307,$E$28:$P$28)</f>
        <v>0</v>
      </c>
      <c r="FS307" s="60" t="n">
        <f aca="false">$N$28*SUMPRODUCT($E$40:$P$40,CJ307:CU307,$E$28:$P$28)</f>
        <v>0</v>
      </c>
      <c r="FT307" s="60" t="n">
        <f aca="false">$O$28*SUMPRODUCT($E$41:$P$41,CJ307:CU307,$E$28:$P$28)</f>
        <v>0</v>
      </c>
      <c r="FU307" s="60" t="n">
        <f aca="false">$P$28*SUMPRODUCT($E$42:$P$42,CJ307:CU307,$E$28:$P$28)</f>
        <v>0</v>
      </c>
      <c r="FV307" s="60" t="n">
        <f aca="false">SUMPRODUCT(CJ307:CU307,FJ307:FU307)</f>
        <v>0.184416866619846</v>
      </c>
      <c r="FW307" s="60" t="n">
        <f aca="false">SUMPRODUCT(CJ307:CU307,$E$27:$P$27)</f>
        <v>2.67389635063809E-005</v>
      </c>
      <c r="FX307" s="60" t="n">
        <f aca="false">FV307*$C$9/($C$10*$C$8)^2</f>
        <v>0.21776909410545</v>
      </c>
      <c r="FY307" s="60" t="n">
        <f aca="false">FW307*$C$9/($C$10*$C$8)</f>
        <v>0.0918845243259994</v>
      </c>
      <c r="FZ307" s="60" t="n">
        <f aca="false">CHOOSE($C$7,-(1+FY307),-1,-(1-FY307))</f>
        <v>-0.908115475674001</v>
      </c>
      <c r="GA307" s="60" t="n">
        <f aca="false">CHOOSE($C$7,FX307,FX307-FY307-FY307^2,FX307-3*FY307^2-2*FY307)</f>
        <v>0.00867174802160559</v>
      </c>
      <c r="GB307" s="60" t="n">
        <f aca="false">CHOOSE($C$7,-FX307*FY307,-FX307*FY307,-(FX307*FY307-FY307^2-FY307^3))</f>
        <v>-0.0107910842936637</v>
      </c>
      <c r="GC307" s="60" t="n">
        <f aca="false">GA307-FZ307^2/3</f>
        <v>-0.266219491031267</v>
      </c>
      <c r="GD307" s="60" t="n">
        <f aca="false">2*FZ307^3/27-FZ307*GA307/3+GB307</f>
        <v>-0.0636400988362784</v>
      </c>
      <c r="GE307" s="60" t="n">
        <f aca="false">GD307^2/4+GC307^3/27</f>
        <v>0.000313710901361829</v>
      </c>
      <c r="GF307" s="60" t="n">
        <f aca="false">-GD307/2-IF(GD307&gt;=0,1,-1)*SQRT(MAX(GE307,0))</f>
        <v>0.0495319352963236</v>
      </c>
      <c r="GG307" s="60" t="n">
        <f aca="false">SIGN(GF307)*ABS(GF307)^(1/3)</f>
        <v>0.367249967174439</v>
      </c>
      <c r="GH307" s="60" t="n">
        <f aca="false">IF(GG307=0,0,GG307-GC307/(3*GG307))</f>
        <v>0.60888329127384</v>
      </c>
      <c r="GI307" s="60" t="n">
        <f aca="false">2*SQRT(MAX(-GC307,0)/3)</f>
        <v>0.595784626668918</v>
      </c>
      <c r="GJ307" s="60" t="n">
        <f aca="false">ACOS(IF(GI307=0,0,MAX(-1,MIN(1,3*GD307/(GC307*GI307)))))</f>
        <v>0</v>
      </c>
      <c r="GK307" s="60" t="n">
        <f aca="false">GI307*COS(GJ307/3)</f>
        <v>0.595784626668918</v>
      </c>
      <c r="GL307" s="60" t="n">
        <f aca="false">IF(GE307&lt;0,GK307,GH307)-FZ307/3</f>
        <v>0.91158844983184</v>
      </c>
      <c r="GM307" s="60" t="n">
        <f aca="false">IFERROR((((GL307+FZ307)*GL307+GA307)*GL307+GB307)/((3*GL307+2*FZ307)*GL307+GA307),0)</f>
        <v>0</v>
      </c>
      <c r="GN307" s="60" t="n">
        <f aca="false">IF(ABS(GM307)&lt;0.1*ABS(GL307),GL307-GM307,GL307)</f>
        <v>0.91158844983184</v>
      </c>
      <c r="GO307" s="60" t="n">
        <f aca="false">IFERROR((((GN307+FZ307)*GN307+GA307)*GN307+GB307)/((3*GN307+2*FZ307)*GN307+GA307),0)</f>
        <v>0</v>
      </c>
      <c r="GP307" s="60" t="n">
        <f aca="false">IF(ABS(GO307)&lt;0.1*ABS(GN307),GN307-GO307,GN307)</f>
        <v>0.91158844983184</v>
      </c>
      <c r="GQ307" s="60" t="n">
        <f aca="false">-GB307/GP307</f>
        <v>0.0118376711504565</v>
      </c>
      <c r="GR307" s="60" t="n">
        <f aca="false">(GA307-GQ307)/GP307</f>
        <v>-0.00347297415783941</v>
      </c>
      <c r="GS307" s="60" t="n">
        <f aca="false">GR307^2-4*GQ307</f>
        <v>-0.0473386230523248</v>
      </c>
      <c r="GT307" s="60" t="n">
        <f aca="false">IF(GS307&gt;=0,(GR307+IF(GR307&gt;=0,1,-1)*SQRT(GS307))/2,0)</f>
        <v>0</v>
      </c>
      <c r="GU307" s="60" t="n">
        <f aca="false">IF(AND(GS307&gt;=0,GT307&lt;&gt;0),MIN(GT307,GQ307/GT307),-1)</f>
        <v>-1</v>
      </c>
      <c r="GV307" s="60" t="n">
        <f aca="false">AND(GS307&gt;=0,GU307&gt;FY307,ABS(GP307-GU307)&gt;=0.00005*MAX(GP307,GU307))</f>
        <v>0</v>
      </c>
      <c r="GW307" s="60" t="n">
        <f aca="false">IF(GV307,IFERROR((((GU307+FZ307)*GU307+GA307)*GU307+GB307)/((3*GU307+2*FZ307)*GU307+GA307),0),0)</f>
        <v>0</v>
      </c>
      <c r="GX307" s="60" t="n">
        <f aca="false">IF(ABS(GW307)&lt;0.1*ABS(GU307),GU307-GW307,GU307)</f>
        <v>-1</v>
      </c>
      <c r="GY307" s="60" t="n">
        <f aca="false">IF(GV307,IFERROR((((GX307+FZ307)*GX307+GA307)*GX307+GB307)/((3*GX307+2*FZ307)*GX307+GA307),0),0)</f>
        <v>0</v>
      </c>
      <c r="GZ307" s="60" t="n">
        <f aca="false">IF(ABS(GY307)&lt;0.1*ABS(GX307),GX307-GY307,GX307)</f>
        <v>-1</v>
      </c>
      <c r="HA307" s="60" t="n">
        <f aca="false">IF(GV307,MAX(GP307,GZ307),GP307)</f>
        <v>0.91158844983184</v>
      </c>
      <c r="HB307" s="60" t="n">
        <f aca="false">IF(GV307,MIN(GP307,GZ307),-1)</f>
        <v>-1</v>
      </c>
      <c r="HC307" s="60" t="n">
        <f aca="false">CHOOSE($C$7,FX307/HA307,FX307/FY307*LN(1+FY307/HA307),FX307/(2*SQRT(2)*FY307)*LN((HA307+(1+SQRT(2))*FY307)/(HA307+(1-SQRT(2))*FY307)))</f>
        <v>0.218240791233887</v>
      </c>
      <c r="HD307" s="60" t="n">
        <f aca="false">HA307-1-LN(HA307-FY307)-HC307</f>
        <v>-0.107840271021729</v>
      </c>
      <c r="HE307" s="60" t="n">
        <f aca="false">IF(GV307,CHOOSE($C$7,FX307/HB307,FX307/FY307*LN(1+FY307/HB307),FX307/(2*SQRT(2)*FY307)*LN((HB307+(1+SQRT(2))*FY307)/(HB307+(1-SQRT(2))*FY307))),0)</f>
        <v>0</v>
      </c>
      <c r="HF307" s="60" t="n">
        <f aca="false">IF(GV307,HB307-1-LN(HB307-FY307)-HE307,0)</f>
        <v>0</v>
      </c>
      <c r="HG307" s="60" t="n">
        <f aca="false">AND(GV307,HF307&lt;HD307)</f>
        <v>0</v>
      </c>
      <c r="HH307" s="60" t="n">
        <f aca="false">IF(HG307,HB307,HA307)</f>
        <v>0.91158844983184</v>
      </c>
      <c r="HI307" s="60" t="n">
        <f aca="false">IF(HG307,HE307,HC307)</f>
        <v>0.218240791233887</v>
      </c>
      <c r="HJ307" s="60" t="n">
        <f aca="false">LN(HH307-FY307)</f>
        <v>-0.198812070380318</v>
      </c>
      <c r="HK307" s="60" t="n">
        <f aca="false">$E$27/FW307*(HH307-1)-HJ307-HI307*(2*FJ307/FV307-$E$27/FW307)</f>
        <v>-0.107840271021729</v>
      </c>
      <c r="HL307" s="60" t="n">
        <f aca="false">$F$27/FW307*(HH307-1)-HJ307-HI307*(2*FK307/FV307-$F$27/FW307)</f>
        <v>0.198812070380318</v>
      </c>
      <c r="HM307" s="60" t="n">
        <f aca="false">$G$27/FW307*(HH307-1)-HJ307-HI307*(2*FL307/FV307-$G$27/FW307)</f>
        <v>0.198812070380318</v>
      </c>
      <c r="HN307" s="60" t="n">
        <f aca="false">$H$27/FW307*(HH307-1)-HJ307-HI307*(2*FM307/FV307-$H$27/FW307)</f>
        <v>0.198812070380318</v>
      </c>
      <c r="HO307" s="60" t="n">
        <f aca="false">$I$27/FW307*(HH307-1)-HJ307-HI307*(2*FN307/FV307-$I$27/FW307)</f>
        <v>0.198812070380318</v>
      </c>
      <c r="HP307" s="60" t="n">
        <f aca="false">$J$27/FW307*(HH307-1)-HJ307-HI307*(2*FO307/FV307-$J$27/FW307)</f>
        <v>0.198812070380318</v>
      </c>
      <c r="HQ307" s="60" t="n">
        <f aca="false">$K$27/FW307*(HH307-1)-HJ307-HI307*(2*FP307/FV307-$K$27/FW307)</f>
        <v>0.198812070380318</v>
      </c>
      <c r="HR307" s="60" t="n">
        <f aca="false">$L$27/FW307*(HH307-1)-HJ307-HI307*(2*FQ307/FV307-$L$27/FW307)</f>
        <v>0.198812070380318</v>
      </c>
      <c r="HS307" s="60" t="n">
        <f aca="false">$M$27/FW307*(HH307-1)-HJ307-HI307*(2*FR307/FV307-$M$27/FW307)</f>
        <v>0.198812070380318</v>
      </c>
      <c r="HT307" s="60" t="n">
        <f aca="false">$N$27/FW307*(HH307-1)-HJ307-HI307*(2*FS307/FV307-$N$27/FW307)</f>
        <v>0.198812070380318</v>
      </c>
      <c r="HU307" s="60" t="n">
        <f aca="false">$O$27/FW307*(HH307-1)-HJ307-HI307*(2*FT307/FV307-$O$27/FW307)</f>
        <v>0.198812070380318</v>
      </c>
      <c r="HV307" s="60" t="n">
        <f aca="false">$P$27/FW307*(HH307-1)-HJ307-HI307*(2*FU307/FV307-$P$27/FW307)</f>
        <v>0.198812070380318</v>
      </c>
      <c r="HW307" s="60" t="n">
        <f aca="false">FY307/HH307&gt;$C$22</f>
        <v>0</v>
      </c>
      <c r="HX307" s="60" t="n">
        <f aca="false">IF($E$13&gt;0,MAX(-300,MIN(300,EW307-HK307)),0)</f>
        <v>0</v>
      </c>
      <c r="HY307" s="60" t="n">
        <f aca="false">IF($F$13&gt;0,MAX(-300,MIN(300,EX307-HL307)),0)</f>
        <v>0</v>
      </c>
      <c r="HZ307" s="60" t="n">
        <f aca="false">IF($G$13&gt;0,MAX(-300,MIN(300,EY307-HM307)),0)</f>
        <v>0</v>
      </c>
      <c r="IA307" s="60" t="n">
        <f aca="false">IF($H$13&gt;0,MAX(-300,MIN(300,EZ307-HN307)),0)</f>
        <v>0</v>
      </c>
      <c r="IB307" s="60" t="n">
        <f aca="false">IF($I$13&gt;0,MAX(-300,MIN(300,FA307-HO307)),0)</f>
        <v>0</v>
      </c>
      <c r="IC307" s="60" t="n">
        <f aca="false">IF($J$13&gt;0,MAX(-300,MIN(300,FB307-HP307)),0)</f>
        <v>0</v>
      </c>
      <c r="ID307" s="60" t="n">
        <f aca="false">IF($K$13&gt;0,MAX(-300,MIN(300,FC307-HQ307)),0)</f>
        <v>0</v>
      </c>
      <c r="IE307" s="60" t="n">
        <f aca="false">IF($L$13&gt;0,MAX(-300,MIN(300,FD307-HR307)),0)</f>
        <v>0</v>
      </c>
      <c r="IF307" s="60" t="n">
        <f aca="false">IF($M$13&gt;0,MAX(-300,MIN(300,FE307-HS307)),0)</f>
        <v>0</v>
      </c>
      <c r="IG307" s="60" t="n">
        <f aca="false">IF($N$13&gt;0,MAX(-300,MIN(300,FF307-HT307)),0)</f>
        <v>0</v>
      </c>
      <c r="IH307" s="60" t="n">
        <f aca="false">IF($O$13&gt;0,MAX(-300,MIN(300,FG307-HU307)),0)</f>
        <v>0</v>
      </c>
      <c r="II307" s="60" t="n">
        <f aca="false">IF($P$13&gt;0,MAX(-300,MIN(300,FH307-HV307)),0)</f>
        <v>0</v>
      </c>
      <c r="IJ307" s="60" t="n">
        <f aca="false">SUMXMY2(HX307:II307,B307:M307)</f>
        <v>0</v>
      </c>
      <c r="IK307" s="60" t="n">
        <f aca="false">SUMSQ(B307:M307)</f>
        <v>0</v>
      </c>
    </row>
    <row r="308" customFormat="false" ht="15" hidden="false" customHeight="false" outlineLevel="0" collapsed="false">
      <c r="A308" s="59" t="n">
        <v>11</v>
      </c>
      <c r="B308" s="60" t="n">
        <f aca="false">HX307</f>
        <v>0</v>
      </c>
      <c r="C308" s="60" t="n">
        <f aca="false">HY307</f>
        <v>0</v>
      </c>
      <c r="D308" s="60" t="n">
        <f aca="false">HZ307</f>
        <v>0</v>
      </c>
      <c r="E308" s="60" t="n">
        <f aca="false">IA307</f>
        <v>0</v>
      </c>
      <c r="F308" s="60" t="n">
        <f aca="false">IB307</f>
        <v>0</v>
      </c>
      <c r="G308" s="60" t="n">
        <f aca="false">IC307</f>
        <v>0</v>
      </c>
      <c r="H308" s="60" t="n">
        <f aca="false">ID307</f>
        <v>0</v>
      </c>
      <c r="I308" s="60" t="n">
        <f aca="false">IE307</f>
        <v>0</v>
      </c>
      <c r="J308" s="60" t="n">
        <f aca="false">IF307</f>
        <v>0</v>
      </c>
      <c r="K308" s="60" t="n">
        <f aca="false">IG307</f>
        <v>0</v>
      </c>
      <c r="L308" s="60" t="n">
        <f aca="false">IH307</f>
        <v>0</v>
      </c>
      <c r="M308" s="60" t="n">
        <f aca="false">II307</f>
        <v>0</v>
      </c>
      <c r="N308" s="60" t="n">
        <f aca="false">EXP(B308)</f>
        <v>1</v>
      </c>
      <c r="O308" s="60" t="n">
        <f aca="false">EXP(C308)</f>
        <v>1</v>
      </c>
      <c r="P308" s="60" t="n">
        <f aca="false">EXP(D308)</f>
        <v>1</v>
      </c>
      <c r="Q308" s="60" t="n">
        <f aca="false">EXP(E308)</f>
        <v>1</v>
      </c>
      <c r="R308" s="60" t="n">
        <f aca="false">EXP(F308)</f>
        <v>1</v>
      </c>
      <c r="S308" s="60" t="n">
        <f aca="false">EXP(G308)</f>
        <v>1</v>
      </c>
      <c r="T308" s="60" t="n">
        <f aca="false">EXP(H308)</f>
        <v>1</v>
      </c>
      <c r="U308" s="60" t="n">
        <f aca="false">EXP(I308)</f>
        <v>1</v>
      </c>
      <c r="V308" s="60" t="n">
        <f aca="false">EXP(J308)</f>
        <v>1</v>
      </c>
      <c r="W308" s="60" t="n">
        <f aca="false">EXP(K308)</f>
        <v>1</v>
      </c>
      <c r="X308" s="60" t="n">
        <f aca="false">EXP(L308)</f>
        <v>1</v>
      </c>
      <c r="Y308" s="60" t="n">
        <f aca="false">EXP(M308)</f>
        <v>1</v>
      </c>
      <c r="Z308" s="60" t="n">
        <f aca="false">MAX(N308:Y308)</f>
        <v>1</v>
      </c>
      <c r="AA308" s="60" t="n">
        <f aca="false">MIN(N308:Y308)</f>
        <v>1</v>
      </c>
      <c r="AB308" s="60" t="n">
        <f aca="false">AND(Z308&gt;1,AA308&lt;1)</f>
        <v>0</v>
      </c>
      <c r="AC308" s="60" t="n">
        <f aca="false">IF(AB308,1/(1-Z308),0)</f>
        <v>0</v>
      </c>
      <c r="AD308" s="60" t="n">
        <f aca="false">IF(AB308,1/(1-AA308),1)</f>
        <v>1</v>
      </c>
      <c r="AE308" s="60" t="n">
        <f aca="false">IF(AB308,MIN(MAX(BI307,AC308+0.000000001*(AD308-AC308)),AD308-0.000000001*(AD308-AC308)),IF(AA308&gt;=1,1,0))</f>
        <v>1</v>
      </c>
      <c r="AF308" s="60" t="n">
        <f aca="false">SUMPRODUCT($E$13:$P$13*(N308:Y308-1)/(1+AE308*(N308:Y308-1)))</f>
        <v>0</v>
      </c>
      <c r="AG308" s="60" t="n">
        <f aca="false">-SUMPRODUCT($E$13:$P$13*(N308:Y308-1)^2/(1+AE308*(N308:Y308-1))^2)</f>
        <v>-0</v>
      </c>
      <c r="AH308" s="60" t="n">
        <f aca="false">IF(OR(NOT(AB308),AG308=0),AE308,IF(AE308-AF308/AG308&lt;=AC308,(AE308+AC308)/2,IF(AE308-AF308/AG308&gt;=AD308,(AE308+AD308)/2,AE308-AF308/AG308)))</f>
        <v>1</v>
      </c>
      <c r="AI308" s="60" t="n">
        <f aca="false">SUMPRODUCT($E$13:$P$13*(N308:Y308-1)/(1+AH308*(N308:Y308-1)))</f>
        <v>0</v>
      </c>
      <c r="AJ308" s="60" t="n">
        <f aca="false">-SUMPRODUCT($E$13:$P$13*(N308:Y308-1)^2/(1+AH308*(N308:Y308-1))^2)</f>
        <v>-0</v>
      </c>
      <c r="AK308" s="60" t="n">
        <f aca="false">IF(OR(NOT(AB308),AJ308=0),AH308,IF(AH308-AI308/AJ308&lt;=AC308,(AH308+AC308)/2,IF(AH308-AI308/AJ308&gt;=AD308,(AH308+AD308)/2,AH308-AI308/AJ308)))</f>
        <v>1</v>
      </c>
      <c r="AL308" s="60" t="n">
        <f aca="false">SUMPRODUCT($E$13:$P$13*(N308:Y308-1)/(1+AK308*(N308:Y308-1)))</f>
        <v>0</v>
      </c>
      <c r="AM308" s="60" t="n">
        <f aca="false">-SUMPRODUCT($E$13:$P$13*(N308:Y308-1)^2/(1+AK308*(N308:Y308-1))^2)</f>
        <v>-0</v>
      </c>
      <c r="AN308" s="60" t="n">
        <f aca="false">IF(OR(NOT(AB308),AM308=0),AK308,IF(AK308-AL308/AM308&lt;=AC308,(AK308+AC308)/2,IF(AK308-AL308/AM308&gt;=AD308,(AK308+AD308)/2,AK308-AL308/AM308)))</f>
        <v>1</v>
      </c>
      <c r="AO308" s="60" t="n">
        <f aca="false">SUMPRODUCT($E$13:$P$13*(N308:Y308-1)/(1+AN308*(N308:Y308-1)))</f>
        <v>0</v>
      </c>
      <c r="AP308" s="60" t="n">
        <f aca="false">-SUMPRODUCT($E$13:$P$13*(N308:Y308-1)^2/(1+AN308*(N308:Y308-1))^2)</f>
        <v>-0</v>
      </c>
      <c r="AQ308" s="60" t="n">
        <f aca="false">IF(OR(NOT(AB308),AP308=0),AN308,IF(AN308-AO308/AP308&lt;=AC308,(AN308+AC308)/2,IF(AN308-AO308/AP308&gt;=AD308,(AN308+AD308)/2,AN308-AO308/AP308)))</f>
        <v>1</v>
      </c>
      <c r="AR308" s="60" t="n">
        <f aca="false">SUMPRODUCT($E$13:$P$13*(N308:Y308-1)/(1+AQ308*(N308:Y308-1)))</f>
        <v>0</v>
      </c>
      <c r="AS308" s="60" t="n">
        <f aca="false">-SUMPRODUCT($E$13:$P$13*(N308:Y308-1)^2/(1+AQ308*(N308:Y308-1))^2)</f>
        <v>-0</v>
      </c>
      <c r="AT308" s="60" t="n">
        <f aca="false">IF(OR(NOT(AB308),AS308=0),AQ308,IF(AQ308-AR308/AS308&lt;=AC308,(AQ308+AC308)/2,IF(AQ308-AR308/AS308&gt;=AD308,(AQ308+AD308)/2,AQ308-AR308/AS308)))</f>
        <v>1</v>
      </c>
      <c r="AU308" s="60" t="n">
        <f aca="false">SUMPRODUCT($E$13:$P$13*(N308:Y308-1)/(1+AT308*(N308:Y308-1)))</f>
        <v>0</v>
      </c>
      <c r="AV308" s="60" t="n">
        <f aca="false">-SUMPRODUCT($E$13:$P$13*(N308:Y308-1)^2/(1+AT308*(N308:Y308-1))^2)</f>
        <v>-0</v>
      </c>
      <c r="AW308" s="60" t="n">
        <f aca="false">IF(OR(NOT(AB308),AV308=0),AT308,IF(AT308-AU308/AV308&lt;=AC308,(AT308+AC308)/2,IF(AT308-AU308/AV308&gt;=AD308,(AT308+AD308)/2,AT308-AU308/AV308)))</f>
        <v>1</v>
      </c>
      <c r="AX308" s="60" t="n">
        <f aca="false">SUMPRODUCT($E$13:$P$13*(N308:Y308-1)/(1+AW308*(N308:Y308-1)))</f>
        <v>0</v>
      </c>
      <c r="AY308" s="60" t="n">
        <f aca="false">-SUMPRODUCT($E$13:$P$13*(N308:Y308-1)^2/(1+AW308*(N308:Y308-1))^2)</f>
        <v>-0</v>
      </c>
      <c r="AZ308" s="60" t="n">
        <f aca="false">IF(OR(NOT(AB308),AY308=0),AW308,IF(AW308-AX308/AY308&lt;=AC308,(AW308+AC308)/2,IF(AW308-AX308/AY308&gt;=AD308,(AW308+AD308)/2,AW308-AX308/AY308)))</f>
        <v>1</v>
      </c>
      <c r="BA308" s="60" t="n">
        <f aca="false">SUMPRODUCT($E$13:$P$13*(N308:Y308-1)/(1+AZ308*(N308:Y308-1)))</f>
        <v>0</v>
      </c>
      <c r="BB308" s="60" t="n">
        <f aca="false">-SUMPRODUCT($E$13:$P$13*(N308:Y308-1)^2/(1+AZ308*(N308:Y308-1))^2)</f>
        <v>-0</v>
      </c>
      <c r="BC308" s="60" t="n">
        <f aca="false">IF(OR(NOT(AB308),BB308=0),AZ308,IF(AZ308-BA308/BB308&lt;=AC308,(AZ308+AC308)/2,IF(AZ308-BA308/BB308&gt;=AD308,(AZ308+AD308)/2,AZ308-BA308/BB308)))</f>
        <v>1</v>
      </c>
      <c r="BD308" s="60" t="n">
        <f aca="false">SUMPRODUCT($E$13:$P$13*(N308:Y308-1)/(1+BC308*(N308:Y308-1)))</f>
        <v>0</v>
      </c>
      <c r="BE308" s="60" t="n">
        <f aca="false">-SUMPRODUCT($E$13:$P$13*(N308:Y308-1)^2/(1+BC308*(N308:Y308-1))^2)</f>
        <v>-0</v>
      </c>
      <c r="BF308" s="60" t="n">
        <f aca="false">IF(OR(NOT(AB308),BE308=0),BC308,IF(BC308-BD308/BE308&lt;=AC308,(BC308+AC308)/2,IF(BC308-BD308/BE308&gt;=AD308,(BC308+AD308)/2,BC308-BD308/BE308)))</f>
        <v>1</v>
      </c>
      <c r="BG308" s="60" t="n">
        <f aca="false">SUMPRODUCT($E$13:$P$13*(N308:Y308-1)/(1+BF308*(N308:Y308-1)))</f>
        <v>0</v>
      </c>
      <c r="BH308" s="60" t="n">
        <f aca="false">-SUMPRODUCT($E$13:$P$13*(N308:Y308-1)^2/(1+BF308*(N308:Y308-1))^2)</f>
        <v>-0</v>
      </c>
      <c r="BI308" s="60" t="n">
        <f aca="false">IF(OR(NOT(AB308),BH308=0),BF308,IF(BF308-BG308/BH308&lt;=AC308,(BF308+AC308)/2,IF(BF308-BG308/BH308&gt;=AD308,(BF308+AD308)/2,BF308-BG308/BH308)))</f>
        <v>1</v>
      </c>
      <c r="BJ308" s="60" t="n">
        <f aca="false">$E$13/(1+BI308*(N308-1))</f>
        <v>1</v>
      </c>
      <c r="BK308" s="60" t="n">
        <f aca="false">$F$13/(1+BI308*(O308-1))</f>
        <v>0</v>
      </c>
      <c r="BL308" s="60" t="n">
        <f aca="false">$G$13/(1+BI308*(P308-1))</f>
        <v>0</v>
      </c>
      <c r="BM308" s="60" t="n">
        <f aca="false">$H$13/(1+BI308*(Q308-1))</f>
        <v>0</v>
      </c>
      <c r="BN308" s="60" t="n">
        <f aca="false">$I$13/(1+BI308*(R308-1))</f>
        <v>0</v>
      </c>
      <c r="BO308" s="60" t="n">
        <f aca="false">$J$13/(1+BI308*(S308-1))</f>
        <v>0</v>
      </c>
      <c r="BP308" s="60" t="n">
        <f aca="false">$K$13/(1+BI308*(T308-1))</f>
        <v>0</v>
      </c>
      <c r="BQ308" s="60" t="n">
        <f aca="false">$L$13/(1+BI308*(U308-1))</f>
        <v>0</v>
      </c>
      <c r="BR308" s="60" t="n">
        <f aca="false">$M$13/(1+BI308*(V308-1))</f>
        <v>0</v>
      </c>
      <c r="BS308" s="60" t="n">
        <f aca="false">$N$13/(1+BI308*(W308-1))</f>
        <v>0</v>
      </c>
      <c r="BT308" s="60" t="n">
        <f aca="false">$O$13/(1+BI308*(X308-1))</f>
        <v>0</v>
      </c>
      <c r="BU308" s="60" t="n">
        <f aca="false">$P$13/(1+BI308*(Y308-1))</f>
        <v>0</v>
      </c>
      <c r="BV308" s="60" t="n">
        <f aca="false">SUM(BJ308:BU308)</f>
        <v>1</v>
      </c>
      <c r="BW308" s="60" t="n">
        <f aca="false">SUMPRODUCT(N308:Y308,BJ308:BU308)</f>
        <v>1</v>
      </c>
      <c r="BX308" s="60" t="n">
        <f aca="false">BJ308/BV308</f>
        <v>1</v>
      </c>
      <c r="BY308" s="60" t="n">
        <f aca="false">BK308/BV308</f>
        <v>0</v>
      </c>
      <c r="BZ308" s="60" t="n">
        <f aca="false">BL308/BV308</f>
        <v>0</v>
      </c>
      <c r="CA308" s="60" t="n">
        <f aca="false">BM308/BV308</f>
        <v>0</v>
      </c>
      <c r="CB308" s="60" t="n">
        <f aca="false">BN308/BV308</f>
        <v>0</v>
      </c>
      <c r="CC308" s="60" t="n">
        <f aca="false">BO308/BV308</f>
        <v>0</v>
      </c>
      <c r="CD308" s="60" t="n">
        <f aca="false">BP308/BV308</f>
        <v>0</v>
      </c>
      <c r="CE308" s="60" t="n">
        <f aca="false">BQ308/BV308</f>
        <v>0</v>
      </c>
      <c r="CF308" s="60" t="n">
        <f aca="false">BR308/BV308</f>
        <v>0</v>
      </c>
      <c r="CG308" s="60" t="n">
        <f aca="false">BS308/BV308</f>
        <v>0</v>
      </c>
      <c r="CH308" s="60" t="n">
        <f aca="false">BT308/BV308</f>
        <v>0</v>
      </c>
      <c r="CI308" s="60" t="n">
        <f aca="false">BU308/BV308</f>
        <v>0</v>
      </c>
      <c r="CJ308" s="60" t="n">
        <f aca="false">N308*BJ308/BW308</f>
        <v>1</v>
      </c>
      <c r="CK308" s="60" t="n">
        <f aca="false">O308*BK308/BW308</f>
        <v>0</v>
      </c>
      <c r="CL308" s="60" t="n">
        <f aca="false">P308*BL308/BW308</f>
        <v>0</v>
      </c>
      <c r="CM308" s="60" t="n">
        <f aca="false">Q308*BM308/BW308</f>
        <v>0</v>
      </c>
      <c r="CN308" s="60" t="n">
        <f aca="false">R308*BN308/BW308</f>
        <v>0</v>
      </c>
      <c r="CO308" s="60" t="n">
        <f aca="false">S308*BO308/BW308</f>
        <v>0</v>
      </c>
      <c r="CP308" s="60" t="n">
        <f aca="false">T308*BP308/BW308</f>
        <v>0</v>
      </c>
      <c r="CQ308" s="60" t="n">
        <f aca="false">U308*BQ308/BW308</f>
        <v>0</v>
      </c>
      <c r="CR308" s="60" t="n">
        <f aca="false">V308*BR308/BW308</f>
        <v>0</v>
      </c>
      <c r="CS308" s="60" t="n">
        <f aca="false">W308*BS308/BW308</f>
        <v>0</v>
      </c>
      <c r="CT308" s="60" t="n">
        <f aca="false">X308*BT308/BW308</f>
        <v>0</v>
      </c>
      <c r="CU308" s="60" t="n">
        <f aca="false">Y308*BU308/BW308</f>
        <v>0</v>
      </c>
      <c r="CV308" s="60" t="n">
        <f aca="false">$E$28*SUMPRODUCT($E$31:$P$31,BX308:CI308,$E$28:$P$28)</f>
        <v>0.184416866619846</v>
      </c>
      <c r="CW308" s="60" t="n">
        <f aca="false">$F$28*SUMPRODUCT($E$32:$P$32,BX308:CI308,$E$28:$P$28)</f>
        <v>0</v>
      </c>
      <c r="CX308" s="60" t="n">
        <f aca="false">$G$28*SUMPRODUCT($E$33:$P$33,BX308:CI308,$E$28:$P$28)</f>
        <v>0</v>
      </c>
      <c r="CY308" s="60" t="n">
        <f aca="false">$H$28*SUMPRODUCT($E$34:$P$34,BX308:CI308,$E$28:$P$28)</f>
        <v>0</v>
      </c>
      <c r="CZ308" s="60" t="n">
        <f aca="false">$I$28*SUMPRODUCT($E$35:$P$35,BX308:CI308,$E$28:$P$28)</f>
        <v>0</v>
      </c>
      <c r="DA308" s="60" t="n">
        <f aca="false">$J$28*SUMPRODUCT($E$36:$P$36,BX308:CI308,$E$28:$P$28)</f>
        <v>0</v>
      </c>
      <c r="DB308" s="60" t="n">
        <f aca="false">$K$28*SUMPRODUCT($E$37:$P$37,BX308:CI308,$E$28:$P$28)</f>
        <v>0</v>
      </c>
      <c r="DC308" s="60" t="n">
        <f aca="false">$L$28*SUMPRODUCT($E$38:$P$38,BX308:CI308,$E$28:$P$28)</f>
        <v>0</v>
      </c>
      <c r="DD308" s="60" t="n">
        <f aca="false">$M$28*SUMPRODUCT($E$39:$P$39,BX308:CI308,$E$28:$P$28)</f>
        <v>0</v>
      </c>
      <c r="DE308" s="60" t="n">
        <f aca="false">$N$28*SUMPRODUCT($E$40:$P$40,BX308:CI308,$E$28:$P$28)</f>
        <v>0</v>
      </c>
      <c r="DF308" s="60" t="n">
        <f aca="false">$O$28*SUMPRODUCT($E$41:$P$41,BX308:CI308,$E$28:$P$28)</f>
        <v>0</v>
      </c>
      <c r="DG308" s="60" t="n">
        <f aca="false">$P$28*SUMPRODUCT($E$42:$P$42,BX308:CI308,$E$28:$P$28)</f>
        <v>0</v>
      </c>
      <c r="DH308" s="60" t="n">
        <f aca="false">SUMPRODUCT(BX308:CI308,CV308:DG308)</f>
        <v>0.184416866619846</v>
      </c>
      <c r="DI308" s="60" t="n">
        <f aca="false">SUMPRODUCT(BX308:CI308,$E$27:$P$27)</f>
        <v>2.67389635063809E-005</v>
      </c>
      <c r="DJ308" s="60" t="n">
        <f aca="false">DH308*$C$9/($C$10*$C$8)^2</f>
        <v>0.21776909410545</v>
      </c>
      <c r="DK308" s="60" t="n">
        <f aca="false">DI308*$C$9/($C$10*$C$8)</f>
        <v>0.0918845243259994</v>
      </c>
      <c r="DL308" s="60" t="n">
        <f aca="false">CHOOSE($C$7,-(1+DK308),-1,-(1-DK308))</f>
        <v>-0.908115475674001</v>
      </c>
      <c r="DM308" s="60" t="n">
        <f aca="false">CHOOSE($C$7,DJ308,DJ308-DK308-DK308^2,DJ308-3*DK308^2-2*DK308)</f>
        <v>0.00867174802160559</v>
      </c>
      <c r="DN308" s="60" t="n">
        <f aca="false">CHOOSE($C$7,-DJ308*DK308,-DJ308*DK308,-(DJ308*DK308-DK308^2-DK308^3))</f>
        <v>-0.0107910842936637</v>
      </c>
      <c r="DO308" s="60" t="n">
        <f aca="false">DM308-DL308^2/3</f>
        <v>-0.266219491031267</v>
      </c>
      <c r="DP308" s="60" t="n">
        <f aca="false">2*DL308^3/27-DL308*DM308/3+DN308</f>
        <v>-0.0636400988362784</v>
      </c>
      <c r="DQ308" s="60" t="n">
        <f aca="false">DP308^2/4+DO308^3/27</f>
        <v>0.000313710901361829</v>
      </c>
      <c r="DR308" s="60" t="n">
        <f aca="false">-DP308/2-IF(DP308&gt;=0,1,-1)*SQRT(MAX(DQ308,0))</f>
        <v>0.0495319352963236</v>
      </c>
      <c r="DS308" s="60" t="n">
        <f aca="false">SIGN(DR308)*ABS(DR308)^(1/3)</f>
        <v>0.367249967174439</v>
      </c>
      <c r="DT308" s="60" t="n">
        <f aca="false">IF(DS308=0,0,DS308-DO308/(3*DS308))</f>
        <v>0.60888329127384</v>
      </c>
      <c r="DU308" s="60" t="n">
        <f aca="false">2*SQRT(MAX(-DO308,0)/3)</f>
        <v>0.595784626668918</v>
      </c>
      <c r="DV308" s="60" t="n">
        <f aca="false">ACOS(IF(DU308=0,0,MAX(-1,MIN(1,3*DP308/(DO308*DU308)))))</f>
        <v>0</v>
      </c>
      <c r="DW308" s="60" t="n">
        <f aca="false">DU308*COS(DV308/3)</f>
        <v>0.595784626668918</v>
      </c>
      <c r="DX308" s="60" t="n">
        <f aca="false">IF(DQ308&lt;0,DW308,DT308)-DL308/3</f>
        <v>0.91158844983184</v>
      </c>
      <c r="DY308" s="60" t="n">
        <f aca="false">IFERROR((((DX308+DL308)*DX308+DM308)*DX308+DN308)/((3*DX308+2*DL308)*DX308+DM308),0)</f>
        <v>0</v>
      </c>
      <c r="DZ308" s="60" t="n">
        <f aca="false">IF(ABS(DY308)&lt;0.1*ABS(DX308),DX308-DY308,DX308)</f>
        <v>0.91158844983184</v>
      </c>
      <c r="EA308" s="60" t="n">
        <f aca="false">IFERROR((((DZ308+DL308)*DZ308+DM308)*DZ308+DN308)/((3*DZ308+2*DL308)*DZ308+DM308),0)</f>
        <v>0</v>
      </c>
      <c r="EB308" s="60" t="n">
        <f aca="false">IF(ABS(EA308)&lt;0.1*ABS(DZ308),DZ308-EA308,DZ308)</f>
        <v>0.91158844983184</v>
      </c>
      <c r="EC308" s="60" t="n">
        <f aca="false">-DN308/EB308</f>
        <v>0.0118376711504565</v>
      </c>
      <c r="ED308" s="60" t="n">
        <f aca="false">(DM308-EC308)/EB308</f>
        <v>-0.00347297415783941</v>
      </c>
      <c r="EE308" s="60" t="n">
        <f aca="false">ED308^2-4*EC308</f>
        <v>-0.0473386230523248</v>
      </c>
      <c r="EF308" s="60" t="n">
        <f aca="false">IF(EE308&gt;=0,(ED308+IF(ED308&gt;=0,1,-1)*SQRT(EE308))/2,0)</f>
        <v>0</v>
      </c>
      <c r="EG308" s="60" t="n">
        <f aca="false">IF(AND(EE308&gt;=0,EF308&lt;&gt;0),MIN(EF308,EC308/EF308),-1)</f>
        <v>-1</v>
      </c>
      <c r="EH308" s="60" t="n">
        <f aca="false">AND(EE308&gt;=0,EG308&gt;DK308,ABS(EB308-EG308)&gt;=0.00005*MAX(EB308,EG308))</f>
        <v>0</v>
      </c>
      <c r="EI308" s="60" t="n">
        <f aca="false">IF(EH308,IFERROR((((EG308+DL308)*EG308+DM308)*EG308+DN308)/((3*EG308+2*DL308)*EG308+DM308),0),0)</f>
        <v>0</v>
      </c>
      <c r="EJ308" s="60" t="n">
        <f aca="false">IF(ABS(EI308)&lt;0.1*ABS(EG308),EG308-EI308,EG308)</f>
        <v>-1</v>
      </c>
      <c r="EK308" s="60" t="n">
        <f aca="false">IF(EH308,IFERROR((((EJ308+DL308)*EJ308+DM308)*EJ308+DN308)/((3*EJ308+2*DL308)*EJ308+DM308),0),0)</f>
        <v>0</v>
      </c>
      <c r="EL308" s="60" t="n">
        <f aca="false">IF(ABS(EK308)&lt;0.1*ABS(EJ308),EJ308-EK308,EJ308)</f>
        <v>-1</v>
      </c>
      <c r="EM308" s="60" t="n">
        <f aca="false">IF(EH308,MAX(EB308,EL308),EB308)</f>
        <v>0.91158844983184</v>
      </c>
      <c r="EN308" s="60" t="n">
        <f aca="false">IF(EH308,MIN(EB308,EL308),-1)</f>
        <v>-1</v>
      </c>
      <c r="EO308" s="60" t="n">
        <f aca="false">CHOOSE($C$7,DJ308/EM308,DJ308/DK308*LN(1+DK308/EM308),DJ308/(2*SQRT(2)*DK308)*LN((EM308+(1+SQRT(2))*DK308)/(EM308+(1-SQRT(2))*DK308)))</f>
        <v>0.218240791233887</v>
      </c>
      <c r="EP308" s="60" t="n">
        <f aca="false">EM308-1-LN(EM308-DK308)-EO308</f>
        <v>-0.107840271021729</v>
      </c>
      <c r="EQ308" s="60" t="n">
        <f aca="false">IF(EH308,CHOOSE($C$7,DJ308/EN308,DJ308/DK308*LN(1+DK308/EN308),DJ308/(2*SQRT(2)*DK308)*LN((EN308+(1+SQRT(2))*DK308)/(EN308+(1-SQRT(2))*DK308))),0)</f>
        <v>0</v>
      </c>
      <c r="ER308" s="60" t="n">
        <f aca="false">IF(EH308,EN308-1-LN(EN308-DK308)-EQ308,0)</f>
        <v>0</v>
      </c>
      <c r="ES308" s="60" t="n">
        <f aca="false">AND(EH308,ER308&lt;EP308)</f>
        <v>0</v>
      </c>
      <c r="ET308" s="60" t="n">
        <f aca="false">IF(ES308,EN308,EM308)</f>
        <v>0.91158844983184</v>
      </c>
      <c r="EU308" s="60" t="n">
        <f aca="false">IF(ES308,EQ308,EO308)</f>
        <v>0.218240791233887</v>
      </c>
      <c r="EV308" s="60" t="n">
        <f aca="false">LN(ET308-DK308)</f>
        <v>-0.198812070380318</v>
      </c>
      <c r="EW308" s="60" t="n">
        <f aca="false">$E$27/DI308*(ET308-1)-EV308-EU308*(2*CV308/DH308-$E$27/DI308)</f>
        <v>-0.107840271021729</v>
      </c>
      <c r="EX308" s="60" t="n">
        <f aca="false">$F$27/DI308*(ET308-1)-EV308-EU308*(2*CW308/DH308-$F$27/DI308)</f>
        <v>0.198812070380318</v>
      </c>
      <c r="EY308" s="60" t="n">
        <f aca="false">$G$27/DI308*(ET308-1)-EV308-EU308*(2*CX308/DH308-$G$27/DI308)</f>
        <v>0.198812070380318</v>
      </c>
      <c r="EZ308" s="60" t="n">
        <f aca="false">$H$27/DI308*(ET308-1)-EV308-EU308*(2*CY308/DH308-$H$27/DI308)</f>
        <v>0.198812070380318</v>
      </c>
      <c r="FA308" s="60" t="n">
        <f aca="false">$I$27/DI308*(ET308-1)-EV308-EU308*(2*CZ308/DH308-$I$27/DI308)</f>
        <v>0.198812070380318</v>
      </c>
      <c r="FB308" s="60" t="n">
        <f aca="false">$J$27/DI308*(ET308-1)-EV308-EU308*(2*DA308/DH308-$J$27/DI308)</f>
        <v>0.198812070380318</v>
      </c>
      <c r="FC308" s="60" t="n">
        <f aca="false">$K$27/DI308*(ET308-1)-EV308-EU308*(2*DB308/DH308-$K$27/DI308)</f>
        <v>0.198812070380318</v>
      </c>
      <c r="FD308" s="60" t="n">
        <f aca="false">$L$27/DI308*(ET308-1)-EV308-EU308*(2*DC308/DH308-$L$27/DI308)</f>
        <v>0.198812070380318</v>
      </c>
      <c r="FE308" s="60" t="n">
        <f aca="false">$M$27/DI308*(ET308-1)-EV308-EU308*(2*DD308/DH308-$M$27/DI308)</f>
        <v>0.198812070380318</v>
      </c>
      <c r="FF308" s="60" t="n">
        <f aca="false">$N$27/DI308*(ET308-1)-EV308-EU308*(2*DE308/DH308-$N$27/DI308)</f>
        <v>0.198812070380318</v>
      </c>
      <c r="FG308" s="60" t="n">
        <f aca="false">$O$27/DI308*(ET308-1)-EV308-EU308*(2*DF308/DH308-$O$27/DI308)</f>
        <v>0.198812070380318</v>
      </c>
      <c r="FH308" s="60" t="n">
        <f aca="false">$P$27/DI308*(ET308-1)-EV308-EU308*(2*DG308/DH308-$P$27/DI308)</f>
        <v>0.198812070380318</v>
      </c>
      <c r="FI308" s="60" t="n">
        <f aca="false">DK308/ET308&gt;$C$22</f>
        <v>0</v>
      </c>
      <c r="FJ308" s="60" t="n">
        <f aca="false">$E$28*SUMPRODUCT($E$31:$P$31,CJ308:CU308,$E$28:$P$28)</f>
        <v>0.184416866619846</v>
      </c>
      <c r="FK308" s="60" t="n">
        <f aca="false">$F$28*SUMPRODUCT($E$32:$P$32,CJ308:CU308,$E$28:$P$28)</f>
        <v>0</v>
      </c>
      <c r="FL308" s="60" t="n">
        <f aca="false">$G$28*SUMPRODUCT($E$33:$P$33,CJ308:CU308,$E$28:$P$28)</f>
        <v>0</v>
      </c>
      <c r="FM308" s="60" t="n">
        <f aca="false">$H$28*SUMPRODUCT($E$34:$P$34,CJ308:CU308,$E$28:$P$28)</f>
        <v>0</v>
      </c>
      <c r="FN308" s="60" t="n">
        <f aca="false">$I$28*SUMPRODUCT($E$35:$P$35,CJ308:CU308,$E$28:$P$28)</f>
        <v>0</v>
      </c>
      <c r="FO308" s="60" t="n">
        <f aca="false">$J$28*SUMPRODUCT($E$36:$P$36,CJ308:CU308,$E$28:$P$28)</f>
        <v>0</v>
      </c>
      <c r="FP308" s="60" t="n">
        <f aca="false">$K$28*SUMPRODUCT($E$37:$P$37,CJ308:CU308,$E$28:$P$28)</f>
        <v>0</v>
      </c>
      <c r="FQ308" s="60" t="n">
        <f aca="false">$L$28*SUMPRODUCT($E$38:$P$38,CJ308:CU308,$E$28:$P$28)</f>
        <v>0</v>
      </c>
      <c r="FR308" s="60" t="n">
        <f aca="false">$M$28*SUMPRODUCT($E$39:$P$39,CJ308:CU308,$E$28:$P$28)</f>
        <v>0</v>
      </c>
      <c r="FS308" s="60" t="n">
        <f aca="false">$N$28*SUMPRODUCT($E$40:$P$40,CJ308:CU308,$E$28:$P$28)</f>
        <v>0</v>
      </c>
      <c r="FT308" s="60" t="n">
        <f aca="false">$O$28*SUMPRODUCT($E$41:$P$41,CJ308:CU308,$E$28:$P$28)</f>
        <v>0</v>
      </c>
      <c r="FU308" s="60" t="n">
        <f aca="false">$P$28*SUMPRODUCT($E$42:$P$42,CJ308:CU308,$E$28:$P$28)</f>
        <v>0</v>
      </c>
      <c r="FV308" s="60" t="n">
        <f aca="false">SUMPRODUCT(CJ308:CU308,FJ308:FU308)</f>
        <v>0.184416866619846</v>
      </c>
      <c r="FW308" s="60" t="n">
        <f aca="false">SUMPRODUCT(CJ308:CU308,$E$27:$P$27)</f>
        <v>2.67389635063809E-005</v>
      </c>
      <c r="FX308" s="60" t="n">
        <f aca="false">FV308*$C$9/($C$10*$C$8)^2</f>
        <v>0.21776909410545</v>
      </c>
      <c r="FY308" s="60" t="n">
        <f aca="false">FW308*$C$9/($C$10*$C$8)</f>
        <v>0.0918845243259994</v>
      </c>
      <c r="FZ308" s="60" t="n">
        <f aca="false">CHOOSE($C$7,-(1+FY308),-1,-(1-FY308))</f>
        <v>-0.908115475674001</v>
      </c>
      <c r="GA308" s="60" t="n">
        <f aca="false">CHOOSE($C$7,FX308,FX308-FY308-FY308^2,FX308-3*FY308^2-2*FY308)</f>
        <v>0.00867174802160559</v>
      </c>
      <c r="GB308" s="60" t="n">
        <f aca="false">CHOOSE($C$7,-FX308*FY308,-FX308*FY308,-(FX308*FY308-FY308^2-FY308^3))</f>
        <v>-0.0107910842936637</v>
      </c>
      <c r="GC308" s="60" t="n">
        <f aca="false">GA308-FZ308^2/3</f>
        <v>-0.266219491031267</v>
      </c>
      <c r="GD308" s="60" t="n">
        <f aca="false">2*FZ308^3/27-FZ308*GA308/3+GB308</f>
        <v>-0.0636400988362784</v>
      </c>
      <c r="GE308" s="60" t="n">
        <f aca="false">GD308^2/4+GC308^3/27</f>
        <v>0.000313710901361829</v>
      </c>
      <c r="GF308" s="60" t="n">
        <f aca="false">-GD308/2-IF(GD308&gt;=0,1,-1)*SQRT(MAX(GE308,0))</f>
        <v>0.0495319352963236</v>
      </c>
      <c r="GG308" s="60" t="n">
        <f aca="false">SIGN(GF308)*ABS(GF308)^(1/3)</f>
        <v>0.367249967174439</v>
      </c>
      <c r="GH308" s="60" t="n">
        <f aca="false">IF(GG308=0,0,GG308-GC308/(3*GG308))</f>
        <v>0.60888329127384</v>
      </c>
      <c r="GI308" s="60" t="n">
        <f aca="false">2*SQRT(MAX(-GC308,0)/3)</f>
        <v>0.595784626668918</v>
      </c>
      <c r="GJ308" s="60" t="n">
        <f aca="false">ACOS(IF(GI308=0,0,MAX(-1,MIN(1,3*GD308/(GC308*GI308)))))</f>
        <v>0</v>
      </c>
      <c r="GK308" s="60" t="n">
        <f aca="false">GI308*COS(GJ308/3)</f>
        <v>0.595784626668918</v>
      </c>
      <c r="GL308" s="60" t="n">
        <f aca="false">IF(GE308&lt;0,GK308,GH308)-FZ308/3</f>
        <v>0.91158844983184</v>
      </c>
      <c r="GM308" s="60" t="n">
        <f aca="false">IFERROR((((GL308+FZ308)*GL308+GA308)*GL308+GB308)/((3*GL308+2*FZ308)*GL308+GA308),0)</f>
        <v>0</v>
      </c>
      <c r="GN308" s="60" t="n">
        <f aca="false">IF(ABS(GM308)&lt;0.1*ABS(GL308),GL308-GM308,GL308)</f>
        <v>0.91158844983184</v>
      </c>
      <c r="GO308" s="60" t="n">
        <f aca="false">IFERROR((((GN308+FZ308)*GN308+GA308)*GN308+GB308)/((3*GN308+2*FZ308)*GN308+GA308),0)</f>
        <v>0</v>
      </c>
      <c r="GP308" s="60" t="n">
        <f aca="false">IF(ABS(GO308)&lt;0.1*ABS(GN308),GN308-GO308,GN308)</f>
        <v>0.91158844983184</v>
      </c>
      <c r="GQ308" s="60" t="n">
        <f aca="false">-GB308/GP308</f>
        <v>0.0118376711504565</v>
      </c>
      <c r="GR308" s="60" t="n">
        <f aca="false">(GA308-GQ308)/GP308</f>
        <v>-0.00347297415783941</v>
      </c>
      <c r="GS308" s="60" t="n">
        <f aca="false">GR308^2-4*GQ308</f>
        <v>-0.0473386230523248</v>
      </c>
      <c r="GT308" s="60" t="n">
        <f aca="false">IF(GS308&gt;=0,(GR308+IF(GR308&gt;=0,1,-1)*SQRT(GS308))/2,0)</f>
        <v>0</v>
      </c>
      <c r="GU308" s="60" t="n">
        <f aca="false">IF(AND(GS308&gt;=0,GT308&lt;&gt;0),MIN(GT308,GQ308/GT308),-1)</f>
        <v>-1</v>
      </c>
      <c r="GV308" s="60" t="n">
        <f aca="false">AND(GS308&gt;=0,GU308&gt;FY308,ABS(GP308-GU308)&gt;=0.00005*MAX(GP308,GU308))</f>
        <v>0</v>
      </c>
      <c r="GW308" s="60" t="n">
        <f aca="false">IF(GV308,IFERROR((((GU308+FZ308)*GU308+GA308)*GU308+GB308)/((3*GU308+2*FZ308)*GU308+GA308),0),0)</f>
        <v>0</v>
      </c>
      <c r="GX308" s="60" t="n">
        <f aca="false">IF(ABS(GW308)&lt;0.1*ABS(GU308),GU308-GW308,GU308)</f>
        <v>-1</v>
      </c>
      <c r="GY308" s="60" t="n">
        <f aca="false">IF(GV308,IFERROR((((GX308+FZ308)*GX308+GA308)*GX308+GB308)/((3*GX308+2*FZ308)*GX308+GA308),0),0)</f>
        <v>0</v>
      </c>
      <c r="GZ308" s="60" t="n">
        <f aca="false">IF(ABS(GY308)&lt;0.1*ABS(GX308),GX308-GY308,GX308)</f>
        <v>-1</v>
      </c>
      <c r="HA308" s="60" t="n">
        <f aca="false">IF(GV308,MAX(GP308,GZ308),GP308)</f>
        <v>0.91158844983184</v>
      </c>
      <c r="HB308" s="60" t="n">
        <f aca="false">IF(GV308,MIN(GP308,GZ308),-1)</f>
        <v>-1</v>
      </c>
      <c r="HC308" s="60" t="n">
        <f aca="false">CHOOSE($C$7,FX308/HA308,FX308/FY308*LN(1+FY308/HA308),FX308/(2*SQRT(2)*FY308)*LN((HA308+(1+SQRT(2))*FY308)/(HA308+(1-SQRT(2))*FY308)))</f>
        <v>0.218240791233887</v>
      </c>
      <c r="HD308" s="60" t="n">
        <f aca="false">HA308-1-LN(HA308-FY308)-HC308</f>
        <v>-0.107840271021729</v>
      </c>
      <c r="HE308" s="60" t="n">
        <f aca="false">IF(GV308,CHOOSE($C$7,FX308/HB308,FX308/FY308*LN(1+FY308/HB308),FX308/(2*SQRT(2)*FY308)*LN((HB308+(1+SQRT(2))*FY308)/(HB308+(1-SQRT(2))*FY308))),0)</f>
        <v>0</v>
      </c>
      <c r="HF308" s="60" t="n">
        <f aca="false">IF(GV308,HB308-1-LN(HB308-FY308)-HE308,0)</f>
        <v>0</v>
      </c>
      <c r="HG308" s="60" t="n">
        <f aca="false">AND(GV308,HF308&lt;HD308)</f>
        <v>0</v>
      </c>
      <c r="HH308" s="60" t="n">
        <f aca="false">IF(HG308,HB308,HA308)</f>
        <v>0.91158844983184</v>
      </c>
      <c r="HI308" s="60" t="n">
        <f aca="false">IF(HG308,HE308,HC308)</f>
        <v>0.218240791233887</v>
      </c>
      <c r="HJ308" s="60" t="n">
        <f aca="false">LN(HH308-FY308)</f>
        <v>-0.198812070380318</v>
      </c>
      <c r="HK308" s="60" t="n">
        <f aca="false">$E$27/FW308*(HH308-1)-HJ308-HI308*(2*FJ308/FV308-$E$27/FW308)</f>
        <v>-0.107840271021729</v>
      </c>
      <c r="HL308" s="60" t="n">
        <f aca="false">$F$27/FW308*(HH308-1)-HJ308-HI308*(2*FK308/FV308-$F$27/FW308)</f>
        <v>0.198812070380318</v>
      </c>
      <c r="HM308" s="60" t="n">
        <f aca="false">$G$27/FW308*(HH308-1)-HJ308-HI308*(2*FL308/FV308-$G$27/FW308)</f>
        <v>0.198812070380318</v>
      </c>
      <c r="HN308" s="60" t="n">
        <f aca="false">$H$27/FW308*(HH308-1)-HJ308-HI308*(2*FM308/FV308-$H$27/FW308)</f>
        <v>0.198812070380318</v>
      </c>
      <c r="HO308" s="60" t="n">
        <f aca="false">$I$27/FW308*(HH308-1)-HJ308-HI308*(2*FN308/FV308-$I$27/FW308)</f>
        <v>0.198812070380318</v>
      </c>
      <c r="HP308" s="60" t="n">
        <f aca="false">$J$27/FW308*(HH308-1)-HJ308-HI308*(2*FO308/FV308-$J$27/FW308)</f>
        <v>0.198812070380318</v>
      </c>
      <c r="HQ308" s="60" t="n">
        <f aca="false">$K$27/FW308*(HH308-1)-HJ308-HI308*(2*FP308/FV308-$K$27/FW308)</f>
        <v>0.198812070380318</v>
      </c>
      <c r="HR308" s="60" t="n">
        <f aca="false">$L$27/FW308*(HH308-1)-HJ308-HI308*(2*FQ308/FV308-$L$27/FW308)</f>
        <v>0.198812070380318</v>
      </c>
      <c r="HS308" s="60" t="n">
        <f aca="false">$M$27/FW308*(HH308-1)-HJ308-HI308*(2*FR308/FV308-$M$27/FW308)</f>
        <v>0.198812070380318</v>
      </c>
      <c r="HT308" s="60" t="n">
        <f aca="false">$N$27/FW308*(HH308-1)-HJ308-HI308*(2*FS308/FV308-$N$27/FW308)</f>
        <v>0.198812070380318</v>
      </c>
      <c r="HU308" s="60" t="n">
        <f aca="false">$O$27/FW308*(HH308-1)-HJ308-HI308*(2*FT308/FV308-$O$27/FW308)</f>
        <v>0.198812070380318</v>
      </c>
      <c r="HV308" s="60" t="n">
        <f aca="false">$P$27/FW308*(HH308-1)-HJ308-HI308*(2*FU308/FV308-$P$27/FW308)</f>
        <v>0.198812070380318</v>
      </c>
      <c r="HW308" s="60" t="n">
        <f aca="false">FY308/HH308&gt;$C$22</f>
        <v>0</v>
      </c>
      <c r="HX308" s="60" t="n">
        <f aca="false">IF($E$13&gt;0,MAX(-300,MIN(300,EW308-HK308)),0)</f>
        <v>0</v>
      </c>
      <c r="HY308" s="60" t="n">
        <f aca="false">IF($F$13&gt;0,MAX(-300,MIN(300,EX308-HL308)),0)</f>
        <v>0</v>
      </c>
      <c r="HZ308" s="60" t="n">
        <f aca="false">IF($G$13&gt;0,MAX(-300,MIN(300,EY308-HM308)),0)</f>
        <v>0</v>
      </c>
      <c r="IA308" s="60" t="n">
        <f aca="false">IF($H$13&gt;0,MAX(-300,MIN(300,EZ308-HN308)),0)</f>
        <v>0</v>
      </c>
      <c r="IB308" s="60" t="n">
        <f aca="false">IF($I$13&gt;0,MAX(-300,MIN(300,FA308-HO308)),0)</f>
        <v>0</v>
      </c>
      <c r="IC308" s="60" t="n">
        <f aca="false">IF($J$13&gt;0,MAX(-300,MIN(300,FB308-HP308)),0)</f>
        <v>0</v>
      </c>
      <c r="ID308" s="60" t="n">
        <f aca="false">IF($K$13&gt;0,MAX(-300,MIN(300,FC308-HQ308)),0)</f>
        <v>0</v>
      </c>
      <c r="IE308" s="60" t="n">
        <f aca="false">IF($L$13&gt;0,MAX(-300,MIN(300,FD308-HR308)),0)</f>
        <v>0</v>
      </c>
      <c r="IF308" s="60" t="n">
        <f aca="false">IF($M$13&gt;0,MAX(-300,MIN(300,FE308-HS308)),0)</f>
        <v>0</v>
      </c>
      <c r="IG308" s="60" t="n">
        <f aca="false">IF($N$13&gt;0,MAX(-300,MIN(300,FF308-HT308)),0)</f>
        <v>0</v>
      </c>
      <c r="IH308" s="60" t="n">
        <f aca="false">IF($O$13&gt;0,MAX(-300,MIN(300,FG308-HU308)),0)</f>
        <v>0</v>
      </c>
      <c r="II308" s="60" t="n">
        <f aca="false">IF($P$13&gt;0,MAX(-300,MIN(300,FH308-HV308)),0)</f>
        <v>0</v>
      </c>
      <c r="IJ308" s="60" t="n">
        <f aca="false">SUMXMY2(HX308:II308,B308:M308)</f>
        <v>0</v>
      </c>
      <c r="IK308" s="60" t="n">
        <f aca="false">SUMSQ(B308:M308)</f>
        <v>0</v>
      </c>
    </row>
    <row r="309" customFormat="false" ht="15" hidden="false" customHeight="false" outlineLevel="0" collapsed="false">
      <c r="A309" s="59" t="n">
        <v>12</v>
      </c>
      <c r="B309" s="60" t="n">
        <f aca="false">HX308</f>
        <v>0</v>
      </c>
      <c r="C309" s="60" t="n">
        <f aca="false">HY308</f>
        <v>0</v>
      </c>
      <c r="D309" s="60" t="n">
        <f aca="false">HZ308</f>
        <v>0</v>
      </c>
      <c r="E309" s="60" t="n">
        <f aca="false">IA308</f>
        <v>0</v>
      </c>
      <c r="F309" s="60" t="n">
        <f aca="false">IB308</f>
        <v>0</v>
      </c>
      <c r="G309" s="60" t="n">
        <f aca="false">IC308</f>
        <v>0</v>
      </c>
      <c r="H309" s="60" t="n">
        <f aca="false">ID308</f>
        <v>0</v>
      </c>
      <c r="I309" s="60" t="n">
        <f aca="false">IE308</f>
        <v>0</v>
      </c>
      <c r="J309" s="60" t="n">
        <f aca="false">IF308</f>
        <v>0</v>
      </c>
      <c r="K309" s="60" t="n">
        <f aca="false">IG308</f>
        <v>0</v>
      </c>
      <c r="L309" s="60" t="n">
        <f aca="false">IH308</f>
        <v>0</v>
      </c>
      <c r="M309" s="60" t="n">
        <f aca="false">II308</f>
        <v>0</v>
      </c>
      <c r="N309" s="60" t="n">
        <f aca="false">EXP(B309)</f>
        <v>1</v>
      </c>
      <c r="O309" s="60" t="n">
        <f aca="false">EXP(C309)</f>
        <v>1</v>
      </c>
      <c r="P309" s="60" t="n">
        <f aca="false">EXP(D309)</f>
        <v>1</v>
      </c>
      <c r="Q309" s="60" t="n">
        <f aca="false">EXP(E309)</f>
        <v>1</v>
      </c>
      <c r="R309" s="60" t="n">
        <f aca="false">EXP(F309)</f>
        <v>1</v>
      </c>
      <c r="S309" s="60" t="n">
        <f aca="false">EXP(G309)</f>
        <v>1</v>
      </c>
      <c r="T309" s="60" t="n">
        <f aca="false">EXP(H309)</f>
        <v>1</v>
      </c>
      <c r="U309" s="60" t="n">
        <f aca="false">EXP(I309)</f>
        <v>1</v>
      </c>
      <c r="V309" s="60" t="n">
        <f aca="false">EXP(J309)</f>
        <v>1</v>
      </c>
      <c r="W309" s="60" t="n">
        <f aca="false">EXP(K309)</f>
        <v>1</v>
      </c>
      <c r="X309" s="60" t="n">
        <f aca="false">EXP(L309)</f>
        <v>1</v>
      </c>
      <c r="Y309" s="60" t="n">
        <f aca="false">EXP(M309)</f>
        <v>1</v>
      </c>
      <c r="Z309" s="60" t="n">
        <f aca="false">MAX(N309:Y309)</f>
        <v>1</v>
      </c>
      <c r="AA309" s="60" t="n">
        <f aca="false">MIN(N309:Y309)</f>
        <v>1</v>
      </c>
      <c r="AB309" s="60" t="n">
        <f aca="false">AND(Z309&gt;1,AA309&lt;1)</f>
        <v>0</v>
      </c>
      <c r="AC309" s="60" t="n">
        <f aca="false">IF(AB309,1/(1-Z309),0)</f>
        <v>0</v>
      </c>
      <c r="AD309" s="60" t="n">
        <f aca="false">IF(AB309,1/(1-AA309),1)</f>
        <v>1</v>
      </c>
      <c r="AE309" s="60" t="n">
        <f aca="false">IF(AB309,MIN(MAX(BI308,AC309+0.000000001*(AD309-AC309)),AD309-0.000000001*(AD309-AC309)),IF(AA309&gt;=1,1,0))</f>
        <v>1</v>
      </c>
      <c r="AF309" s="60" t="n">
        <f aca="false">SUMPRODUCT($E$13:$P$13*(N309:Y309-1)/(1+AE309*(N309:Y309-1)))</f>
        <v>0</v>
      </c>
      <c r="AG309" s="60" t="n">
        <f aca="false">-SUMPRODUCT($E$13:$P$13*(N309:Y309-1)^2/(1+AE309*(N309:Y309-1))^2)</f>
        <v>-0</v>
      </c>
      <c r="AH309" s="60" t="n">
        <f aca="false">IF(OR(NOT(AB309),AG309=0),AE309,IF(AE309-AF309/AG309&lt;=AC309,(AE309+AC309)/2,IF(AE309-AF309/AG309&gt;=AD309,(AE309+AD309)/2,AE309-AF309/AG309)))</f>
        <v>1</v>
      </c>
      <c r="AI309" s="60" t="n">
        <f aca="false">SUMPRODUCT($E$13:$P$13*(N309:Y309-1)/(1+AH309*(N309:Y309-1)))</f>
        <v>0</v>
      </c>
      <c r="AJ309" s="60" t="n">
        <f aca="false">-SUMPRODUCT($E$13:$P$13*(N309:Y309-1)^2/(1+AH309*(N309:Y309-1))^2)</f>
        <v>-0</v>
      </c>
      <c r="AK309" s="60" t="n">
        <f aca="false">IF(OR(NOT(AB309),AJ309=0),AH309,IF(AH309-AI309/AJ309&lt;=AC309,(AH309+AC309)/2,IF(AH309-AI309/AJ309&gt;=AD309,(AH309+AD309)/2,AH309-AI309/AJ309)))</f>
        <v>1</v>
      </c>
      <c r="AL309" s="60" t="n">
        <f aca="false">SUMPRODUCT($E$13:$P$13*(N309:Y309-1)/(1+AK309*(N309:Y309-1)))</f>
        <v>0</v>
      </c>
      <c r="AM309" s="60" t="n">
        <f aca="false">-SUMPRODUCT($E$13:$P$13*(N309:Y309-1)^2/(1+AK309*(N309:Y309-1))^2)</f>
        <v>-0</v>
      </c>
      <c r="AN309" s="60" t="n">
        <f aca="false">IF(OR(NOT(AB309),AM309=0),AK309,IF(AK309-AL309/AM309&lt;=AC309,(AK309+AC309)/2,IF(AK309-AL309/AM309&gt;=AD309,(AK309+AD309)/2,AK309-AL309/AM309)))</f>
        <v>1</v>
      </c>
      <c r="AO309" s="60" t="n">
        <f aca="false">SUMPRODUCT($E$13:$P$13*(N309:Y309-1)/(1+AN309*(N309:Y309-1)))</f>
        <v>0</v>
      </c>
      <c r="AP309" s="60" t="n">
        <f aca="false">-SUMPRODUCT($E$13:$P$13*(N309:Y309-1)^2/(1+AN309*(N309:Y309-1))^2)</f>
        <v>-0</v>
      </c>
      <c r="AQ309" s="60" t="n">
        <f aca="false">IF(OR(NOT(AB309),AP309=0),AN309,IF(AN309-AO309/AP309&lt;=AC309,(AN309+AC309)/2,IF(AN309-AO309/AP309&gt;=AD309,(AN309+AD309)/2,AN309-AO309/AP309)))</f>
        <v>1</v>
      </c>
      <c r="AR309" s="60" t="n">
        <f aca="false">SUMPRODUCT($E$13:$P$13*(N309:Y309-1)/(1+AQ309*(N309:Y309-1)))</f>
        <v>0</v>
      </c>
      <c r="AS309" s="60" t="n">
        <f aca="false">-SUMPRODUCT($E$13:$P$13*(N309:Y309-1)^2/(1+AQ309*(N309:Y309-1))^2)</f>
        <v>-0</v>
      </c>
      <c r="AT309" s="60" t="n">
        <f aca="false">IF(OR(NOT(AB309),AS309=0),AQ309,IF(AQ309-AR309/AS309&lt;=AC309,(AQ309+AC309)/2,IF(AQ309-AR309/AS309&gt;=AD309,(AQ309+AD309)/2,AQ309-AR309/AS309)))</f>
        <v>1</v>
      </c>
      <c r="AU309" s="60" t="n">
        <f aca="false">SUMPRODUCT($E$13:$P$13*(N309:Y309-1)/(1+AT309*(N309:Y309-1)))</f>
        <v>0</v>
      </c>
      <c r="AV309" s="60" t="n">
        <f aca="false">-SUMPRODUCT($E$13:$P$13*(N309:Y309-1)^2/(1+AT309*(N309:Y309-1))^2)</f>
        <v>-0</v>
      </c>
      <c r="AW309" s="60" t="n">
        <f aca="false">IF(OR(NOT(AB309),AV309=0),AT309,IF(AT309-AU309/AV309&lt;=AC309,(AT309+AC309)/2,IF(AT309-AU309/AV309&gt;=AD309,(AT309+AD309)/2,AT309-AU309/AV309)))</f>
        <v>1</v>
      </c>
      <c r="AX309" s="60" t="n">
        <f aca="false">SUMPRODUCT($E$13:$P$13*(N309:Y309-1)/(1+AW309*(N309:Y309-1)))</f>
        <v>0</v>
      </c>
      <c r="AY309" s="60" t="n">
        <f aca="false">-SUMPRODUCT($E$13:$P$13*(N309:Y309-1)^2/(1+AW309*(N309:Y309-1))^2)</f>
        <v>-0</v>
      </c>
      <c r="AZ309" s="60" t="n">
        <f aca="false">IF(OR(NOT(AB309),AY309=0),AW309,IF(AW309-AX309/AY309&lt;=AC309,(AW309+AC309)/2,IF(AW309-AX309/AY309&gt;=AD309,(AW309+AD309)/2,AW309-AX309/AY309)))</f>
        <v>1</v>
      </c>
      <c r="BA309" s="60" t="n">
        <f aca="false">SUMPRODUCT($E$13:$P$13*(N309:Y309-1)/(1+AZ309*(N309:Y309-1)))</f>
        <v>0</v>
      </c>
      <c r="BB309" s="60" t="n">
        <f aca="false">-SUMPRODUCT($E$13:$P$13*(N309:Y309-1)^2/(1+AZ309*(N309:Y309-1))^2)</f>
        <v>-0</v>
      </c>
      <c r="BC309" s="60" t="n">
        <f aca="false">IF(OR(NOT(AB309),BB309=0),AZ309,IF(AZ309-BA309/BB309&lt;=AC309,(AZ309+AC309)/2,IF(AZ309-BA309/BB309&gt;=AD309,(AZ309+AD309)/2,AZ309-BA309/BB309)))</f>
        <v>1</v>
      </c>
      <c r="BD309" s="60" t="n">
        <f aca="false">SUMPRODUCT($E$13:$P$13*(N309:Y309-1)/(1+BC309*(N309:Y309-1)))</f>
        <v>0</v>
      </c>
      <c r="BE309" s="60" t="n">
        <f aca="false">-SUMPRODUCT($E$13:$P$13*(N309:Y309-1)^2/(1+BC309*(N309:Y309-1))^2)</f>
        <v>-0</v>
      </c>
      <c r="BF309" s="60" t="n">
        <f aca="false">IF(OR(NOT(AB309),BE309=0),BC309,IF(BC309-BD309/BE309&lt;=AC309,(BC309+AC309)/2,IF(BC309-BD309/BE309&gt;=AD309,(BC309+AD309)/2,BC309-BD309/BE309)))</f>
        <v>1</v>
      </c>
      <c r="BG309" s="60" t="n">
        <f aca="false">SUMPRODUCT($E$13:$P$13*(N309:Y309-1)/(1+BF309*(N309:Y309-1)))</f>
        <v>0</v>
      </c>
      <c r="BH309" s="60" t="n">
        <f aca="false">-SUMPRODUCT($E$13:$P$13*(N309:Y309-1)^2/(1+BF309*(N309:Y309-1))^2)</f>
        <v>-0</v>
      </c>
      <c r="BI309" s="60" t="n">
        <f aca="false">IF(OR(NOT(AB309),BH309=0),BF309,IF(BF309-BG309/BH309&lt;=AC309,(BF309+AC309)/2,IF(BF309-BG309/BH309&gt;=AD309,(BF309+AD309)/2,BF309-BG309/BH309)))</f>
        <v>1</v>
      </c>
      <c r="BJ309" s="60" t="n">
        <f aca="false">$E$13/(1+BI309*(N309-1))</f>
        <v>1</v>
      </c>
      <c r="BK309" s="60" t="n">
        <f aca="false">$F$13/(1+BI309*(O309-1))</f>
        <v>0</v>
      </c>
      <c r="BL309" s="60" t="n">
        <f aca="false">$G$13/(1+BI309*(P309-1))</f>
        <v>0</v>
      </c>
      <c r="BM309" s="60" t="n">
        <f aca="false">$H$13/(1+BI309*(Q309-1))</f>
        <v>0</v>
      </c>
      <c r="BN309" s="60" t="n">
        <f aca="false">$I$13/(1+BI309*(R309-1))</f>
        <v>0</v>
      </c>
      <c r="BO309" s="60" t="n">
        <f aca="false">$J$13/(1+BI309*(S309-1))</f>
        <v>0</v>
      </c>
      <c r="BP309" s="60" t="n">
        <f aca="false">$K$13/(1+BI309*(T309-1))</f>
        <v>0</v>
      </c>
      <c r="BQ309" s="60" t="n">
        <f aca="false">$L$13/(1+BI309*(U309-1))</f>
        <v>0</v>
      </c>
      <c r="BR309" s="60" t="n">
        <f aca="false">$M$13/(1+BI309*(V309-1))</f>
        <v>0</v>
      </c>
      <c r="BS309" s="60" t="n">
        <f aca="false">$N$13/(1+BI309*(W309-1))</f>
        <v>0</v>
      </c>
      <c r="BT309" s="60" t="n">
        <f aca="false">$O$13/(1+BI309*(X309-1))</f>
        <v>0</v>
      </c>
      <c r="BU309" s="60" t="n">
        <f aca="false">$P$13/(1+BI309*(Y309-1))</f>
        <v>0</v>
      </c>
      <c r="BV309" s="60" t="n">
        <f aca="false">SUM(BJ309:BU309)</f>
        <v>1</v>
      </c>
      <c r="BW309" s="60" t="n">
        <f aca="false">SUMPRODUCT(N309:Y309,BJ309:BU309)</f>
        <v>1</v>
      </c>
      <c r="BX309" s="60" t="n">
        <f aca="false">BJ309/BV309</f>
        <v>1</v>
      </c>
      <c r="BY309" s="60" t="n">
        <f aca="false">BK309/BV309</f>
        <v>0</v>
      </c>
      <c r="BZ309" s="60" t="n">
        <f aca="false">BL309/BV309</f>
        <v>0</v>
      </c>
      <c r="CA309" s="60" t="n">
        <f aca="false">BM309/BV309</f>
        <v>0</v>
      </c>
      <c r="CB309" s="60" t="n">
        <f aca="false">BN309/BV309</f>
        <v>0</v>
      </c>
      <c r="CC309" s="60" t="n">
        <f aca="false">BO309/BV309</f>
        <v>0</v>
      </c>
      <c r="CD309" s="60" t="n">
        <f aca="false">BP309/BV309</f>
        <v>0</v>
      </c>
      <c r="CE309" s="60" t="n">
        <f aca="false">BQ309/BV309</f>
        <v>0</v>
      </c>
      <c r="CF309" s="60" t="n">
        <f aca="false">BR309/BV309</f>
        <v>0</v>
      </c>
      <c r="CG309" s="60" t="n">
        <f aca="false">BS309/BV309</f>
        <v>0</v>
      </c>
      <c r="CH309" s="60" t="n">
        <f aca="false">BT309/BV309</f>
        <v>0</v>
      </c>
      <c r="CI309" s="60" t="n">
        <f aca="false">BU309/BV309</f>
        <v>0</v>
      </c>
      <c r="CJ309" s="60" t="n">
        <f aca="false">N309*BJ309/BW309</f>
        <v>1</v>
      </c>
      <c r="CK309" s="60" t="n">
        <f aca="false">O309*BK309/BW309</f>
        <v>0</v>
      </c>
      <c r="CL309" s="60" t="n">
        <f aca="false">P309*BL309/BW309</f>
        <v>0</v>
      </c>
      <c r="CM309" s="60" t="n">
        <f aca="false">Q309*BM309/BW309</f>
        <v>0</v>
      </c>
      <c r="CN309" s="60" t="n">
        <f aca="false">R309*BN309/BW309</f>
        <v>0</v>
      </c>
      <c r="CO309" s="60" t="n">
        <f aca="false">S309*BO309/BW309</f>
        <v>0</v>
      </c>
      <c r="CP309" s="60" t="n">
        <f aca="false">T309*BP309/BW309</f>
        <v>0</v>
      </c>
      <c r="CQ309" s="60" t="n">
        <f aca="false">U309*BQ309/BW309</f>
        <v>0</v>
      </c>
      <c r="CR309" s="60" t="n">
        <f aca="false">V309*BR309/BW309</f>
        <v>0</v>
      </c>
      <c r="CS309" s="60" t="n">
        <f aca="false">W309*BS309/BW309</f>
        <v>0</v>
      </c>
      <c r="CT309" s="60" t="n">
        <f aca="false">X309*BT309/BW309</f>
        <v>0</v>
      </c>
      <c r="CU309" s="60" t="n">
        <f aca="false">Y309*BU309/BW309</f>
        <v>0</v>
      </c>
      <c r="CV309" s="60" t="n">
        <f aca="false">$E$28*SUMPRODUCT($E$31:$P$31,BX309:CI309,$E$28:$P$28)</f>
        <v>0.184416866619846</v>
      </c>
      <c r="CW309" s="60" t="n">
        <f aca="false">$F$28*SUMPRODUCT($E$32:$P$32,BX309:CI309,$E$28:$P$28)</f>
        <v>0</v>
      </c>
      <c r="CX309" s="60" t="n">
        <f aca="false">$G$28*SUMPRODUCT($E$33:$P$33,BX309:CI309,$E$28:$P$28)</f>
        <v>0</v>
      </c>
      <c r="CY309" s="60" t="n">
        <f aca="false">$H$28*SUMPRODUCT($E$34:$P$34,BX309:CI309,$E$28:$P$28)</f>
        <v>0</v>
      </c>
      <c r="CZ309" s="60" t="n">
        <f aca="false">$I$28*SUMPRODUCT($E$35:$P$35,BX309:CI309,$E$28:$P$28)</f>
        <v>0</v>
      </c>
      <c r="DA309" s="60" t="n">
        <f aca="false">$J$28*SUMPRODUCT($E$36:$P$36,BX309:CI309,$E$28:$P$28)</f>
        <v>0</v>
      </c>
      <c r="DB309" s="60" t="n">
        <f aca="false">$K$28*SUMPRODUCT($E$37:$P$37,BX309:CI309,$E$28:$P$28)</f>
        <v>0</v>
      </c>
      <c r="DC309" s="60" t="n">
        <f aca="false">$L$28*SUMPRODUCT($E$38:$P$38,BX309:CI309,$E$28:$P$28)</f>
        <v>0</v>
      </c>
      <c r="DD309" s="60" t="n">
        <f aca="false">$M$28*SUMPRODUCT($E$39:$P$39,BX309:CI309,$E$28:$P$28)</f>
        <v>0</v>
      </c>
      <c r="DE309" s="60" t="n">
        <f aca="false">$N$28*SUMPRODUCT($E$40:$P$40,BX309:CI309,$E$28:$P$28)</f>
        <v>0</v>
      </c>
      <c r="DF309" s="60" t="n">
        <f aca="false">$O$28*SUMPRODUCT($E$41:$P$41,BX309:CI309,$E$28:$P$28)</f>
        <v>0</v>
      </c>
      <c r="DG309" s="60" t="n">
        <f aca="false">$P$28*SUMPRODUCT($E$42:$P$42,BX309:CI309,$E$28:$P$28)</f>
        <v>0</v>
      </c>
      <c r="DH309" s="60" t="n">
        <f aca="false">SUMPRODUCT(BX309:CI309,CV309:DG309)</f>
        <v>0.184416866619846</v>
      </c>
      <c r="DI309" s="60" t="n">
        <f aca="false">SUMPRODUCT(BX309:CI309,$E$27:$P$27)</f>
        <v>2.67389635063809E-005</v>
      </c>
      <c r="DJ309" s="60" t="n">
        <f aca="false">DH309*$C$9/($C$10*$C$8)^2</f>
        <v>0.21776909410545</v>
      </c>
      <c r="DK309" s="60" t="n">
        <f aca="false">DI309*$C$9/($C$10*$C$8)</f>
        <v>0.0918845243259994</v>
      </c>
      <c r="DL309" s="60" t="n">
        <f aca="false">CHOOSE($C$7,-(1+DK309),-1,-(1-DK309))</f>
        <v>-0.908115475674001</v>
      </c>
      <c r="DM309" s="60" t="n">
        <f aca="false">CHOOSE($C$7,DJ309,DJ309-DK309-DK309^2,DJ309-3*DK309^2-2*DK309)</f>
        <v>0.00867174802160559</v>
      </c>
      <c r="DN309" s="60" t="n">
        <f aca="false">CHOOSE($C$7,-DJ309*DK309,-DJ309*DK309,-(DJ309*DK309-DK309^2-DK309^3))</f>
        <v>-0.0107910842936637</v>
      </c>
      <c r="DO309" s="60" t="n">
        <f aca="false">DM309-DL309^2/3</f>
        <v>-0.266219491031267</v>
      </c>
      <c r="DP309" s="60" t="n">
        <f aca="false">2*DL309^3/27-DL309*DM309/3+DN309</f>
        <v>-0.0636400988362784</v>
      </c>
      <c r="DQ309" s="60" t="n">
        <f aca="false">DP309^2/4+DO309^3/27</f>
        <v>0.000313710901361829</v>
      </c>
      <c r="DR309" s="60" t="n">
        <f aca="false">-DP309/2-IF(DP309&gt;=0,1,-1)*SQRT(MAX(DQ309,0))</f>
        <v>0.0495319352963236</v>
      </c>
      <c r="DS309" s="60" t="n">
        <f aca="false">SIGN(DR309)*ABS(DR309)^(1/3)</f>
        <v>0.367249967174439</v>
      </c>
      <c r="DT309" s="60" t="n">
        <f aca="false">IF(DS309=0,0,DS309-DO309/(3*DS309))</f>
        <v>0.60888329127384</v>
      </c>
      <c r="DU309" s="60" t="n">
        <f aca="false">2*SQRT(MAX(-DO309,0)/3)</f>
        <v>0.595784626668918</v>
      </c>
      <c r="DV309" s="60" t="n">
        <f aca="false">ACOS(IF(DU309=0,0,MAX(-1,MIN(1,3*DP309/(DO309*DU309)))))</f>
        <v>0</v>
      </c>
      <c r="DW309" s="60" t="n">
        <f aca="false">DU309*COS(DV309/3)</f>
        <v>0.595784626668918</v>
      </c>
      <c r="DX309" s="60" t="n">
        <f aca="false">IF(DQ309&lt;0,DW309,DT309)-DL309/3</f>
        <v>0.91158844983184</v>
      </c>
      <c r="DY309" s="60" t="n">
        <f aca="false">IFERROR((((DX309+DL309)*DX309+DM309)*DX309+DN309)/((3*DX309+2*DL309)*DX309+DM309),0)</f>
        <v>0</v>
      </c>
      <c r="DZ309" s="60" t="n">
        <f aca="false">IF(ABS(DY309)&lt;0.1*ABS(DX309),DX309-DY309,DX309)</f>
        <v>0.91158844983184</v>
      </c>
      <c r="EA309" s="60" t="n">
        <f aca="false">IFERROR((((DZ309+DL309)*DZ309+DM309)*DZ309+DN309)/((3*DZ309+2*DL309)*DZ309+DM309),0)</f>
        <v>0</v>
      </c>
      <c r="EB309" s="60" t="n">
        <f aca="false">IF(ABS(EA309)&lt;0.1*ABS(DZ309),DZ309-EA309,DZ309)</f>
        <v>0.91158844983184</v>
      </c>
      <c r="EC309" s="60" t="n">
        <f aca="false">-DN309/EB309</f>
        <v>0.0118376711504565</v>
      </c>
      <c r="ED309" s="60" t="n">
        <f aca="false">(DM309-EC309)/EB309</f>
        <v>-0.00347297415783941</v>
      </c>
      <c r="EE309" s="60" t="n">
        <f aca="false">ED309^2-4*EC309</f>
        <v>-0.0473386230523248</v>
      </c>
      <c r="EF309" s="60" t="n">
        <f aca="false">IF(EE309&gt;=0,(ED309+IF(ED309&gt;=0,1,-1)*SQRT(EE309))/2,0)</f>
        <v>0</v>
      </c>
      <c r="EG309" s="60" t="n">
        <f aca="false">IF(AND(EE309&gt;=0,EF309&lt;&gt;0),MIN(EF309,EC309/EF309),-1)</f>
        <v>-1</v>
      </c>
      <c r="EH309" s="60" t="n">
        <f aca="false">AND(EE309&gt;=0,EG309&gt;DK309,ABS(EB309-EG309)&gt;=0.00005*MAX(EB309,EG309))</f>
        <v>0</v>
      </c>
      <c r="EI309" s="60" t="n">
        <f aca="false">IF(EH309,IFERROR((((EG309+DL309)*EG309+DM309)*EG309+DN309)/((3*EG309+2*DL309)*EG309+DM309),0),0)</f>
        <v>0</v>
      </c>
      <c r="EJ309" s="60" t="n">
        <f aca="false">IF(ABS(EI309)&lt;0.1*ABS(EG309),EG309-EI309,EG309)</f>
        <v>-1</v>
      </c>
      <c r="EK309" s="60" t="n">
        <f aca="false">IF(EH309,IFERROR((((EJ309+DL309)*EJ309+DM309)*EJ309+DN309)/((3*EJ309+2*DL309)*EJ309+DM309),0),0)</f>
        <v>0</v>
      </c>
      <c r="EL309" s="60" t="n">
        <f aca="false">IF(ABS(EK309)&lt;0.1*ABS(EJ309),EJ309-EK309,EJ309)</f>
        <v>-1</v>
      </c>
      <c r="EM309" s="60" t="n">
        <f aca="false">IF(EH309,MAX(EB309,EL309),EB309)</f>
        <v>0.91158844983184</v>
      </c>
      <c r="EN309" s="60" t="n">
        <f aca="false">IF(EH309,MIN(EB309,EL309),-1)</f>
        <v>-1</v>
      </c>
      <c r="EO309" s="60" t="n">
        <f aca="false">CHOOSE($C$7,DJ309/EM309,DJ309/DK309*LN(1+DK309/EM309),DJ309/(2*SQRT(2)*DK309)*LN((EM309+(1+SQRT(2))*DK309)/(EM309+(1-SQRT(2))*DK309)))</f>
        <v>0.218240791233887</v>
      </c>
      <c r="EP309" s="60" t="n">
        <f aca="false">EM309-1-LN(EM309-DK309)-EO309</f>
        <v>-0.107840271021729</v>
      </c>
      <c r="EQ309" s="60" t="n">
        <f aca="false">IF(EH309,CHOOSE($C$7,DJ309/EN309,DJ309/DK309*LN(1+DK309/EN309),DJ309/(2*SQRT(2)*DK309)*LN((EN309+(1+SQRT(2))*DK309)/(EN309+(1-SQRT(2))*DK309))),0)</f>
        <v>0</v>
      </c>
      <c r="ER309" s="60" t="n">
        <f aca="false">IF(EH309,EN309-1-LN(EN309-DK309)-EQ309,0)</f>
        <v>0</v>
      </c>
      <c r="ES309" s="60" t="n">
        <f aca="false">AND(EH309,ER309&lt;EP309)</f>
        <v>0</v>
      </c>
      <c r="ET309" s="60" t="n">
        <f aca="false">IF(ES309,EN309,EM309)</f>
        <v>0.91158844983184</v>
      </c>
      <c r="EU309" s="60" t="n">
        <f aca="false">IF(ES309,EQ309,EO309)</f>
        <v>0.218240791233887</v>
      </c>
      <c r="EV309" s="60" t="n">
        <f aca="false">LN(ET309-DK309)</f>
        <v>-0.198812070380318</v>
      </c>
      <c r="EW309" s="60" t="n">
        <f aca="false">$E$27/DI309*(ET309-1)-EV309-EU309*(2*CV309/DH309-$E$27/DI309)</f>
        <v>-0.107840271021729</v>
      </c>
      <c r="EX309" s="60" t="n">
        <f aca="false">$F$27/DI309*(ET309-1)-EV309-EU309*(2*CW309/DH309-$F$27/DI309)</f>
        <v>0.198812070380318</v>
      </c>
      <c r="EY309" s="60" t="n">
        <f aca="false">$G$27/DI309*(ET309-1)-EV309-EU309*(2*CX309/DH309-$G$27/DI309)</f>
        <v>0.198812070380318</v>
      </c>
      <c r="EZ309" s="60" t="n">
        <f aca="false">$H$27/DI309*(ET309-1)-EV309-EU309*(2*CY309/DH309-$H$27/DI309)</f>
        <v>0.198812070380318</v>
      </c>
      <c r="FA309" s="60" t="n">
        <f aca="false">$I$27/DI309*(ET309-1)-EV309-EU309*(2*CZ309/DH309-$I$27/DI309)</f>
        <v>0.198812070380318</v>
      </c>
      <c r="FB309" s="60" t="n">
        <f aca="false">$J$27/DI309*(ET309-1)-EV309-EU309*(2*DA309/DH309-$J$27/DI309)</f>
        <v>0.198812070380318</v>
      </c>
      <c r="FC309" s="60" t="n">
        <f aca="false">$K$27/DI309*(ET309-1)-EV309-EU309*(2*DB309/DH309-$K$27/DI309)</f>
        <v>0.198812070380318</v>
      </c>
      <c r="FD309" s="60" t="n">
        <f aca="false">$L$27/DI309*(ET309-1)-EV309-EU309*(2*DC309/DH309-$L$27/DI309)</f>
        <v>0.198812070380318</v>
      </c>
      <c r="FE309" s="60" t="n">
        <f aca="false">$M$27/DI309*(ET309-1)-EV309-EU309*(2*DD309/DH309-$M$27/DI309)</f>
        <v>0.198812070380318</v>
      </c>
      <c r="FF309" s="60" t="n">
        <f aca="false">$N$27/DI309*(ET309-1)-EV309-EU309*(2*DE309/DH309-$N$27/DI309)</f>
        <v>0.198812070380318</v>
      </c>
      <c r="FG309" s="60" t="n">
        <f aca="false">$O$27/DI309*(ET309-1)-EV309-EU309*(2*DF309/DH309-$O$27/DI309)</f>
        <v>0.198812070380318</v>
      </c>
      <c r="FH309" s="60" t="n">
        <f aca="false">$P$27/DI309*(ET309-1)-EV309-EU309*(2*DG309/DH309-$P$27/DI309)</f>
        <v>0.198812070380318</v>
      </c>
      <c r="FI309" s="60" t="n">
        <f aca="false">DK309/ET309&gt;$C$22</f>
        <v>0</v>
      </c>
      <c r="FJ309" s="60" t="n">
        <f aca="false">$E$28*SUMPRODUCT($E$31:$P$31,CJ309:CU309,$E$28:$P$28)</f>
        <v>0.184416866619846</v>
      </c>
      <c r="FK309" s="60" t="n">
        <f aca="false">$F$28*SUMPRODUCT($E$32:$P$32,CJ309:CU309,$E$28:$P$28)</f>
        <v>0</v>
      </c>
      <c r="FL309" s="60" t="n">
        <f aca="false">$G$28*SUMPRODUCT($E$33:$P$33,CJ309:CU309,$E$28:$P$28)</f>
        <v>0</v>
      </c>
      <c r="FM309" s="60" t="n">
        <f aca="false">$H$28*SUMPRODUCT($E$34:$P$34,CJ309:CU309,$E$28:$P$28)</f>
        <v>0</v>
      </c>
      <c r="FN309" s="60" t="n">
        <f aca="false">$I$28*SUMPRODUCT($E$35:$P$35,CJ309:CU309,$E$28:$P$28)</f>
        <v>0</v>
      </c>
      <c r="FO309" s="60" t="n">
        <f aca="false">$J$28*SUMPRODUCT($E$36:$P$36,CJ309:CU309,$E$28:$P$28)</f>
        <v>0</v>
      </c>
      <c r="FP309" s="60" t="n">
        <f aca="false">$K$28*SUMPRODUCT($E$37:$P$37,CJ309:CU309,$E$28:$P$28)</f>
        <v>0</v>
      </c>
      <c r="FQ309" s="60" t="n">
        <f aca="false">$L$28*SUMPRODUCT($E$38:$P$38,CJ309:CU309,$E$28:$P$28)</f>
        <v>0</v>
      </c>
      <c r="FR309" s="60" t="n">
        <f aca="false">$M$28*SUMPRODUCT($E$39:$P$39,CJ309:CU309,$E$28:$P$28)</f>
        <v>0</v>
      </c>
      <c r="FS309" s="60" t="n">
        <f aca="false">$N$28*SUMPRODUCT($E$40:$P$40,CJ309:CU309,$E$28:$P$28)</f>
        <v>0</v>
      </c>
      <c r="FT309" s="60" t="n">
        <f aca="false">$O$28*SUMPRODUCT($E$41:$P$41,CJ309:CU309,$E$28:$P$28)</f>
        <v>0</v>
      </c>
      <c r="FU309" s="60" t="n">
        <f aca="false">$P$28*SUMPRODUCT($E$42:$P$42,CJ309:CU309,$E$28:$P$28)</f>
        <v>0</v>
      </c>
      <c r="FV309" s="60" t="n">
        <f aca="false">SUMPRODUCT(CJ309:CU309,FJ309:FU309)</f>
        <v>0.184416866619846</v>
      </c>
      <c r="FW309" s="60" t="n">
        <f aca="false">SUMPRODUCT(CJ309:CU309,$E$27:$P$27)</f>
        <v>2.67389635063809E-005</v>
      </c>
      <c r="FX309" s="60" t="n">
        <f aca="false">FV309*$C$9/($C$10*$C$8)^2</f>
        <v>0.21776909410545</v>
      </c>
      <c r="FY309" s="60" t="n">
        <f aca="false">FW309*$C$9/($C$10*$C$8)</f>
        <v>0.0918845243259994</v>
      </c>
      <c r="FZ309" s="60" t="n">
        <f aca="false">CHOOSE($C$7,-(1+FY309),-1,-(1-FY309))</f>
        <v>-0.908115475674001</v>
      </c>
      <c r="GA309" s="60" t="n">
        <f aca="false">CHOOSE($C$7,FX309,FX309-FY309-FY309^2,FX309-3*FY309^2-2*FY309)</f>
        <v>0.00867174802160559</v>
      </c>
      <c r="GB309" s="60" t="n">
        <f aca="false">CHOOSE($C$7,-FX309*FY309,-FX309*FY309,-(FX309*FY309-FY309^2-FY309^3))</f>
        <v>-0.0107910842936637</v>
      </c>
      <c r="GC309" s="60" t="n">
        <f aca="false">GA309-FZ309^2/3</f>
        <v>-0.266219491031267</v>
      </c>
      <c r="GD309" s="60" t="n">
        <f aca="false">2*FZ309^3/27-FZ309*GA309/3+GB309</f>
        <v>-0.0636400988362784</v>
      </c>
      <c r="GE309" s="60" t="n">
        <f aca="false">GD309^2/4+GC309^3/27</f>
        <v>0.000313710901361829</v>
      </c>
      <c r="GF309" s="60" t="n">
        <f aca="false">-GD309/2-IF(GD309&gt;=0,1,-1)*SQRT(MAX(GE309,0))</f>
        <v>0.0495319352963236</v>
      </c>
      <c r="GG309" s="60" t="n">
        <f aca="false">SIGN(GF309)*ABS(GF309)^(1/3)</f>
        <v>0.367249967174439</v>
      </c>
      <c r="GH309" s="60" t="n">
        <f aca="false">IF(GG309=0,0,GG309-GC309/(3*GG309))</f>
        <v>0.60888329127384</v>
      </c>
      <c r="GI309" s="60" t="n">
        <f aca="false">2*SQRT(MAX(-GC309,0)/3)</f>
        <v>0.595784626668918</v>
      </c>
      <c r="GJ309" s="60" t="n">
        <f aca="false">ACOS(IF(GI309=0,0,MAX(-1,MIN(1,3*GD309/(GC309*GI309)))))</f>
        <v>0</v>
      </c>
      <c r="GK309" s="60" t="n">
        <f aca="false">GI309*COS(GJ309/3)</f>
        <v>0.595784626668918</v>
      </c>
      <c r="GL309" s="60" t="n">
        <f aca="false">IF(GE309&lt;0,GK309,GH309)-FZ309/3</f>
        <v>0.91158844983184</v>
      </c>
      <c r="GM309" s="60" t="n">
        <f aca="false">IFERROR((((GL309+FZ309)*GL309+GA309)*GL309+GB309)/((3*GL309+2*FZ309)*GL309+GA309),0)</f>
        <v>0</v>
      </c>
      <c r="GN309" s="60" t="n">
        <f aca="false">IF(ABS(GM309)&lt;0.1*ABS(GL309),GL309-GM309,GL309)</f>
        <v>0.91158844983184</v>
      </c>
      <c r="GO309" s="60" t="n">
        <f aca="false">IFERROR((((GN309+FZ309)*GN309+GA309)*GN309+GB309)/((3*GN309+2*FZ309)*GN309+GA309),0)</f>
        <v>0</v>
      </c>
      <c r="GP309" s="60" t="n">
        <f aca="false">IF(ABS(GO309)&lt;0.1*ABS(GN309),GN309-GO309,GN309)</f>
        <v>0.91158844983184</v>
      </c>
      <c r="GQ309" s="60" t="n">
        <f aca="false">-GB309/GP309</f>
        <v>0.0118376711504565</v>
      </c>
      <c r="GR309" s="60" t="n">
        <f aca="false">(GA309-GQ309)/GP309</f>
        <v>-0.00347297415783941</v>
      </c>
      <c r="GS309" s="60" t="n">
        <f aca="false">GR309^2-4*GQ309</f>
        <v>-0.0473386230523248</v>
      </c>
      <c r="GT309" s="60" t="n">
        <f aca="false">IF(GS309&gt;=0,(GR309+IF(GR309&gt;=0,1,-1)*SQRT(GS309))/2,0)</f>
        <v>0</v>
      </c>
      <c r="GU309" s="60" t="n">
        <f aca="false">IF(AND(GS309&gt;=0,GT309&lt;&gt;0),MIN(GT309,GQ309/GT309),-1)</f>
        <v>-1</v>
      </c>
      <c r="GV309" s="60" t="n">
        <f aca="false">AND(GS309&gt;=0,GU309&gt;FY309,ABS(GP309-GU309)&gt;=0.00005*MAX(GP309,GU309))</f>
        <v>0</v>
      </c>
      <c r="GW309" s="60" t="n">
        <f aca="false">IF(GV309,IFERROR((((GU309+FZ309)*GU309+GA309)*GU309+GB309)/((3*GU309+2*FZ309)*GU309+GA309),0),0)</f>
        <v>0</v>
      </c>
      <c r="GX309" s="60" t="n">
        <f aca="false">IF(ABS(GW309)&lt;0.1*ABS(GU309),GU309-GW309,GU309)</f>
        <v>-1</v>
      </c>
      <c r="GY309" s="60" t="n">
        <f aca="false">IF(GV309,IFERROR((((GX309+FZ309)*GX309+GA309)*GX309+GB309)/((3*GX309+2*FZ309)*GX309+GA309),0),0)</f>
        <v>0</v>
      </c>
      <c r="GZ309" s="60" t="n">
        <f aca="false">IF(ABS(GY309)&lt;0.1*ABS(GX309),GX309-GY309,GX309)</f>
        <v>-1</v>
      </c>
      <c r="HA309" s="60" t="n">
        <f aca="false">IF(GV309,MAX(GP309,GZ309),GP309)</f>
        <v>0.91158844983184</v>
      </c>
      <c r="HB309" s="60" t="n">
        <f aca="false">IF(GV309,MIN(GP309,GZ309),-1)</f>
        <v>-1</v>
      </c>
      <c r="HC309" s="60" t="n">
        <f aca="false">CHOOSE($C$7,FX309/HA309,FX309/FY309*LN(1+FY309/HA309),FX309/(2*SQRT(2)*FY309)*LN((HA309+(1+SQRT(2))*FY309)/(HA309+(1-SQRT(2))*FY309)))</f>
        <v>0.218240791233887</v>
      </c>
      <c r="HD309" s="60" t="n">
        <f aca="false">HA309-1-LN(HA309-FY309)-HC309</f>
        <v>-0.107840271021729</v>
      </c>
      <c r="HE309" s="60" t="n">
        <f aca="false">IF(GV309,CHOOSE($C$7,FX309/HB309,FX309/FY309*LN(1+FY309/HB309),FX309/(2*SQRT(2)*FY309)*LN((HB309+(1+SQRT(2))*FY309)/(HB309+(1-SQRT(2))*FY309))),0)</f>
        <v>0</v>
      </c>
      <c r="HF309" s="60" t="n">
        <f aca="false">IF(GV309,HB309-1-LN(HB309-FY309)-HE309,0)</f>
        <v>0</v>
      </c>
      <c r="HG309" s="60" t="n">
        <f aca="false">AND(GV309,HF309&lt;HD309)</f>
        <v>0</v>
      </c>
      <c r="HH309" s="60" t="n">
        <f aca="false">IF(HG309,HB309,HA309)</f>
        <v>0.91158844983184</v>
      </c>
      <c r="HI309" s="60" t="n">
        <f aca="false">IF(HG309,HE309,HC309)</f>
        <v>0.218240791233887</v>
      </c>
      <c r="HJ309" s="60" t="n">
        <f aca="false">LN(HH309-FY309)</f>
        <v>-0.198812070380318</v>
      </c>
      <c r="HK309" s="60" t="n">
        <f aca="false">$E$27/FW309*(HH309-1)-HJ309-HI309*(2*FJ309/FV309-$E$27/FW309)</f>
        <v>-0.107840271021729</v>
      </c>
      <c r="HL309" s="60" t="n">
        <f aca="false">$F$27/FW309*(HH309-1)-HJ309-HI309*(2*FK309/FV309-$F$27/FW309)</f>
        <v>0.198812070380318</v>
      </c>
      <c r="HM309" s="60" t="n">
        <f aca="false">$G$27/FW309*(HH309-1)-HJ309-HI309*(2*FL309/FV309-$G$27/FW309)</f>
        <v>0.198812070380318</v>
      </c>
      <c r="HN309" s="60" t="n">
        <f aca="false">$H$27/FW309*(HH309-1)-HJ309-HI309*(2*FM309/FV309-$H$27/FW309)</f>
        <v>0.198812070380318</v>
      </c>
      <c r="HO309" s="60" t="n">
        <f aca="false">$I$27/FW309*(HH309-1)-HJ309-HI309*(2*FN309/FV309-$I$27/FW309)</f>
        <v>0.198812070380318</v>
      </c>
      <c r="HP309" s="60" t="n">
        <f aca="false">$J$27/FW309*(HH309-1)-HJ309-HI309*(2*FO309/FV309-$J$27/FW309)</f>
        <v>0.198812070380318</v>
      </c>
      <c r="HQ309" s="60" t="n">
        <f aca="false">$K$27/FW309*(HH309-1)-HJ309-HI309*(2*FP309/FV309-$K$27/FW309)</f>
        <v>0.198812070380318</v>
      </c>
      <c r="HR309" s="60" t="n">
        <f aca="false">$L$27/FW309*(HH309-1)-HJ309-HI309*(2*FQ309/FV309-$L$27/FW309)</f>
        <v>0.198812070380318</v>
      </c>
      <c r="HS309" s="60" t="n">
        <f aca="false">$M$27/FW309*(HH309-1)-HJ309-HI309*(2*FR309/FV309-$M$27/FW309)</f>
        <v>0.198812070380318</v>
      </c>
      <c r="HT309" s="60" t="n">
        <f aca="false">$N$27/FW309*(HH309-1)-HJ309-HI309*(2*FS309/FV309-$N$27/FW309)</f>
        <v>0.198812070380318</v>
      </c>
      <c r="HU309" s="60" t="n">
        <f aca="false">$O$27/FW309*(HH309-1)-HJ309-HI309*(2*FT309/FV309-$O$27/FW309)</f>
        <v>0.198812070380318</v>
      </c>
      <c r="HV309" s="60" t="n">
        <f aca="false">$P$27/FW309*(HH309-1)-HJ309-HI309*(2*FU309/FV309-$P$27/FW309)</f>
        <v>0.198812070380318</v>
      </c>
      <c r="HW309" s="60" t="n">
        <f aca="false">FY309/HH309&gt;$C$22</f>
        <v>0</v>
      </c>
      <c r="HX309" s="60" t="n">
        <f aca="false">IF($E$13&gt;0,MAX(-300,MIN(300,EW309-HK309)),0)</f>
        <v>0</v>
      </c>
      <c r="HY309" s="60" t="n">
        <f aca="false">IF($F$13&gt;0,MAX(-300,MIN(300,EX309-HL309)),0)</f>
        <v>0</v>
      </c>
      <c r="HZ309" s="60" t="n">
        <f aca="false">IF($G$13&gt;0,MAX(-300,MIN(300,EY309-HM309)),0)</f>
        <v>0</v>
      </c>
      <c r="IA309" s="60" t="n">
        <f aca="false">IF($H$13&gt;0,MAX(-300,MIN(300,EZ309-HN309)),0)</f>
        <v>0</v>
      </c>
      <c r="IB309" s="60" t="n">
        <f aca="false">IF($I$13&gt;0,MAX(-300,MIN(300,FA309-HO309)),0)</f>
        <v>0</v>
      </c>
      <c r="IC309" s="60" t="n">
        <f aca="false">IF($J$13&gt;0,MAX(-300,MIN(300,FB309-HP309)),0)</f>
        <v>0</v>
      </c>
      <c r="ID309" s="60" t="n">
        <f aca="false">IF($K$13&gt;0,MAX(-300,MIN(300,FC309-HQ309)),0)</f>
        <v>0</v>
      </c>
      <c r="IE309" s="60" t="n">
        <f aca="false">IF($L$13&gt;0,MAX(-300,MIN(300,FD309-HR309)),0)</f>
        <v>0</v>
      </c>
      <c r="IF309" s="60" t="n">
        <f aca="false">IF($M$13&gt;0,MAX(-300,MIN(300,FE309-HS309)),0)</f>
        <v>0</v>
      </c>
      <c r="IG309" s="60" t="n">
        <f aca="false">IF($N$13&gt;0,MAX(-300,MIN(300,FF309-HT309)),0)</f>
        <v>0</v>
      </c>
      <c r="IH309" s="60" t="n">
        <f aca="false">IF($O$13&gt;0,MAX(-300,MIN(300,FG309-HU309)),0)</f>
        <v>0</v>
      </c>
      <c r="II309" s="60" t="n">
        <f aca="false">IF($P$13&gt;0,MAX(-300,MIN(300,FH309-HV309)),0)</f>
        <v>0</v>
      </c>
      <c r="IJ309" s="60" t="n">
        <f aca="false">SUMXMY2(HX309:II309,B309:M309)</f>
        <v>0</v>
      </c>
      <c r="IK309" s="60" t="n">
        <f aca="false">SUMSQ(B309:M309)</f>
        <v>0</v>
      </c>
    </row>
    <row r="310" customFormat="false" ht="15" hidden="false" customHeight="false" outlineLevel="0" collapsed="false">
      <c r="A310" s="59" t="n">
        <v>13</v>
      </c>
      <c r="B310" s="60" t="n">
        <f aca="false">HX309</f>
        <v>0</v>
      </c>
      <c r="C310" s="60" t="n">
        <f aca="false">HY309</f>
        <v>0</v>
      </c>
      <c r="D310" s="60" t="n">
        <f aca="false">HZ309</f>
        <v>0</v>
      </c>
      <c r="E310" s="60" t="n">
        <f aca="false">IA309</f>
        <v>0</v>
      </c>
      <c r="F310" s="60" t="n">
        <f aca="false">IB309</f>
        <v>0</v>
      </c>
      <c r="G310" s="60" t="n">
        <f aca="false">IC309</f>
        <v>0</v>
      </c>
      <c r="H310" s="60" t="n">
        <f aca="false">ID309</f>
        <v>0</v>
      </c>
      <c r="I310" s="60" t="n">
        <f aca="false">IE309</f>
        <v>0</v>
      </c>
      <c r="J310" s="60" t="n">
        <f aca="false">IF309</f>
        <v>0</v>
      </c>
      <c r="K310" s="60" t="n">
        <f aca="false">IG309</f>
        <v>0</v>
      </c>
      <c r="L310" s="60" t="n">
        <f aca="false">IH309</f>
        <v>0</v>
      </c>
      <c r="M310" s="60" t="n">
        <f aca="false">II309</f>
        <v>0</v>
      </c>
      <c r="N310" s="60" t="n">
        <f aca="false">EXP(B310)</f>
        <v>1</v>
      </c>
      <c r="O310" s="60" t="n">
        <f aca="false">EXP(C310)</f>
        <v>1</v>
      </c>
      <c r="P310" s="60" t="n">
        <f aca="false">EXP(D310)</f>
        <v>1</v>
      </c>
      <c r="Q310" s="60" t="n">
        <f aca="false">EXP(E310)</f>
        <v>1</v>
      </c>
      <c r="R310" s="60" t="n">
        <f aca="false">EXP(F310)</f>
        <v>1</v>
      </c>
      <c r="S310" s="60" t="n">
        <f aca="false">EXP(G310)</f>
        <v>1</v>
      </c>
      <c r="T310" s="60" t="n">
        <f aca="false">EXP(H310)</f>
        <v>1</v>
      </c>
      <c r="U310" s="60" t="n">
        <f aca="false">EXP(I310)</f>
        <v>1</v>
      </c>
      <c r="V310" s="60" t="n">
        <f aca="false">EXP(J310)</f>
        <v>1</v>
      </c>
      <c r="W310" s="60" t="n">
        <f aca="false">EXP(K310)</f>
        <v>1</v>
      </c>
      <c r="X310" s="60" t="n">
        <f aca="false">EXP(L310)</f>
        <v>1</v>
      </c>
      <c r="Y310" s="60" t="n">
        <f aca="false">EXP(M310)</f>
        <v>1</v>
      </c>
      <c r="Z310" s="60" t="n">
        <f aca="false">MAX(N310:Y310)</f>
        <v>1</v>
      </c>
      <c r="AA310" s="60" t="n">
        <f aca="false">MIN(N310:Y310)</f>
        <v>1</v>
      </c>
      <c r="AB310" s="60" t="n">
        <f aca="false">AND(Z310&gt;1,AA310&lt;1)</f>
        <v>0</v>
      </c>
      <c r="AC310" s="60" t="n">
        <f aca="false">IF(AB310,1/(1-Z310),0)</f>
        <v>0</v>
      </c>
      <c r="AD310" s="60" t="n">
        <f aca="false">IF(AB310,1/(1-AA310),1)</f>
        <v>1</v>
      </c>
      <c r="AE310" s="60" t="n">
        <f aca="false">IF(AB310,MIN(MAX(BI309,AC310+0.000000001*(AD310-AC310)),AD310-0.000000001*(AD310-AC310)),IF(AA310&gt;=1,1,0))</f>
        <v>1</v>
      </c>
      <c r="AF310" s="60" t="n">
        <f aca="false">SUMPRODUCT($E$13:$P$13*(N310:Y310-1)/(1+AE310*(N310:Y310-1)))</f>
        <v>0</v>
      </c>
      <c r="AG310" s="60" t="n">
        <f aca="false">-SUMPRODUCT($E$13:$P$13*(N310:Y310-1)^2/(1+AE310*(N310:Y310-1))^2)</f>
        <v>-0</v>
      </c>
      <c r="AH310" s="60" t="n">
        <f aca="false">IF(OR(NOT(AB310),AG310=0),AE310,IF(AE310-AF310/AG310&lt;=AC310,(AE310+AC310)/2,IF(AE310-AF310/AG310&gt;=AD310,(AE310+AD310)/2,AE310-AF310/AG310)))</f>
        <v>1</v>
      </c>
      <c r="AI310" s="60" t="n">
        <f aca="false">SUMPRODUCT($E$13:$P$13*(N310:Y310-1)/(1+AH310*(N310:Y310-1)))</f>
        <v>0</v>
      </c>
      <c r="AJ310" s="60" t="n">
        <f aca="false">-SUMPRODUCT($E$13:$P$13*(N310:Y310-1)^2/(1+AH310*(N310:Y310-1))^2)</f>
        <v>-0</v>
      </c>
      <c r="AK310" s="60" t="n">
        <f aca="false">IF(OR(NOT(AB310),AJ310=0),AH310,IF(AH310-AI310/AJ310&lt;=AC310,(AH310+AC310)/2,IF(AH310-AI310/AJ310&gt;=AD310,(AH310+AD310)/2,AH310-AI310/AJ310)))</f>
        <v>1</v>
      </c>
      <c r="AL310" s="60" t="n">
        <f aca="false">SUMPRODUCT($E$13:$P$13*(N310:Y310-1)/(1+AK310*(N310:Y310-1)))</f>
        <v>0</v>
      </c>
      <c r="AM310" s="60" t="n">
        <f aca="false">-SUMPRODUCT($E$13:$P$13*(N310:Y310-1)^2/(1+AK310*(N310:Y310-1))^2)</f>
        <v>-0</v>
      </c>
      <c r="AN310" s="60" t="n">
        <f aca="false">IF(OR(NOT(AB310),AM310=0),AK310,IF(AK310-AL310/AM310&lt;=AC310,(AK310+AC310)/2,IF(AK310-AL310/AM310&gt;=AD310,(AK310+AD310)/2,AK310-AL310/AM310)))</f>
        <v>1</v>
      </c>
      <c r="AO310" s="60" t="n">
        <f aca="false">SUMPRODUCT($E$13:$P$13*(N310:Y310-1)/(1+AN310*(N310:Y310-1)))</f>
        <v>0</v>
      </c>
      <c r="AP310" s="60" t="n">
        <f aca="false">-SUMPRODUCT($E$13:$P$13*(N310:Y310-1)^2/(1+AN310*(N310:Y310-1))^2)</f>
        <v>-0</v>
      </c>
      <c r="AQ310" s="60" t="n">
        <f aca="false">IF(OR(NOT(AB310),AP310=0),AN310,IF(AN310-AO310/AP310&lt;=AC310,(AN310+AC310)/2,IF(AN310-AO310/AP310&gt;=AD310,(AN310+AD310)/2,AN310-AO310/AP310)))</f>
        <v>1</v>
      </c>
      <c r="AR310" s="60" t="n">
        <f aca="false">SUMPRODUCT($E$13:$P$13*(N310:Y310-1)/(1+AQ310*(N310:Y310-1)))</f>
        <v>0</v>
      </c>
      <c r="AS310" s="60" t="n">
        <f aca="false">-SUMPRODUCT($E$13:$P$13*(N310:Y310-1)^2/(1+AQ310*(N310:Y310-1))^2)</f>
        <v>-0</v>
      </c>
      <c r="AT310" s="60" t="n">
        <f aca="false">IF(OR(NOT(AB310),AS310=0),AQ310,IF(AQ310-AR310/AS310&lt;=AC310,(AQ310+AC310)/2,IF(AQ310-AR310/AS310&gt;=AD310,(AQ310+AD310)/2,AQ310-AR310/AS310)))</f>
        <v>1</v>
      </c>
      <c r="AU310" s="60" t="n">
        <f aca="false">SUMPRODUCT($E$13:$P$13*(N310:Y310-1)/(1+AT310*(N310:Y310-1)))</f>
        <v>0</v>
      </c>
      <c r="AV310" s="60" t="n">
        <f aca="false">-SUMPRODUCT($E$13:$P$13*(N310:Y310-1)^2/(1+AT310*(N310:Y310-1))^2)</f>
        <v>-0</v>
      </c>
      <c r="AW310" s="60" t="n">
        <f aca="false">IF(OR(NOT(AB310),AV310=0),AT310,IF(AT310-AU310/AV310&lt;=AC310,(AT310+AC310)/2,IF(AT310-AU310/AV310&gt;=AD310,(AT310+AD310)/2,AT310-AU310/AV310)))</f>
        <v>1</v>
      </c>
      <c r="AX310" s="60" t="n">
        <f aca="false">SUMPRODUCT($E$13:$P$13*(N310:Y310-1)/(1+AW310*(N310:Y310-1)))</f>
        <v>0</v>
      </c>
      <c r="AY310" s="60" t="n">
        <f aca="false">-SUMPRODUCT($E$13:$P$13*(N310:Y310-1)^2/(1+AW310*(N310:Y310-1))^2)</f>
        <v>-0</v>
      </c>
      <c r="AZ310" s="60" t="n">
        <f aca="false">IF(OR(NOT(AB310),AY310=0),AW310,IF(AW310-AX310/AY310&lt;=AC310,(AW310+AC310)/2,IF(AW310-AX310/AY310&gt;=AD310,(AW310+AD310)/2,AW310-AX310/AY310)))</f>
        <v>1</v>
      </c>
      <c r="BA310" s="60" t="n">
        <f aca="false">SUMPRODUCT($E$13:$P$13*(N310:Y310-1)/(1+AZ310*(N310:Y310-1)))</f>
        <v>0</v>
      </c>
      <c r="BB310" s="60" t="n">
        <f aca="false">-SUMPRODUCT($E$13:$P$13*(N310:Y310-1)^2/(1+AZ310*(N310:Y310-1))^2)</f>
        <v>-0</v>
      </c>
      <c r="BC310" s="60" t="n">
        <f aca="false">IF(OR(NOT(AB310),BB310=0),AZ310,IF(AZ310-BA310/BB310&lt;=AC310,(AZ310+AC310)/2,IF(AZ310-BA310/BB310&gt;=AD310,(AZ310+AD310)/2,AZ310-BA310/BB310)))</f>
        <v>1</v>
      </c>
      <c r="BD310" s="60" t="n">
        <f aca="false">SUMPRODUCT($E$13:$P$13*(N310:Y310-1)/(1+BC310*(N310:Y310-1)))</f>
        <v>0</v>
      </c>
      <c r="BE310" s="60" t="n">
        <f aca="false">-SUMPRODUCT($E$13:$P$13*(N310:Y310-1)^2/(1+BC310*(N310:Y310-1))^2)</f>
        <v>-0</v>
      </c>
      <c r="BF310" s="60" t="n">
        <f aca="false">IF(OR(NOT(AB310),BE310=0),BC310,IF(BC310-BD310/BE310&lt;=AC310,(BC310+AC310)/2,IF(BC310-BD310/BE310&gt;=AD310,(BC310+AD310)/2,BC310-BD310/BE310)))</f>
        <v>1</v>
      </c>
      <c r="BG310" s="60" t="n">
        <f aca="false">SUMPRODUCT($E$13:$P$13*(N310:Y310-1)/(1+BF310*(N310:Y310-1)))</f>
        <v>0</v>
      </c>
      <c r="BH310" s="60" t="n">
        <f aca="false">-SUMPRODUCT($E$13:$P$13*(N310:Y310-1)^2/(1+BF310*(N310:Y310-1))^2)</f>
        <v>-0</v>
      </c>
      <c r="BI310" s="60" t="n">
        <f aca="false">IF(OR(NOT(AB310),BH310=0),BF310,IF(BF310-BG310/BH310&lt;=AC310,(BF310+AC310)/2,IF(BF310-BG310/BH310&gt;=AD310,(BF310+AD310)/2,BF310-BG310/BH310)))</f>
        <v>1</v>
      </c>
      <c r="BJ310" s="60" t="n">
        <f aca="false">$E$13/(1+BI310*(N310-1))</f>
        <v>1</v>
      </c>
      <c r="BK310" s="60" t="n">
        <f aca="false">$F$13/(1+BI310*(O310-1))</f>
        <v>0</v>
      </c>
      <c r="BL310" s="60" t="n">
        <f aca="false">$G$13/(1+BI310*(P310-1))</f>
        <v>0</v>
      </c>
      <c r="BM310" s="60" t="n">
        <f aca="false">$H$13/(1+BI310*(Q310-1))</f>
        <v>0</v>
      </c>
      <c r="BN310" s="60" t="n">
        <f aca="false">$I$13/(1+BI310*(R310-1))</f>
        <v>0</v>
      </c>
      <c r="BO310" s="60" t="n">
        <f aca="false">$J$13/(1+BI310*(S310-1))</f>
        <v>0</v>
      </c>
      <c r="BP310" s="60" t="n">
        <f aca="false">$K$13/(1+BI310*(T310-1))</f>
        <v>0</v>
      </c>
      <c r="BQ310" s="60" t="n">
        <f aca="false">$L$13/(1+BI310*(U310-1))</f>
        <v>0</v>
      </c>
      <c r="BR310" s="60" t="n">
        <f aca="false">$M$13/(1+BI310*(V310-1))</f>
        <v>0</v>
      </c>
      <c r="BS310" s="60" t="n">
        <f aca="false">$N$13/(1+BI310*(W310-1))</f>
        <v>0</v>
      </c>
      <c r="BT310" s="60" t="n">
        <f aca="false">$O$13/(1+BI310*(X310-1))</f>
        <v>0</v>
      </c>
      <c r="BU310" s="60" t="n">
        <f aca="false">$P$13/(1+BI310*(Y310-1))</f>
        <v>0</v>
      </c>
      <c r="BV310" s="60" t="n">
        <f aca="false">SUM(BJ310:BU310)</f>
        <v>1</v>
      </c>
      <c r="BW310" s="60" t="n">
        <f aca="false">SUMPRODUCT(N310:Y310,BJ310:BU310)</f>
        <v>1</v>
      </c>
      <c r="BX310" s="60" t="n">
        <f aca="false">BJ310/BV310</f>
        <v>1</v>
      </c>
      <c r="BY310" s="60" t="n">
        <f aca="false">BK310/BV310</f>
        <v>0</v>
      </c>
      <c r="BZ310" s="60" t="n">
        <f aca="false">BL310/BV310</f>
        <v>0</v>
      </c>
      <c r="CA310" s="60" t="n">
        <f aca="false">BM310/BV310</f>
        <v>0</v>
      </c>
      <c r="CB310" s="60" t="n">
        <f aca="false">BN310/BV310</f>
        <v>0</v>
      </c>
      <c r="CC310" s="60" t="n">
        <f aca="false">BO310/BV310</f>
        <v>0</v>
      </c>
      <c r="CD310" s="60" t="n">
        <f aca="false">BP310/BV310</f>
        <v>0</v>
      </c>
      <c r="CE310" s="60" t="n">
        <f aca="false">BQ310/BV310</f>
        <v>0</v>
      </c>
      <c r="CF310" s="60" t="n">
        <f aca="false">BR310/BV310</f>
        <v>0</v>
      </c>
      <c r="CG310" s="60" t="n">
        <f aca="false">BS310/BV310</f>
        <v>0</v>
      </c>
      <c r="CH310" s="60" t="n">
        <f aca="false">BT310/BV310</f>
        <v>0</v>
      </c>
      <c r="CI310" s="60" t="n">
        <f aca="false">BU310/BV310</f>
        <v>0</v>
      </c>
      <c r="CJ310" s="60" t="n">
        <f aca="false">N310*BJ310/BW310</f>
        <v>1</v>
      </c>
      <c r="CK310" s="60" t="n">
        <f aca="false">O310*BK310/BW310</f>
        <v>0</v>
      </c>
      <c r="CL310" s="60" t="n">
        <f aca="false">P310*BL310/BW310</f>
        <v>0</v>
      </c>
      <c r="CM310" s="60" t="n">
        <f aca="false">Q310*BM310/BW310</f>
        <v>0</v>
      </c>
      <c r="CN310" s="60" t="n">
        <f aca="false">R310*BN310/BW310</f>
        <v>0</v>
      </c>
      <c r="CO310" s="60" t="n">
        <f aca="false">S310*BO310/BW310</f>
        <v>0</v>
      </c>
      <c r="CP310" s="60" t="n">
        <f aca="false">T310*BP310/BW310</f>
        <v>0</v>
      </c>
      <c r="CQ310" s="60" t="n">
        <f aca="false">U310*BQ310/BW310</f>
        <v>0</v>
      </c>
      <c r="CR310" s="60" t="n">
        <f aca="false">V310*BR310/BW310</f>
        <v>0</v>
      </c>
      <c r="CS310" s="60" t="n">
        <f aca="false">W310*BS310/BW310</f>
        <v>0</v>
      </c>
      <c r="CT310" s="60" t="n">
        <f aca="false">X310*BT310/BW310</f>
        <v>0</v>
      </c>
      <c r="CU310" s="60" t="n">
        <f aca="false">Y310*BU310/BW310</f>
        <v>0</v>
      </c>
      <c r="CV310" s="60" t="n">
        <f aca="false">$E$28*SUMPRODUCT($E$31:$P$31,BX310:CI310,$E$28:$P$28)</f>
        <v>0.184416866619846</v>
      </c>
      <c r="CW310" s="60" t="n">
        <f aca="false">$F$28*SUMPRODUCT($E$32:$P$32,BX310:CI310,$E$28:$P$28)</f>
        <v>0</v>
      </c>
      <c r="CX310" s="60" t="n">
        <f aca="false">$G$28*SUMPRODUCT($E$33:$P$33,BX310:CI310,$E$28:$P$28)</f>
        <v>0</v>
      </c>
      <c r="CY310" s="60" t="n">
        <f aca="false">$H$28*SUMPRODUCT($E$34:$P$34,BX310:CI310,$E$28:$P$28)</f>
        <v>0</v>
      </c>
      <c r="CZ310" s="60" t="n">
        <f aca="false">$I$28*SUMPRODUCT($E$35:$P$35,BX310:CI310,$E$28:$P$28)</f>
        <v>0</v>
      </c>
      <c r="DA310" s="60" t="n">
        <f aca="false">$J$28*SUMPRODUCT($E$36:$P$36,BX310:CI310,$E$28:$P$28)</f>
        <v>0</v>
      </c>
      <c r="DB310" s="60" t="n">
        <f aca="false">$K$28*SUMPRODUCT($E$37:$P$37,BX310:CI310,$E$28:$P$28)</f>
        <v>0</v>
      </c>
      <c r="DC310" s="60" t="n">
        <f aca="false">$L$28*SUMPRODUCT($E$38:$P$38,BX310:CI310,$E$28:$P$28)</f>
        <v>0</v>
      </c>
      <c r="DD310" s="60" t="n">
        <f aca="false">$M$28*SUMPRODUCT($E$39:$P$39,BX310:CI310,$E$28:$P$28)</f>
        <v>0</v>
      </c>
      <c r="DE310" s="60" t="n">
        <f aca="false">$N$28*SUMPRODUCT($E$40:$P$40,BX310:CI310,$E$28:$P$28)</f>
        <v>0</v>
      </c>
      <c r="DF310" s="60" t="n">
        <f aca="false">$O$28*SUMPRODUCT($E$41:$P$41,BX310:CI310,$E$28:$P$28)</f>
        <v>0</v>
      </c>
      <c r="DG310" s="60" t="n">
        <f aca="false">$P$28*SUMPRODUCT($E$42:$P$42,BX310:CI310,$E$28:$P$28)</f>
        <v>0</v>
      </c>
      <c r="DH310" s="60" t="n">
        <f aca="false">SUMPRODUCT(BX310:CI310,CV310:DG310)</f>
        <v>0.184416866619846</v>
      </c>
      <c r="DI310" s="60" t="n">
        <f aca="false">SUMPRODUCT(BX310:CI310,$E$27:$P$27)</f>
        <v>2.67389635063809E-005</v>
      </c>
      <c r="DJ310" s="60" t="n">
        <f aca="false">DH310*$C$9/($C$10*$C$8)^2</f>
        <v>0.21776909410545</v>
      </c>
      <c r="DK310" s="60" t="n">
        <f aca="false">DI310*$C$9/($C$10*$C$8)</f>
        <v>0.0918845243259994</v>
      </c>
      <c r="DL310" s="60" t="n">
        <f aca="false">CHOOSE($C$7,-(1+DK310),-1,-(1-DK310))</f>
        <v>-0.908115475674001</v>
      </c>
      <c r="DM310" s="60" t="n">
        <f aca="false">CHOOSE($C$7,DJ310,DJ310-DK310-DK310^2,DJ310-3*DK310^2-2*DK310)</f>
        <v>0.00867174802160559</v>
      </c>
      <c r="DN310" s="60" t="n">
        <f aca="false">CHOOSE($C$7,-DJ310*DK310,-DJ310*DK310,-(DJ310*DK310-DK310^2-DK310^3))</f>
        <v>-0.0107910842936637</v>
      </c>
      <c r="DO310" s="60" t="n">
        <f aca="false">DM310-DL310^2/3</f>
        <v>-0.266219491031267</v>
      </c>
      <c r="DP310" s="60" t="n">
        <f aca="false">2*DL310^3/27-DL310*DM310/3+DN310</f>
        <v>-0.0636400988362784</v>
      </c>
      <c r="DQ310" s="60" t="n">
        <f aca="false">DP310^2/4+DO310^3/27</f>
        <v>0.000313710901361829</v>
      </c>
      <c r="DR310" s="60" t="n">
        <f aca="false">-DP310/2-IF(DP310&gt;=0,1,-1)*SQRT(MAX(DQ310,0))</f>
        <v>0.0495319352963236</v>
      </c>
      <c r="DS310" s="60" t="n">
        <f aca="false">SIGN(DR310)*ABS(DR310)^(1/3)</f>
        <v>0.367249967174439</v>
      </c>
      <c r="DT310" s="60" t="n">
        <f aca="false">IF(DS310=0,0,DS310-DO310/(3*DS310))</f>
        <v>0.60888329127384</v>
      </c>
      <c r="DU310" s="60" t="n">
        <f aca="false">2*SQRT(MAX(-DO310,0)/3)</f>
        <v>0.595784626668918</v>
      </c>
      <c r="DV310" s="60" t="n">
        <f aca="false">ACOS(IF(DU310=0,0,MAX(-1,MIN(1,3*DP310/(DO310*DU310)))))</f>
        <v>0</v>
      </c>
      <c r="DW310" s="60" t="n">
        <f aca="false">DU310*COS(DV310/3)</f>
        <v>0.595784626668918</v>
      </c>
      <c r="DX310" s="60" t="n">
        <f aca="false">IF(DQ310&lt;0,DW310,DT310)-DL310/3</f>
        <v>0.91158844983184</v>
      </c>
      <c r="DY310" s="60" t="n">
        <f aca="false">IFERROR((((DX310+DL310)*DX310+DM310)*DX310+DN310)/((3*DX310+2*DL310)*DX310+DM310),0)</f>
        <v>0</v>
      </c>
      <c r="DZ310" s="60" t="n">
        <f aca="false">IF(ABS(DY310)&lt;0.1*ABS(DX310),DX310-DY310,DX310)</f>
        <v>0.91158844983184</v>
      </c>
      <c r="EA310" s="60" t="n">
        <f aca="false">IFERROR((((DZ310+DL310)*DZ310+DM310)*DZ310+DN310)/((3*DZ310+2*DL310)*DZ310+DM310),0)</f>
        <v>0</v>
      </c>
      <c r="EB310" s="60" t="n">
        <f aca="false">IF(ABS(EA310)&lt;0.1*ABS(DZ310),DZ310-EA310,DZ310)</f>
        <v>0.91158844983184</v>
      </c>
      <c r="EC310" s="60" t="n">
        <f aca="false">-DN310/EB310</f>
        <v>0.0118376711504565</v>
      </c>
      <c r="ED310" s="60" t="n">
        <f aca="false">(DM310-EC310)/EB310</f>
        <v>-0.00347297415783941</v>
      </c>
      <c r="EE310" s="60" t="n">
        <f aca="false">ED310^2-4*EC310</f>
        <v>-0.0473386230523248</v>
      </c>
      <c r="EF310" s="60" t="n">
        <f aca="false">IF(EE310&gt;=0,(ED310+IF(ED310&gt;=0,1,-1)*SQRT(EE310))/2,0)</f>
        <v>0</v>
      </c>
      <c r="EG310" s="60" t="n">
        <f aca="false">IF(AND(EE310&gt;=0,EF310&lt;&gt;0),MIN(EF310,EC310/EF310),-1)</f>
        <v>-1</v>
      </c>
      <c r="EH310" s="60" t="n">
        <f aca="false">AND(EE310&gt;=0,EG310&gt;DK310,ABS(EB310-EG310)&gt;=0.00005*MAX(EB310,EG310))</f>
        <v>0</v>
      </c>
      <c r="EI310" s="60" t="n">
        <f aca="false">IF(EH310,IFERROR((((EG310+DL310)*EG310+DM310)*EG310+DN310)/((3*EG310+2*DL310)*EG310+DM310),0),0)</f>
        <v>0</v>
      </c>
      <c r="EJ310" s="60" t="n">
        <f aca="false">IF(ABS(EI310)&lt;0.1*ABS(EG310),EG310-EI310,EG310)</f>
        <v>-1</v>
      </c>
      <c r="EK310" s="60" t="n">
        <f aca="false">IF(EH310,IFERROR((((EJ310+DL310)*EJ310+DM310)*EJ310+DN310)/((3*EJ310+2*DL310)*EJ310+DM310),0),0)</f>
        <v>0</v>
      </c>
      <c r="EL310" s="60" t="n">
        <f aca="false">IF(ABS(EK310)&lt;0.1*ABS(EJ310),EJ310-EK310,EJ310)</f>
        <v>-1</v>
      </c>
      <c r="EM310" s="60" t="n">
        <f aca="false">IF(EH310,MAX(EB310,EL310),EB310)</f>
        <v>0.91158844983184</v>
      </c>
      <c r="EN310" s="60" t="n">
        <f aca="false">IF(EH310,MIN(EB310,EL310),-1)</f>
        <v>-1</v>
      </c>
      <c r="EO310" s="60" t="n">
        <f aca="false">CHOOSE($C$7,DJ310/EM310,DJ310/DK310*LN(1+DK310/EM310),DJ310/(2*SQRT(2)*DK310)*LN((EM310+(1+SQRT(2))*DK310)/(EM310+(1-SQRT(2))*DK310)))</f>
        <v>0.218240791233887</v>
      </c>
      <c r="EP310" s="60" t="n">
        <f aca="false">EM310-1-LN(EM310-DK310)-EO310</f>
        <v>-0.107840271021729</v>
      </c>
      <c r="EQ310" s="60" t="n">
        <f aca="false">IF(EH310,CHOOSE($C$7,DJ310/EN310,DJ310/DK310*LN(1+DK310/EN310),DJ310/(2*SQRT(2)*DK310)*LN((EN310+(1+SQRT(2))*DK310)/(EN310+(1-SQRT(2))*DK310))),0)</f>
        <v>0</v>
      </c>
      <c r="ER310" s="60" t="n">
        <f aca="false">IF(EH310,EN310-1-LN(EN310-DK310)-EQ310,0)</f>
        <v>0</v>
      </c>
      <c r="ES310" s="60" t="n">
        <f aca="false">AND(EH310,ER310&lt;EP310)</f>
        <v>0</v>
      </c>
      <c r="ET310" s="60" t="n">
        <f aca="false">IF(ES310,EN310,EM310)</f>
        <v>0.91158844983184</v>
      </c>
      <c r="EU310" s="60" t="n">
        <f aca="false">IF(ES310,EQ310,EO310)</f>
        <v>0.218240791233887</v>
      </c>
      <c r="EV310" s="60" t="n">
        <f aca="false">LN(ET310-DK310)</f>
        <v>-0.198812070380318</v>
      </c>
      <c r="EW310" s="60" t="n">
        <f aca="false">$E$27/DI310*(ET310-1)-EV310-EU310*(2*CV310/DH310-$E$27/DI310)</f>
        <v>-0.107840271021729</v>
      </c>
      <c r="EX310" s="60" t="n">
        <f aca="false">$F$27/DI310*(ET310-1)-EV310-EU310*(2*CW310/DH310-$F$27/DI310)</f>
        <v>0.198812070380318</v>
      </c>
      <c r="EY310" s="60" t="n">
        <f aca="false">$G$27/DI310*(ET310-1)-EV310-EU310*(2*CX310/DH310-$G$27/DI310)</f>
        <v>0.198812070380318</v>
      </c>
      <c r="EZ310" s="60" t="n">
        <f aca="false">$H$27/DI310*(ET310-1)-EV310-EU310*(2*CY310/DH310-$H$27/DI310)</f>
        <v>0.198812070380318</v>
      </c>
      <c r="FA310" s="60" t="n">
        <f aca="false">$I$27/DI310*(ET310-1)-EV310-EU310*(2*CZ310/DH310-$I$27/DI310)</f>
        <v>0.198812070380318</v>
      </c>
      <c r="FB310" s="60" t="n">
        <f aca="false">$J$27/DI310*(ET310-1)-EV310-EU310*(2*DA310/DH310-$J$27/DI310)</f>
        <v>0.198812070380318</v>
      </c>
      <c r="FC310" s="60" t="n">
        <f aca="false">$K$27/DI310*(ET310-1)-EV310-EU310*(2*DB310/DH310-$K$27/DI310)</f>
        <v>0.198812070380318</v>
      </c>
      <c r="FD310" s="60" t="n">
        <f aca="false">$L$27/DI310*(ET310-1)-EV310-EU310*(2*DC310/DH310-$L$27/DI310)</f>
        <v>0.198812070380318</v>
      </c>
      <c r="FE310" s="60" t="n">
        <f aca="false">$M$27/DI310*(ET310-1)-EV310-EU310*(2*DD310/DH310-$M$27/DI310)</f>
        <v>0.198812070380318</v>
      </c>
      <c r="FF310" s="60" t="n">
        <f aca="false">$N$27/DI310*(ET310-1)-EV310-EU310*(2*DE310/DH310-$N$27/DI310)</f>
        <v>0.198812070380318</v>
      </c>
      <c r="FG310" s="60" t="n">
        <f aca="false">$O$27/DI310*(ET310-1)-EV310-EU310*(2*DF310/DH310-$O$27/DI310)</f>
        <v>0.198812070380318</v>
      </c>
      <c r="FH310" s="60" t="n">
        <f aca="false">$P$27/DI310*(ET310-1)-EV310-EU310*(2*DG310/DH310-$P$27/DI310)</f>
        <v>0.198812070380318</v>
      </c>
      <c r="FI310" s="60" t="n">
        <f aca="false">DK310/ET310&gt;$C$22</f>
        <v>0</v>
      </c>
      <c r="FJ310" s="60" t="n">
        <f aca="false">$E$28*SUMPRODUCT($E$31:$P$31,CJ310:CU310,$E$28:$P$28)</f>
        <v>0.184416866619846</v>
      </c>
      <c r="FK310" s="60" t="n">
        <f aca="false">$F$28*SUMPRODUCT($E$32:$P$32,CJ310:CU310,$E$28:$P$28)</f>
        <v>0</v>
      </c>
      <c r="FL310" s="60" t="n">
        <f aca="false">$G$28*SUMPRODUCT($E$33:$P$33,CJ310:CU310,$E$28:$P$28)</f>
        <v>0</v>
      </c>
      <c r="FM310" s="60" t="n">
        <f aca="false">$H$28*SUMPRODUCT($E$34:$P$34,CJ310:CU310,$E$28:$P$28)</f>
        <v>0</v>
      </c>
      <c r="FN310" s="60" t="n">
        <f aca="false">$I$28*SUMPRODUCT($E$35:$P$35,CJ310:CU310,$E$28:$P$28)</f>
        <v>0</v>
      </c>
      <c r="FO310" s="60" t="n">
        <f aca="false">$J$28*SUMPRODUCT($E$36:$P$36,CJ310:CU310,$E$28:$P$28)</f>
        <v>0</v>
      </c>
      <c r="FP310" s="60" t="n">
        <f aca="false">$K$28*SUMPRODUCT($E$37:$P$37,CJ310:CU310,$E$28:$P$28)</f>
        <v>0</v>
      </c>
      <c r="FQ310" s="60" t="n">
        <f aca="false">$L$28*SUMPRODUCT($E$38:$P$38,CJ310:CU310,$E$28:$P$28)</f>
        <v>0</v>
      </c>
      <c r="FR310" s="60" t="n">
        <f aca="false">$M$28*SUMPRODUCT($E$39:$P$39,CJ310:CU310,$E$28:$P$28)</f>
        <v>0</v>
      </c>
      <c r="FS310" s="60" t="n">
        <f aca="false">$N$28*SUMPRODUCT($E$40:$P$40,CJ310:CU310,$E$28:$P$28)</f>
        <v>0</v>
      </c>
      <c r="FT310" s="60" t="n">
        <f aca="false">$O$28*SUMPRODUCT($E$41:$P$41,CJ310:CU310,$E$28:$P$28)</f>
        <v>0</v>
      </c>
      <c r="FU310" s="60" t="n">
        <f aca="false">$P$28*SUMPRODUCT($E$42:$P$42,CJ310:CU310,$E$28:$P$28)</f>
        <v>0</v>
      </c>
      <c r="FV310" s="60" t="n">
        <f aca="false">SUMPRODUCT(CJ310:CU310,FJ310:FU310)</f>
        <v>0.184416866619846</v>
      </c>
      <c r="FW310" s="60" t="n">
        <f aca="false">SUMPRODUCT(CJ310:CU310,$E$27:$P$27)</f>
        <v>2.67389635063809E-005</v>
      </c>
      <c r="FX310" s="60" t="n">
        <f aca="false">FV310*$C$9/($C$10*$C$8)^2</f>
        <v>0.21776909410545</v>
      </c>
      <c r="FY310" s="60" t="n">
        <f aca="false">FW310*$C$9/($C$10*$C$8)</f>
        <v>0.0918845243259994</v>
      </c>
      <c r="FZ310" s="60" t="n">
        <f aca="false">CHOOSE($C$7,-(1+FY310),-1,-(1-FY310))</f>
        <v>-0.908115475674001</v>
      </c>
      <c r="GA310" s="60" t="n">
        <f aca="false">CHOOSE($C$7,FX310,FX310-FY310-FY310^2,FX310-3*FY310^2-2*FY310)</f>
        <v>0.00867174802160559</v>
      </c>
      <c r="GB310" s="60" t="n">
        <f aca="false">CHOOSE($C$7,-FX310*FY310,-FX310*FY310,-(FX310*FY310-FY310^2-FY310^3))</f>
        <v>-0.0107910842936637</v>
      </c>
      <c r="GC310" s="60" t="n">
        <f aca="false">GA310-FZ310^2/3</f>
        <v>-0.266219491031267</v>
      </c>
      <c r="GD310" s="60" t="n">
        <f aca="false">2*FZ310^3/27-FZ310*GA310/3+GB310</f>
        <v>-0.0636400988362784</v>
      </c>
      <c r="GE310" s="60" t="n">
        <f aca="false">GD310^2/4+GC310^3/27</f>
        <v>0.000313710901361829</v>
      </c>
      <c r="GF310" s="60" t="n">
        <f aca="false">-GD310/2-IF(GD310&gt;=0,1,-1)*SQRT(MAX(GE310,0))</f>
        <v>0.0495319352963236</v>
      </c>
      <c r="GG310" s="60" t="n">
        <f aca="false">SIGN(GF310)*ABS(GF310)^(1/3)</f>
        <v>0.367249967174439</v>
      </c>
      <c r="GH310" s="60" t="n">
        <f aca="false">IF(GG310=0,0,GG310-GC310/(3*GG310))</f>
        <v>0.60888329127384</v>
      </c>
      <c r="GI310" s="60" t="n">
        <f aca="false">2*SQRT(MAX(-GC310,0)/3)</f>
        <v>0.595784626668918</v>
      </c>
      <c r="GJ310" s="60" t="n">
        <f aca="false">ACOS(IF(GI310=0,0,MAX(-1,MIN(1,3*GD310/(GC310*GI310)))))</f>
        <v>0</v>
      </c>
      <c r="GK310" s="60" t="n">
        <f aca="false">GI310*COS(GJ310/3)</f>
        <v>0.595784626668918</v>
      </c>
      <c r="GL310" s="60" t="n">
        <f aca="false">IF(GE310&lt;0,GK310,GH310)-FZ310/3</f>
        <v>0.91158844983184</v>
      </c>
      <c r="GM310" s="60" t="n">
        <f aca="false">IFERROR((((GL310+FZ310)*GL310+GA310)*GL310+GB310)/((3*GL310+2*FZ310)*GL310+GA310),0)</f>
        <v>0</v>
      </c>
      <c r="GN310" s="60" t="n">
        <f aca="false">IF(ABS(GM310)&lt;0.1*ABS(GL310),GL310-GM310,GL310)</f>
        <v>0.91158844983184</v>
      </c>
      <c r="GO310" s="60" t="n">
        <f aca="false">IFERROR((((GN310+FZ310)*GN310+GA310)*GN310+GB310)/((3*GN310+2*FZ310)*GN310+GA310),0)</f>
        <v>0</v>
      </c>
      <c r="GP310" s="60" t="n">
        <f aca="false">IF(ABS(GO310)&lt;0.1*ABS(GN310),GN310-GO310,GN310)</f>
        <v>0.91158844983184</v>
      </c>
      <c r="GQ310" s="60" t="n">
        <f aca="false">-GB310/GP310</f>
        <v>0.0118376711504565</v>
      </c>
      <c r="GR310" s="60" t="n">
        <f aca="false">(GA310-GQ310)/GP310</f>
        <v>-0.00347297415783941</v>
      </c>
      <c r="GS310" s="60" t="n">
        <f aca="false">GR310^2-4*GQ310</f>
        <v>-0.0473386230523248</v>
      </c>
      <c r="GT310" s="60" t="n">
        <f aca="false">IF(GS310&gt;=0,(GR310+IF(GR310&gt;=0,1,-1)*SQRT(GS310))/2,0)</f>
        <v>0</v>
      </c>
      <c r="GU310" s="60" t="n">
        <f aca="false">IF(AND(GS310&gt;=0,GT310&lt;&gt;0),MIN(GT310,GQ310/GT310),-1)</f>
        <v>-1</v>
      </c>
      <c r="GV310" s="60" t="n">
        <f aca="false">AND(GS310&gt;=0,GU310&gt;FY310,ABS(GP310-GU310)&gt;=0.00005*MAX(GP310,GU310))</f>
        <v>0</v>
      </c>
      <c r="GW310" s="60" t="n">
        <f aca="false">IF(GV310,IFERROR((((GU310+FZ310)*GU310+GA310)*GU310+GB310)/((3*GU310+2*FZ310)*GU310+GA310),0),0)</f>
        <v>0</v>
      </c>
      <c r="GX310" s="60" t="n">
        <f aca="false">IF(ABS(GW310)&lt;0.1*ABS(GU310),GU310-GW310,GU310)</f>
        <v>-1</v>
      </c>
      <c r="GY310" s="60" t="n">
        <f aca="false">IF(GV310,IFERROR((((GX310+FZ310)*GX310+GA310)*GX310+GB310)/((3*GX310+2*FZ310)*GX310+GA310),0),0)</f>
        <v>0</v>
      </c>
      <c r="GZ310" s="60" t="n">
        <f aca="false">IF(ABS(GY310)&lt;0.1*ABS(GX310),GX310-GY310,GX310)</f>
        <v>-1</v>
      </c>
      <c r="HA310" s="60" t="n">
        <f aca="false">IF(GV310,MAX(GP310,GZ310),GP310)</f>
        <v>0.91158844983184</v>
      </c>
      <c r="HB310" s="60" t="n">
        <f aca="false">IF(GV310,MIN(GP310,GZ310),-1)</f>
        <v>-1</v>
      </c>
      <c r="HC310" s="60" t="n">
        <f aca="false">CHOOSE($C$7,FX310/HA310,FX310/FY310*LN(1+FY310/HA310),FX310/(2*SQRT(2)*FY310)*LN((HA310+(1+SQRT(2))*FY310)/(HA310+(1-SQRT(2))*FY310)))</f>
        <v>0.218240791233887</v>
      </c>
      <c r="HD310" s="60" t="n">
        <f aca="false">HA310-1-LN(HA310-FY310)-HC310</f>
        <v>-0.107840271021729</v>
      </c>
      <c r="HE310" s="60" t="n">
        <f aca="false">IF(GV310,CHOOSE($C$7,FX310/HB310,FX310/FY310*LN(1+FY310/HB310),FX310/(2*SQRT(2)*FY310)*LN((HB310+(1+SQRT(2))*FY310)/(HB310+(1-SQRT(2))*FY310))),0)</f>
        <v>0</v>
      </c>
      <c r="HF310" s="60" t="n">
        <f aca="false">IF(GV310,HB310-1-LN(HB310-FY310)-HE310,0)</f>
        <v>0</v>
      </c>
      <c r="HG310" s="60" t="n">
        <f aca="false">AND(GV310,HF310&lt;HD310)</f>
        <v>0</v>
      </c>
      <c r="HH310" s="60" t="n">
        <f aca="false">IF(HG310,HB310,HA310)</f>
        <v>0.91158844983184</v>
      </c>
      <c r="HI310" s="60" t="n">
        <f aca="false">IF(HG310,HE310,HC310)</f>
        <v>0.218240791233887</v>
      </c>
      <c r="HJ310" s="60" t="n">
        <f aca="false">LN(HH310-FY310)</f>
        <v>-0.198812070380318</v>
      </c>
      <c r="HK310" s="60" t="n">
        <f aca="false">$E$27/FW310*(HH310-1)-HJ310-HI310*(2*FJ310/FV310-$E$27/FW310)</f>
        <v>-0.107840271021729</v>
      </c>
      <c r="HL310" s="60" t="n">
        <f aca="false">$F$27/FW310*(HH310-1)-HJ310-HI310*(2*FK310/FV310-$F$27/FW310)</f>
        <v>0.198812070380318</v>
      </c>
      <c r="HM310" s="60" t="n">
        <f aca="false">$G$27/FW310*(HH310-1)-HJ310-HI310*(2*FL310/FV310-$G$27/FW310)</f>
        <v>0.198812070380318</v>
      </c>
      <c r="HN310" s="60" t="n">
        <f aca="false">$H$27/FW310*(HH310-1)-HJ310-HI310*(2*FM310/FV310-$H$27/FW310)</f>
        <v>0.198812070380318</v>
      </c>
      <c r="HO310" s="60" t="n">
        <f aca="false">$I$27/FW310*(HH310-1)-HJ310-HI310*(2*FN310/FV310-$I$27/FW310)</f>
        <v>0.198812070380318</v>
      </c>
      <c r="HP310" s="60" t="n">
        <f aca="false">$J$27/FW310*(HH310-1)-HJ310-HI310*(2*FO310/FV310-$J$27/FW310)</f>
        <v>0.198812070380318</v>
      </c>
      <c r="HQ310" s="60" t="n">
        <f aca="false">$K$27/FW310*(HH310-1)-HJ310-HI310*(2*FP310/FV310-$K$27/FW310)</f>
        <v>0.198812070380318</v>
      </c>
      <c r="HR310" s="60" t="n">
        <f aca="false">$L$27/FW310*(HH310-1)-HJ310-HI310*(2*FQ310/FV310-$L$27/FW310)</f>
        <v>0.198812070380318</v>
      </c>
      <c r="HS310" s="60" t="n">
        <f aca="false">$M$27/FW310*(HH310-1)-HJ310-HI310*(2*FR310/FV310-$M$27/FW310)</f>
        <v>0.198812070380318</v>
      </c>
      <c r="HT310" s="60" t="n">
        <f aca="false">$N$27/FW310*(HH310-1)-HJ310-HI310*(2*FS310/FV310-$N$27/FW310)</f>
        <v>0.198812070380318</v>
      </c>
      <c r="HU310" s="60" t="n">
        <f aca="false">$O$27/FW310*(HH310-1)-HJ310-HI310*(2*FT310/FV310-$O$27/FW310)</f>
        <v>0.198812070380318</v>
      </c>
      <c r="HV310" s="60" t="n">
        <f aca="false">$P$27/FW310*(HH310-1)-HJ310-HI310*(2*FU310/FV310-$P$27/FW310)</f>
        <v>0.198812070380318</v>
      </c>
      <c r="HW310" s="60" t="n">
        <f aca="false">FY310/HH310&gt;$C$22</f>
        <v>0</v>
      </c>
      <c r="HX310" s="60" t="n">
        <f aca="false">IF($E$13&gt;0,MAX(-300,MIN(300,EW310-HK310)),0)</f>
        <v>0</v>
      </c>
      <c r="HY310" s="60" t="n">
        <f aca="false">IF($F$13&gt;0,MAX(-300,MIN(300,EX310-HL310)),0)</f>
        <v>0</v>
      </c>
      <c r="HZ310" s="60" t="n">
        <f aca="false">IF($G$13&gt;0,MAX(-300,MIN(300,EY310-HM310)),0)</f>
        <v>0</v>
      </c>
      <c r="IA310" s="60" t="n">
        <f aca="false">IF($H$13&gt;0,MAX(-300,MIN(300,EZ310-HN310)),0)</f>
        <v>0</v>
      </c>
      <c r="IB310" s="60" t="n">
        <f aca="false">IF($I$13&gt;0,MAX(-300,MIN(300,FA310-HO310)),0)</f>
        <v>0</v>
      </c>
      <c r="IC310" s="60" t="n">
        <f aca="false">IF($J$13&gt;0,MAX(-300,MIN(300,FB310-HP310)),0)</f>
        <v>0</v>
      </c>
      <c r="ID310" s="60" t="n">
        <f aca="false">IF($K$13&gt;0,MAX(-300,MIN(300,FC310-HQ310)),0)</f>
        <v>0</v>
      </c>
      <c r="IE310" s="60" t="n">
        <f aca="false">IF($L$13&gt;0,MAX(-300,MIN(300,FD310-HR310)),0)</f>
        <v>0</v>
      </c>
      <c r="IF310" s="60" t="n">
        <f aca="false">IF($M$13&gt;0,MAX(-300,MIN(300,FE310-HS310)),0)</f>
        <v>0</v>
      </c>
      <c r="IG310" s="60" t="n">
        <f aca="false">IF($N$13&gt;0,MAX(-300,MIN(300,FF310-HT310)),0)</f>
        <v>0</v>
      </c>
      <c r="IH310" s="60" t="n">
        <f aca="false">IF($O$13&gt;0,MAX(-300,MIN(300,FG310-HU310)),0)</f>
        <v>0</v>
      </c>
      <c r="II310" s="60" t="n">
        <f aca="false">IF($P$13&gt;0,MAX(-300,MIN(300,FH310-HV310)),0)</f>
        <v>0</v>
      </c>
      <c r="IJ310" s="60" t="n">
        <f aca="false">SUMXMY2(HX310:II310,B310:M310)</f>
        <v>0</v>
      </c>
      <c r="IK310" s="60" t="n">
        <f aca="false">SUMSQ(B310:M310)</f>
        <v>0</v>
      </c>
    </row>
    <row r="311" customFormat="false" ht="15" hidden="false" customHeight="false" outlineLevel="0" collapsed="false">
      <c r="A311" s="59" t="n">
        <v>14</v>
      </c>
      <c r="B311" s="60" t="n">
        <f aca="false">HX310</f>
        <v>0</v>
      </c>
      <c r="C311" s="60" t="n">
        <f aca="false">HY310</f>
        <v>0</v>
      </c>
      <c r="D311" s="60" t="n">
        <f aca="false">HZ310</f>
        <v>0</v>
      </c>
      <c r="E311" s="60" t="n">
        <f aca="false">IA310</f>
        <v>0</v>
      </c>
      <c r="F311" s="60" t="n">
        <f aca="false">IB310</f>
        <v>0</v>
      </c>
      <c r="G311" s="60" t="n">
        <f aca="false">IC310</f>
        <v>0</v>
      </c>
      <c r="H311" s="60" t="n">
        <f aca="false">ID310</f>
        <v>0</v>
      </c>
      <c r="I311" s="60" t="n">
        <f aca="false">IE310</f>
        <v>0</v>
      </c>
      <c r="J311" s="60" t="n">
        <f aca="false">IF310</f>
        <v>0</v>
      </c>
      <c r="K311" s="60" t="n">
        <f aca="false">IG310</f>
        <v>0</v>
      </c>
      <c r="L311" s="60" t="n">
        <f aca="false">IH310</f>
        <v>0</v>
      </c>
      <c r="M311" s="60" t="n">
        <f aca="false">II310</f>
        <v>0</v>
      </c>
      <c r="N311" s="60" t="n">
        <f aca="false">EXP(B311)</f>
        <v>1</v>
      </c>
      <c r="O311" s="60" t="n">
        <f aca="false">EXP(C311)</f>
        <v>1</v>
      </c>
      <c r="P311" s="60" t="n">
        <f aca="false">EXP(D311)</f>
        <v>1</v>
      </c>
      <c r="Q311" s="60" t="n">
        <f aca="false">EXP(E311)</f>
        <v>1</v>
      </c>
      <c r="R311" s="60" t="n">
        <f aca="false">EXP(F311)</f>
        <v>1</v>
      </c>
      <c r="S311" s="60" t="n">
        <f aca="false">EXP(G311)</f>
        <v>1</v>
      </c>
      <c r="T311" s="60" t="n">
        <f aca="false">EXP(H311)</f>
        <v>1</v>
      </c>
      <c r="U311" s="60" t="n">
        <f aca="false">EXP(I311)</f>
        <v>1</v>
      </c>
      <c r="V311" s="60" t="n">
        <f aca="false">EXP(J311)</f>
        <v>1</v>
      </c>
      <c r="W311" s="60" t="n">
        <f aca="false">EXP(K311)</f>
        <v>1</v>
      </c>
      <c r="X311" s="60" t="n">
        <f aca="false">EXP(L311)</f>
        <v>1</v>
      </c>
      <c r="Y311" s="60" t="n">
        <f aca="false">EXP(M311)</f>
        <v>1</v>
      </c>
      <c r="Z311" s="60" t="n">
        <f aca="false">MAX(N311:Y311)</f>
        <v>1</v>
      </c>
      <c r="AA311" s="60" t="n">
        <f aca="false">MIN(N311:Y311)</f>
        <v>1</v>
      </c>
      <c r="AB311" s="60" t="n">
        <f aca="false">AND(Z311&gt;1,AA311&lt;1)</f>
        <v>0</v>
      </c>
      <c r="AC311" s="60" t="n">
        <f aca="false">IF(AB311,1/(1-Z311),0)</f>
        <v>0</v>
      </c>
      <c r="AD311" s="60" t="n">
        <f aca="false">IF(AB311,1/(1-AA311),1)</f>
        <v>1</v>
      </c>
      <c r="AE311" s="60" t="n">
        <f aca="false">IF(AB311,MIN(MAX(BI310,AC311+0.000000001*(AD311-AC311)),AD311-0.000000001*(AD311-AC311)),IF(AA311&gt;=1,1,0))</f>
        <v>1</v>
      </c>
      <c r="AF311" s="60" t="n">
        <f aca="false">SUMPRODUCT($E$13:$P$13*(N311:Y311-1)/(1+AE311*(N311:Y311-1)))</f>
        <v>0</v>
      </c>
      <c r="AG311" s="60" t="n">
        <f aca="false">-SUMPRODUCT($E$13:$P$13*(N311:Y311-1)^2/(1+AE311*(N311:Y311-1))^2)</f>
        <v>-0</v>
      </c>
      <c r="AH311" s="60" t="n">
        <f aca="false">IF(OR(NOT(AB311),AG311=0),AE311,IF(AE311-AF311/AG311&lt;=AC311,(AE311+AC311)/2,IF(AE311-AF311/AG311&gt;=AD311,(AE311+AD311)/2,AE311-AF311/AG311)))</f>
        <v>1</v>
      </c>
      <c r="AI311" s="60" t="n">
        <f aca="false">SUMPRODUCT($E$13:$P$13*(N311:Y311-1)/(1+AH311*(N311:Y311-1)))</f>
        <v>0</v>
      </c>
      <c r="AJ311" s="60" t="n">
        <f aca="false">-SUMPRODUCT($E$13:$P$13*(N311:Y311-1)^2/(1+AH311*(N311:Y311-1))^2)</f>
        <v>-0</v>
      </c>
      <c r="AK311" s="60" t="n">
        <f aca="false">IF(OR(NOT(AB311),AJ311=0),AH311,IF(AH311-AI311/AJ311&lt;=AC311,(AH311+AC311)/2,IF(AH311-AI311/AJ311&gt;=AD311,(AH311+AD311)/2,AH311-AI311/AJ311)))</f>
        <v>1</v>
      </c>
      <c r="AL311" s="60" t="n">
        <f aca="false">SUMPRODUCT($E$13:$P$13*(N311:Y311-1)/(1+AK311*(N311:Y311-1)))</f>
        <v>0</v>
      </c>
      <c r="AM311" s="60" t="n">
        <f aca="false">-SUMPRODUCT($E$13:$P$13*(N311:Y311-1)^2/(1+AK311*(N311:Y311-1))^2)</f>
        <v>-0</v>
      </c>
      <c r="AN311" s="60" t="n">
        <f aca="false">IF(OR(NOT(AB311),AM311=0),AK311,IF(AK311-AL311/AM311&lt;=AC311,(AK311+AC311)/2,IF(AK311-AL311/AM311&gt;=AD311,(AK311+AD311)/2,AK311-AL311/AM311)))</f>
        <v>1</v>
      </c>
      <c r="AO311" s="60" t="n">
        <f aca="false">SUMPRODUCT($E$13:$P$13*(N311:Y311-1)/(1+AN311*(N311:Y311-1)))</f>
        <v>0</v>
      </c>
      <c r="AP311" s="60" t="n">
        <f aca="false">-SUMPRODUCT($E$13:$P$13*(N311:Y311-1)^2/(1+AN311*(N311:Y311-1))^2)</f>
        <v>-0</v>
      </c>
      <c r="AQ311" s="60" t="n">
        <f aca="false">IF(OR(NOT(AB311),AP311=0),AN311,IF(AN311-AO311/AP311&lt;=AC311,(AN311+AC311)/2,IF(AN311-AO311/AP311&gt;=AD311,(AN311+AD311)/2,AN311-AO311/AP311)))</f>
        <v>1</v>
      </c>
      <c r="AR311" s="60" t="n">
        <f aca="false">SUMPRODUCT($E$13:$P$13*(N311:Y311-1)/(1+AQ311*(N311:Y311-1)))</f>
        <v>0</v>
      </c>
      <c r="AS311" s="60" t="n">
        <f aca="false">-SUMPRODUCT($E$13:$P$13*(N311:Y311-1)^2/(1+AQ311*(N311:Y311-1))^2)</f>
        <v>-0</v>
      </c>
      <c r="AT311" s="60" t="n">
        <f aca="false">IF(OR(NOT(AB311),AS311=0),AQ311,IF(AQ311-AR311/AS311&lt;=AC311,(AQ311+AC311)/2,IF(AQ311-AR311/AS311&gt;=AD311,(AQ311+AD311)/2,AQ311-AR311/AS311)))</f>
        <v>1</v>
      </c>
      <c r="AU311" s="60" t="n">
        <f aca="false">SUMPRODUCT($E$13:$P$13*(N311:Y311-1)/(1+AT311*(N311:Y311-1)))</f>
        <v>0</v>
      </c>
      <c r="AV311" s="60" t="n">
        <f aca="false">-SUMPRODUCT($E$13:$P$13*(N311:Y311-1)^2/(1+AT311*(N311:Y311-1))^2)</f>
        <v>-0</v>
      </c>
      <c r="AW311" s="60" t="n">
        <f aca="false">IF(OR(NOT(AB311),AV311=0),AT311,IF(AT311-AU311/AV311&lt;=AC311,(AT311+AC311)/2,IF(AT311-AU311/AV311&gt;=AD311,(AT311+AD311)/2,AT311-AU311/AV311)))</f>
        <v>1</v>
      </c>
      <c r="AX311" s="60" t="n">
        <f aca="false">SUMPRODUCT($E$13:$P$13*(N311:Y311-1)/(1+AW311*(N311:Y311-1)))</f>
        <v>0</v>
      </c>
      <c r="AY311" s="60" t="n">
        <f aca="false">-SUMPRODUCT($E$13:$P$13*(N311:Y311-1)^2/(1+AW311*(N311:Y311-1))^2)</f>
        <v>-0</v>
      </c>
      <c r="AZ311" s="60" t="n">
        <f aca="false">IF(OR(NOT(AB311),AY311=0),AW311,IF(AW311-AX311/AY311&lt;=AC311,(AW311+AC311)/2,IF(AW311-AX311/AY311&gt;=AD311,(AW311+AD311)/2,AW311-AX311/AY311)))</f>
        <v>1</v>
      </c>
      <c r="BA311" s="60" t="n">
        <f aca="false">SUMPRODUCT($E$13:$P$13*(N311:Y311-1)/(1+AZ311*(N311:Y311-1)))</f>
        <v>0</v>
      </c>
      <c r="BB311" s="60" t="n">
        <f aca="false">-SUMPRODUCT($E$13:$P$13*(N311:Y311-1)^2/(1+AZ311*(N311:Y311-1))^2)</f>
        <v>-0</v>
      </c>
      <c r="BC311" s="60" t="n">
        <f aca="false">IF(OR(NOT(AB311),BB311=0),AZ311,IF(AZ311-BA311/BB311&lt;=AC311,(AZ311+AC311)/2,IF(AZ311-BA311/BB311&gt;=AD311,(AZ311+AD311)/2,AZ311-BA311/BB311)))</f>
        <v>1</v>
      </c>
      <c r="BD311" s="60" t="n">
        <f aca="false">SUMPRODUCT($E$13:$P$13*(N311:Y311-1)/(1+BC311*(N311:Y311-1)))</f>
        <v>0</v>
      </c>
      <c r="BE311" s="60" t="n">
        <f aca="false">-SUMPRODUCT($E$13:$P$13*(N311:Y311-1)^2/(1+BC311*(N311:Y311-1))^2)</f>
        <v>-0</v>
      </c>
      <c r="BF311" s="60" t="n">
        <f aca="false">IF(OR(NOT(AB311),BE311=0),BC311,IF(BC311-BD311/BE311&lt;=AC311,(BC311+AC311)/2,IF(BC311-BD311/BE311&gt;=AD311,(BC311+AD311)/2,BC311-BD311/BE311)))</f>
        <v>1</v>
      </c>
      <c r="BG311" s="60" t="n">
        <f aca="false">SUMPRODUCT($E$13:$P$13*(N311:Y311-1)/(1+BF311*(N311:Y311-1)))</f>
        <v>0</v>
      </c>
      <c r="BH311" s="60" t="n">
        <f aca="false">-SUMPRODUCT($E$13:$P$13*(N311:Y311-1)^2/(1+BF311*(N311:Y311-1))^2)</f>
        <v>-0</v>
      </c>
      <c r="BI311" s="60" t="n">
        <f aca="false">IF(OR(NOT(AB311),BH311=0),BF311,IF(BF311-BG311/BH311&lt;=AC311,(BF311+AC311)/2,IF(BF311-BG311/BH311&gt;=AD311,(BF311+AD311)/2,BF311-BG311/BH311)))</f>
        <v>1</v>
      </c>
      <c r="BJ311" s="60" t="n">
        <f aca="false">$E$13/(1+BI311*(N311-1))</f>
        <v>1</v>
      </c>
      <c r="BK311" s="60" t="n">
        <f aca="false">$F$13/(1+BI311*(O311-1))</f>
        <v>0</v>
      </c>
      <c r="BL311" s="60" t="n">
        <f aca="false">$G$13/(1+BI311*(P311-1))</f>
        <v>0</v>
      </c>
      <c r="BM311" s="60" t="n">
        <f aca="false">$H$13/(1+BI311*(Q311-1))</f>
        <v>0</v>
      </c>
      <c r="BN311" s="60" t="n">
        <f aca="false">$I$13/(1+BI311*(R311-1))</f>
        <v>0</v>
      </c>
      <c r="BO311" s="60" t="n">
        <f aca="false">$J$13/(1+BI311*(S311-1))</f>
        <v>0</v>
      </c>
      <c r="BP311" s="60" t="n">
        <f aca="false">$K$13/(1+BI311*(T311-1))</f>
        <v>0</v>
      </c>
      <c r="BQ311" s="60" t="n">
        <f aca="false">$L$13/(1+BI311*(U311-1))</f>
        <v>0</v>
      </c>
      <c r="BR311" s="60" t="n">
        <f aca="false">$M$13/(1+BI311*(V311-1))</f>
        <v>0</v>
      </c>
      <c r="BS311" s="60" t="n">
        <f aca="false">$N$13/(1+BI311*(W311-1))</f>
        <v>0</v>
      </c>
      <c r="BT311" s="60" t="n">
        <f aca="false">$O$13/(1+BI311*(X311-1))</f>
        <v>0</v>
      </c>
      <c r="BU311" s="60" t="n">
        <f aca="false">$P$13/(1+BI311*(Y311-1))</f>
        <v>0</v>
      </c>
      <c r="BV311" s="60" t="n">
        <f aca="false">SUM(BJ311:BU311)</f>
        <v>1</v>
      </c>
      <c r="BW311" s="60" t="n">
        <f aca="false">SUMPRODUCT(N311:Y311,BJ311:BU311)</f>
        <v>1</v>
      </c>
      <c r="BX311" s="60" t="n">
        <f aca="false">BJ311/BV311</f>
        <v>1</v>
      </c>
      <c r="BY311" s="60" t="n">
        <f aca="false">BK311/BV311</f>
        <v>0</v>
      </c>
      <c r="BZ311" s="60" t="n">
        <f aca="false">BL311/BV311</f>
        <v>0</v>
      </c>
      <c r="CA311" s="60" t="n">
        <f aca="false">BM311/BV311</f>
        <v>0</v>
      </c>
      <c r="CB311" s="60" t="n">
        <f aca="false">BN311/BV311</f>
        <v>0</v>
      </c>
      <c r="CC311" s="60" t="n">
        <f aca="false">BO311/BV311</f>
        <v>0</v>
      </c>
      <c r="CD311" s="60" t="n">
        <f aca="false">BP311/BV311</f>
        <v>0</v>
      </c>
      <c r="CE311" s="60" t="n">
        <f aca="false">BQ311/BV311</f>
        <v>0</v>
      </c>
      <c r="CF311" s="60" t="n">
        <f aca="false">BR311/BV311</f>
        <v>0</v>
      </c>
      <c r="CG311" s="60" t="n">
        <f aca="false">BS311/BV311</f>
        <v>0</v>
      </c>
      <c r="CH311" s="60" t="n">
        <f aca="false">BT311/BV311</f>
        <v>0</v>
      </c>
      <c r="CI311" s="60" t="n">
        <f aca="false">BU311/BV311</f>
        <v>0</v>
      </c>
      <c r="CJ311" s="60" t="n">
        <f aca="false">N311*BJ311/BW311</f>
        <v>1</v>
      </c>
      <c r="CK311" s="60" t="n">
        <f aca="false">O311*BK311/BW311</f>
        <v>0</v>
      </c>
      <c r="CL311" s="60" t="n">
        <f aca="false">P311*BL311/BW311</f>
        <v>0</v>
      </c>
      <c r="CM311" s="60" t="n">
        <f aca="false">Q311*BM311/BW311</f>
        <v>0</v>
      </c>
      <c r="CN311" s="60" t="n">
        <f aca="false">R311*BN311/BW311</f>
        <v>0</v>
      </c>
      <c r="CO311" s="60" t="n">
        <f aca="false">S311*BO311/BW311</f>
        <v>0</v>
      </c>
      <c r="CP311" s="60" t="n">
        <f aca="false">T311*BP311/BW311</f>
        <v>0</v>
      </c>
      <c r="CQ311" s="60" t="n">
        <f aca="false">U311*BQ311/BW311</f>
        <v>0</v>
      </c>
      <c r="CR311" s="60" t="n">
        <f aca="false">V311*BR311/BW311</f>
        <v>0</v>
      </c>
      <c r="CS311" s="60" t="n">
        <f aca="false">W311*BS311/BW311</f>
        <v>0</v>
      </c>
      <c r="CT311" s="60" t="n">
        <f aca="false">X311*BT311/BW311</f>
        <v>0</v>
      </c>
      <c r="CU311" s="60" t="n">
        <f aca="false">Y311*BU311/BW311</f>
        <v>0</v>
      </c>
      <c r="CV311" s="60" t="n">
        <f aca="false">$E$28*SUMPRODUCT($E$31:$P$31,BX311:CI311,$E$28:$P$28)</f>
        <v>0.184416866619846</v>
      </c>
      <c r="CW311" s="60" t="n">
        <f aca="false">$F$28*SUMPRODUCT($E$32:$P$32,BX311:CI311,$E$28:$P$28)</f>
        <v>0</v>
      </c>
      <c r="CX311" s="60" t="n">
        <f aca="false">$G$28*SUMPRODUCT($E$33:$P$33,BX311:CI311,$E$28:$P$28)</f>
        <v>0</v>
      </c>
      <c r="CY311" s="60" t="n">
        <f aca="false">$H$28*SUMPRODUCT($E$34:$P$34,BX311:CI311,$E$28:$P$28)</f>
        <v>0</v>
      </c>
      <c r="CZ311" s="60" t="n">
        <f aca="false">$I$28*SUMPRODUCT($E$35:$P$35,BX311:CI311,$E$28:$P$28)</f>
        <v>0</v>
      </c>
      <c r="DA311" s="60" t="n">
        <f aca="false">$J$28*SUMPRODUCT($E$36:$P$36,BX311:CI311,$E$28:$P$28)</f>
        <v>0</v>
      </c>
      <c r="DB311" s="60" t="n">
        <f aca="false">$K$28*SUMPRODUCT($E$37:$P$37,BX311:CI311,$E$28:$P$28)</f>
        <v>0</v>
      </c>
      <c r="DC311" s="60" t="n">
        <f aca="false">$L$28*SUMPRODUCT($E$38:$P$38,BX311:CI311,$E$28:$P$28)</f>
        <v>0</v>
      </c>
      <c r="DD311" s="60" t="n">
        <f aca="false">$M$28*SUMPRODUCT($E$39:$P$39,BX311:CI311,$E$28:$P$28)</f>
        <v>0</v>
      </c>
      <c r="DE311" s="60" t="n">
        <f aca="false">$N$28*SUMPRODUCT($E$40:$P$40,BX311:CI311,$E$28:$P$28)</f>
        <v>0</v>
      </c>
      <c r="DF311" s="60" t="n">
        <f aca="false">$O$28*SUMPRODUCT($E$41:$P$41,BX311:CI311,$E$28:$P$28)</f>
        <v>0</v>
      </c>
      <c r="DG311" s="60" t="n">
        <f aca="false">$P$28*SUMPRODUCT($E$42:$P$42,BX311:CI311,$E$28:$P$28)</f>
        <v>0</v>
      </c>
      <c r="DH311" s="60" t="n">
        <f aca="false">SUMPRODUCT(BX311:CI311,CV311:DG311)</f>
        <v>0.184416866619846</v>
      </c>
      <c r="DI311" s="60" t="n">
        <f aca="false">SUMPRODUCT(BX311:CI311,$E$27:$P$27)</f>
        <v>2.67389635063809E-005</v>
      </c>
      <c r="DJ311" s="60" t="n">
        <f aca="false">DH311*$C$9/($C$10*$C$8)^2</f>
        <v>0.21776909410545</v>
      </c>
      <c r="DK311" s="60" t="n">
        <f aca="false">DI311*$C$9/($C$10*$C$8)</f>
        <v>0.0918845243259994</v>
      </c>
      <c r="DL311" s="60" t="n">
        <f aca="false">CHOOSE($C$7,-(1+DK311),-1,-(1-DK311))</f>
        <v>-0.908115475674001</v>
      </c>
      <c r="DM311" s="60" t="n">
        <f aca="false">CHOOSE($C$7,DJ311,DJ311-DK311-DK311^2,DJ311-3*DK311^2-2*DK311)</f>
        <v>0.00867174802160559</v>
      </c>
      <c r="DN311" s="60" t="n">
        <f aca="false">CHOOSE($C$7,-DJ311*DK311,-DJ311*DK311,-(DJ311*DK311-DK311^2-DK311^3))</f>
        <v>-0.0107910842936637</v>
      </c>
      <c r="DO311" s="60" t="n">
        <f aca="false">DM311-DL311^2/3</f>
        <v>-0.266219491031267</v>
      </c>
      <c r="DP311" s="60" t="n">
        <f aca="false">2*DL311^3/27-DL311*DM311/3+DN311</f>
        <v>-0.0636400988362784</v>
      </c>
      <c r="DQ311" s="60" t="n">
        <f aca="false">DP311^2/4+DO311^3/27</f>
        <v>0.000313710901361829</v>
      </c>
      <c r="DR311" s="60" t="n">
        <f aca="false">-DP311/2-IF(DP311&gt;=0,1,-1)*SQRT(MAX(DQ311,0))</f>
        <v>0.0495319352963236</v>
      </c>
      <c r="DS311" s="60" t="n">
        <f aca="false">SIGN(DR311)*ABS(DR311)^(1/3)</f>
        <v>0.367249967174439</v>
      </c>
      <c r="DT311" s="60" t="n">
        <f aca="false">IF(DS311=0,0,DS311-DO311/(3*DS311))</f>
        <v>0.60888329127384</v>
      </c>
      <c r="DU311" s="60" t="n">
        <f aca="false">2*SQRT(MAX(-DO311,0)/3)</f>
        <v>0.595784626668918</v>
      </c>
      <c r="DV311" s="60" t="n">
        <f aca="false">ACOS(IF(DU311=0,0,MAX(-1,MIN(1,3*DP311/(DO311*DU311)))))</f>
        <v>0</v>
      </c>
      <c r="DW311" s="60" t="n">
        <f aca="false">DU311*COS(DV311/3)</f>
        <v>0.595784626668918</v>
      </c>
      <c r="DX311" s="60" t="n">
        <f aca="false">IF(DQ311&lt;0,DW311,DT311)-DL311/3</f>
        <v>0.91158844983184</v>
      </c>
      <c r="DY311" s="60" t="n">
        <f aca="false">IFERROR((((DX311+DL311)*DX311+DM311)*DX311+DN311)/((3*DX311+2*DL311)*DX311+DM311),0)</f>
        <v>0</v>
      </c>
      <c r="DZ311" s="60" t="n">
        <f aca="false">IF(ABS(DY311)&lt;0.1*ABS(DX311),DX311-DY311,DX311)</f>
        <v>0.91158844983184</v>
      </c>
      <c r="EA311" s="60" t="n">
        <f aca="false">IFERROR((((DZ311+DL311)*DZ311+DM311)*DZ311+DN311)/((3*DZ311+2*DL311)*DZ311+DM311),0)</f>
        <v>0</v>
      </c>
      <c r="EB311" s="60" t="n">
        <f aca="false">IF(ABS(EA311)&lt;0.1*ABS(DZ311),DZ311-EA311,DZ311)</f>
        <v>0.91158844983184</v>
      </c>
      <c r="EC311" s="60" t="n">
        <f aca="false">-DN311/EB311</f>
        <v>0.0118376711504565</v>
      </c>
      <c r="ED311" s="60" t="n">
        <f aca="false">(DM311-EC311)/EB311</f>
        <v>-0.00347297415783941</v>
      </c>
      <c r="EE311" s="60" t="n">
        <f aca="false">ED311^2-4*EC311</f>
        <v>-0.0473386230523248</v>
      </c>
      <c r="EF311" s="60" t="n">
        <f aca="false">IF(EE311&gt;=0,(ED311+IF(ED311&gt;=0,1,-1)*SQRT(EE311))/2,0)</f>
        <v>0</v>
      </c>
      <c r="EG311" s="60" t="n">
        <f aca="false">IF(AND(EE311&gt;=0,EF311&lt;&gt;0),MIN(EF311,EC311/EF311),-1)</f>
        <v>-1</v>
      </c>
      <c r="EH311" s="60" t="n">
        <f aca="false">AND(EE311&gt;=0,EG311&gt;DK311,ABS(EB311-EG311)&gt;=0.00005*MAX(EB311,EG311))</f>
        <v>0</v>
      </c>
      <c r="EI311" s="60" t="n">
        <f aca="false">IF(EH311,IFERROR((((EG311+DL311)*EG311+DM311)*EG311+DN311)/((3*EG311+2*DL311)*EG311+DM311),0),0)</f>
        <v>0</v>
      </c>
      <c r="EJ311" s="60" t="n">
        <f aca="false">IF(ABS(EI311)&lt;0.1*ABS(EG311),EG311-EI311,EG311)</f>
        <v>-1</v>
      </c>
      <c r="EK311" s="60" t="n">
        <f aca="false">IF(EH311,IFERROR((((EJ311+DL311)*EJ311+DM311)*EJ311+DN311)/((3*EJ311+2*DL311)*EJ311+DM311),0),0)</f>
        <v>0</v>
      </c>
      <c r="EL311" s="60" t="n">
        <f aca="false">IF(ABS(EK311)&lt;0.1*ABS(EJ311),EJ311-EK311,EJ311)</f>
        <v>-1</v>
      </c>
      <c r="EM311" s="60" t="n">
        <f aca="false">IF(EH311,MAX(EB311,EL311),EB311)</f>
        <v>0.91158844983184</v>
      </c>
      <c r="EN311" s="60" t="n">
        <f aca="false">IF(EH311,MIN(EB311,EL311),-1)</f>
        <v>-1</v>
      </c>
      <c r="EO311" s="60" t="n">
        <f aca="false">CHOOSE($C$7,DJ311/EM311,DJ311/DK311*LN(1+DK311/EM311),DJ311/(2*SQRT(2)*DK311)*LN((EM311+(1+SQRT(2))*DK311)/(EM311+(1-SQRT(2))*DK311)))</f>
        <v>0.218240791233887</v>
      </c>
      <c r="EP311" s="60" t="n">
        <f aca="false">EM311-1-LN(EM311-DK311)-EO311</f>
        <v>-0.107840271021729</v>
      </c>
      <c r="EQ311" s="60" t="n">
        <f aca="false">IF(EH311,CHOOSE($C$7,DJ311/EN311,DJ311/DK311*LN(1+DK311/EN311),DJ311/(2*SQRT(2)*DK311)*LN((EN311+(1+SQRT(2))*DK311)/(EN311+(1-SQRT(2))*DK311))),0)</f>
        <v>0</v>
      </c>
      <c r="ER311" s="60" t="n">
        <f aca="false">IF(EH311,EN311-1-LN(EN311-DK311)-EQ311,0)</f>
        <v>0</v>
      </c>
      <c r="ES311" s="60" t="n">
        <f aca="false">AND(EH311,ER311&lt;EP311)</f>
        <v>0</v>
      </c>
      <c r="ET311" s="60" t="n">
        <f aca="false">IF(ES311,EN311,EM311)</f>
        <v>0.91158844983184</v>
      </c>
      <c r="EU311" s="60" t="n">
        <f aca="false">IF(ES311,EQ311,EO311)</f>
        <v>0.218240791233887</v>
      </c>
      <c r="EV311" s="60" t="n">
        <f aca="false">LN(ET311-DK311)</f>
        <v>-0.198812070380318</v>
      </c>
      <c r="EW311" s="60" t="n">
        <f aca="false">$E$27/DI311*(ET311-1)-EV311-EU311*(2*CV311/DH311-$E$27/DI311)</f>
        <v>-0.107840271021729</v>
      </c>
      <c r="EX311" s="60" t="n">
        <f aca="false">$F$27/DI311*(ET311-1)-EV311-EU311*(2*CW311/DH311-$F$27/DI311)</f>
        <v>0.198812070380318</v>
      </c>
      <c r="EY311" s="60" t="n">
        <f aca="false">$G$27/DI311*(ET311-1)-EV311-EU311*(2*CX311/DH311-$G$27/DI311)</f>
        <v>0.198812070380318</v>
      </c>
      <c r="EZ311" s="60" t="n">
        <f aca="false">$H$27/DI311*(ET311-1)-EV311-EU311*(2*CY311/DH311-$H$27/DI311)</f>
        <v>0.198812070380318</v>
      </c>
      <c r="FA311" s="60" t="n">
        <f aca="false">$I$27/DI311*(ET311-1)-EV311-EU311*(2*CZ311/DH311-$I$27/DI311)</f>
        <v>0.198812070380318</v>
      </c>
      <c r="FB311" s="60" t="n">
        <f aca="false">$J$27/DI311*(ET311-1)-EV311-EU311*(2*DA311/DH311-$J$27/DI311)</f>
        <v>0.198812070380318</v>
      </c>
      <c r="FC311" s="60" t="n">
        <f aca="false">$K$27/DI311*(ET311-1)-EV311-EU311*(2*DB311/DH311-$K$27/DI311)</f>
        <v>0.198812070380318</v>
      </c>
      <c r="FD311" s="60" t="n">
        <f aca="false">$L$27/DI311*(ET311-1)-EV311-EU311*(2*DC311/DH311-$L$27/DI311)</f>
        <v>0.198812070380318</v>
      </c>
      <c r="FE311" s="60" t="n">
        <f aca="false">$M$27/DI311*(ET311-1)-EV311-EU311*(2*DD311/DH311-$M$27/DI311)</f>
        <v>0.198812070380318</v>
      </c>
      <c r="FF311" s="60" t="n">
        <f aca="false">$N$27/DI311*(ET311-1)-EV311-EU311*(2*DE311/DH311-$N$27/DI311)</f>
        <v>0.198812070380318</v>
      </c>
      <c r="FG311" s="60" t="n">
        <f aca="false">$O$27/DI311*(ET311-1)-EV311-EU311*(2*DF311/DH311-$O$27/DI311)</f>
        <v>0.198812070380318</v>
      </c>
      <c r="FH311" s="60" t="n">
        <f aca="false">$P$27/DI311*(ET311-1)-EV311-EU311*(2*DG311/DH311-$P$27/DI311)</f>
        <v>0.198812070380318</v>
      </c>
      <c r="FI311" s="60" t="n">
        <f aca="false">DK311/ET311&gt;$C$22</f>
        <v>0</v>
      </c>
      <c r="FJ311" s="60" t="n">
        <f aca="false">$E$28*SUMPRODUCT($E$31:$P$31,CJ311:CU311,$E$28:$P$28)</f>
        <v>0.184416866619846</v>
      </c>
      <c r="FK311" s="60" t="n">
        <f aca="false">$F$28*SUMPRODUCT($E$32:$P$32,CJ311:CU311,$E$28:$P$28)</f>
        <v>0</v>
      </c>
      <c r="FL311" s="60" t="n">
        <f aca="false">$G$28*SUMPRODUCT($E$33:$P$33,CJ311:CU311,$E$28:$P$28)</f>
        <v>0</v>
      </c>
      <c r="FM311" s="60" t="n">
        <f aca="false">$H$28*SUMPRODUCT($E$34:$P$34,CJ311:CU311,$E$28:$P$28)</f>
        <v>0</v>
      </c>
      <c r="FN311" s="60" t="n">
        <f aca="false">$I$28*SUMPRODUCT($E$35:$P$35,CJ311:CU311,$E$28:$P$28)</f>
        <v>0</v>
      </c>
      <c r="FO311" s="60" t="n">
        <f aca="false">$J$28*SUMPRODUCT($E$36:$P$36,CJ311:CU311,$E$28:$P$28)</f>
        <v>0</v>
      </c>
      <c r="FP311" s="60" t="n">
        <f aca="false">$K$28*SUMPRODUCT($E$37:$P$37,CJ311:CU311,$E$28:$P$28)</f>
        <v>0</v>
      </c>
      <c r="FQ311" s="60" t="n">
        <f aca="false">$L$28*SUMPRODUCT($E$38:$P$38,CJ311:CU311,$E$28:$P$28)</f>
        <v>0</v>
      </c>
      <c r="FR311" s="60" t="n">
        <f aca="false">$M$28*SUMPRODUCT($E$39:$P$39,CJ311:CU311,$E$28:$P$28)</f>
        <v>0</v>
      </c>
      <c r="FS311" s="60" t="n">
        <f aca="false">$N$28*SUMPRODUCT($E$40:$P$40,CJ311:CU311,$E$28:$P$28)</f>
        <v>0</v>
      </c>
      <c r="FT311" s="60" t="n">
        <f aca="false">$O$28*SUMPRODUCT($E$41:$P$41,CJ311:CU311,$E$28:$P$28)</f>
        <v>0</v>
      </c>
      <c r="FU311" s="60" t="n">
        <f aca="false">$P$28*SUMPRODUCT($E$42:$P$42,CJ311:CU311,$E$28:$P$28)</f>
        <v>0</v>
      </c>
      <c r="FV311" s="60" t="n">
        <f aca="false">SUMPRODUCT(CJ311:CU311,FJ311:FU311)</f>
        <v>0.184416866619846</v>
      </c>
      <c r="FW311" s="60" t="n">
        <f aca="false">SUMPRODUCT(CJ311:CU311,$E$27:$P$27)</f>
        <v>2.67389635063809E-005</v>
      </c>
      <c r="FX311" s="60" t="n">
        <f aca="false">FV311*$C$9/($C$10*$C$8)^2</f>
        <v>0.21776909410545</v>
      </c>
      <c r="FY311" s="60" t="n">
        <f aca="false">FW311*$C$9/($C$10*$C$8)</f>
        <v>0.0918845243259994</v>
      </c>
      <c r="FZ311" s="60" t="n">
        <f aca="false">CHOOSE($C$7,-(1+FY311),-1,-(1-FY311))</f>
        <v>-0.908115475674001</v>
      </c>
      <c r="GA311" s="60" t="n">
        <f aca="false">CHOOSE($C$7,FX311,FX311-FY311-FY311^2,FX311-3*FY311^2-2*FY311)</f>
        <v>0.00867174802160559</v>
      </c>
      <c r="GB311" s="60" t="n">
        <f aca="false">CHOOSE($C$7,-FX311*FY311,-FX311*FY311,-(FX311*FY311-FY311^2-FY311^3))</f>
        <v>-0.0107910842936637</v>
      </c>
      <c r="GC311" s="60" t="n">
        <f aca="false">GA311-FZ311^2/3</f>
        <v>-0.266219491031267</v>
      </c>
      <c r="GD311" s="60" t="n">
        <f aca="false">2*FZ311^3/27-FZ311*GA311/3+GB311</f>
        <v>-0.0636400988362784</v>
      </c>
      <c r="GE311" s="60" t="n">
        <f aca="false">GD311^2/4+GC311^3/27</f>
        <v>0.000313710901361829</v>
      </c>
      <c r="GF311" s="60" t="n">
        <f aca="false">-GD311/2-IF(GD311&gt;=0,1,-1)*SQRT(MAX(GE311,0))</f>
        <v>0.0495319352963236</v>
      </c>
      <c r="GG311" s="60" t="n">
        <f aca="false">SIGN(GF311)*ABS(GF311)^(1/3)</f>
        <v>0.367249967174439</v>
      </c>
      <c r="GH311" s="60" t="n">
        <f aca="false">IF(GG311=0,0,GG311-GC311/(3*GG311))</f>
        <v>0.60888329127384</v>
      </c>
      <c r="GI311" s="60" t="n">
        <f aca="false">2*SQRT(MAX(-GC311,0)/3)</f>
        <v>0.595784626668918</v>
      </c>
      <c r="GJ311" s="60" t="n">
        <f aca="false">ACOS(IF(GI311=0,0,MAX(-1,MIN(1,3*GD311/(GC311*GI311)))))</f>
        <v>0</v>
      </c>
      <c r="GK311" s="60" t="n">
        <f aca="false">GI311*COS(GJ311/3)</f>
        <v>0.595784626668918</v>
      </c>
      <c r="GL311" s="60" t="n">
        <f aca="false">IF(GE311&lt;0,GK311,GH311)-FZ311/3</f>
        <v>0.91158844983184</v>
      </c>
      <c r="GM311" s="60" t="n">
        <f aca="false">IFERROR((((GL311+FZ311)*GL311+GA311)*GL311+GB311)/((3*GL311+2*FZ311)*GL311+GA311),0)</f>
        <v>0</v>
      </c>
      <c r="GN311" s="60" t="n">
        <f aca="false">IF(ABS(GM311)&lt;0.1*ABS(GL311),GL311-GM311,GL311)</f>
        <v>0.91158844983184</v>
      </c>
      <c r="GO311" s="60" t="n">
        <f aca="false">IFERROR((((GN311+FZ311)*GN311+GA311)*GN311+GB311)/((3*GN311+2*FZ311)*GN311+GA311),0)</f>
        <v>0</v>
      </c>
      <c r="GP311" s="60" t="n">
        <f aca="false">IF(ABS(GO311)&lt;0.1*ABS(GN311),GN311-GO311,GN311)</f>
        <v>0.91158844983184</v>
      </c>
      <c r="GQ311" s="60" t="n">
        <f aca="false">-GB311/GP311</f>
        <v>0.0118376711504565</v>
      </c>
      <c r="GR311" s="60" t="n">
        <f aca="false">(GA311-GQ311)/GP311</f>
        <v>-0.00347297415783941</v>
      </c>
      <c r="GS311" s="60" t="n">
        <f aca="false">GR311^2-4*GQ311</f>
        <v>-0.0473386230523248</v>
      </c>
      <c r="GT311" s="60" t="n">
        <f aca="false">IF(GS311&gt;=0,(GR311+IF(GR311&gt;=0,1,-1)*SQRT(GS311))/2,0)</f>
        <v>0</v>
      </c>
      <c r="GU311" s="60" t="n">
        <f aca="false">IF(AND(GS311&gt;=0,GT311&lt;&gt;0),MIN(GT311,GQ311/GT311),-1)</f>
        <v>-1</v>
      </c>
      <c r="GV311" s="60" t="n">
        <f aca="false">AND(GS311&gt;=0,GU311&gt;FY311,ABS(GP311-GU311)&gt;=0.00005*MAX(GP311,GU311))</f>
        <v>0</v>
      </c>
      <c r="GW311" s="60" t="n">
        <f aca="false">IF(GV311,IFERROR((((GU311+FZ311)*GU311+GA311)*GU311+GB311)/((3*GU311+2*FZ311)*GU311+GA311),0),0)</f>
        <v>0</v>
      </c>
      <c r="GX311" s="60" t="n">
        <f aca="false">IF(ABS(GW311)&lt;0.1*ABS(GU311),GU311-GW311,GU311)</f>
        <v>-1</v>
      </c>
      <c r="GY311" s="60" t="n">
        <f aca="false">IF(GV311,IFERROR((((GX311+FZ311)*GX311+GA311)*GX311+GB311)/((3*GX311+2*FZ311)*GX311+GA311),0),0)</f>
        <v>0</v>
      </c>
      <c r="GZ311" s="60" t="n">
        <f aca="false">IF(ABS(GY311)&lt;0.1*ABS(GX311),GX311-GY311,GX311)</f>
        <v>-1</v>
      </c>
      <c r="HA311" s="60" t="n">
        <f aca="false">IF(GV311,MAX(GP311,GZ311),GP311)</f>
        <v>0.91158844983184</v>
      </c>
      <c r="HB311" s="60" t="n">
        <f aca="false">IF(GV311,MIN(GP311,GZ311),-1)</f>
        <v>-1</v>
      </c>
      <c r="HC311" s="60" t="n">
        <f aca="false">CHOOSE($C$7,FX311/HA311,FX311/FY311*LN(1+FY311/HA311),FX311/(2*SQRT(2)*FY311)*LN((HA311+(1+SQRT(2))*FY311)/(HA311+(1-SQRT(2))*FY311)))</f>
        <v>0.218240791233887</v>
      </c>
      <c r="HD311" s="60" t="n">
        <f aca="false">HA311-1-LN(HA311-FY311)-HC311</f>
        <v>-0.107840271021729</v>
      </c>
      <c r="HE311" s="60" t="n">
        <f aca="false">IF(GV311,CHOOSE($C$7,FX311/HB311,FX311/FY311*LN(1+FY311/HB311),FX311/(2*SQRT(2)*FY311)*LN((HB311+(1+SQRT(2))*FY311)/(HB311+(1-SQRT(2))*FY311))),0)</f>
        <v>0</v>
      </c>
      <c r="HF311" s="60" t="n">
        <f aca="false">IF(GV311,HB311-1-LN(HB311-FY311)-HE311,0)</f>
        <v>0</v>
      </c>
      <c r="HG311" s="60" t="n">
        <f aca="false">AND(GV311,HF311&lt;HD311)</f>
        <v>0</v>
      </c>
      <c r="HH311" s="60" t="n">
        <f aca="false">IF(HG311,HB311,HA311)</f>
        <v>0.91158844983184</v>
      </c>
      <c r="HI311" s="60" t="n">
        <f aca="false">IF(HG311,HE311,HC311)</f>
        <v>0.218240791233887</v>
      </c>
      <c r="HJ311" s="60" t="n">
        <f aca="false">LN(HH311-FY311)</f>
        <v>-0.198812070380318</v>
      </c>
      <c r="HK311" s="60" t="n">
        <f aca="false">$E$27/FW311*(HH311-1)-HJ311-HI311*(2*FJ311/FV311-$E$27/FW311)</f>
        <v>-0.107840271021729</v>
      </c>
      <c r="HL311" s="60" t="n">
        <f aca="false">$F$27/FW311*(HH311-1)-HJ311-HI311*(2*FK311/FV311-$F$27/FW311)</f>
        <v>0.198812070380318</v>
      </c>
      <c r="HM311" s="60" t="n">
        <f aca="false">$G$27/FW311*(HH311-1)-HJ311-HI311*(2*FL311/FV311-$G$27/FW311)</f>
        <v>0.198812070380318</v>
      </c>
      <c r="HN311" s="60" t="n">
        <f aca="false">$H$27/FW311*(HH311-1)-HJ311-HI311*(2*FM311/FV311-$H$27/FW311)</f>
        <v>0.198812070380318</v>
      </c>
      <c r="HO311" s="60" t="n">
        <f aca="false">$I$27/FW311*(HH311-1)-HJ311-HI311*(2*FN311/FV311-$I$27/FW311)</f>
        <v>0.198812070380318</v>
      </c>
      <c r="HP311" s="60" t="n">
        <f aca="false">$J$27/FW311*(HH311-1)-HJ311-HI311*(2*FO311/FV311-$J$27/FW311)</f>
        <v>0.198812070380318</v>
      </c>
      <c r="HQ311" s="60" t="n">
        <f aca="false">$K$27/FW311*(HH311-1)-HJ311-HI311*(2*FP311/FV311-$K$27/FW311)</f>
        <v>0.198812070380318</v>
      </c>
      <c r="HR311" s="60" t="n">
        <f aca="false">$L$27/FW311*(HH311-1)-HJ311-HI311*(2*FQ311/FV311-$L$27/FW311)</f>
        <v>0.198812070380318</v>
      </c>
      <c r="HS311" s="60" t="n">
        <f aca="false">$M$27/FW311*(HH311-1)-HJ311-HI311*(2*FR311/FV311-$M$27/FW311)</f>
        <v>0.198812070380318</v>
      </c>
      <c r="HT311" s="60" t="n">
        <f aca="false">$N$27/FW311*(HH311-1)-HJ311-HI311*(2*FS311/FV311-$N$27/FW311)</f>
        <v>0.198812070380318</v>
      </c>
      <c r="HU311" s="60" t="n">
        <f aca="false">$O$27/FW311*(HH311-1)-HJ311-HI311*(2*FT311/FV311-$O$27/FW311)</f>
        <v>0.198812070380318</v>
      </c>
      <c r="HV311" s="60" t="n">
        <f aca="false">$P$27/FW311*(HH311-1)-HJ311-HI311*(2*FU311/FV311-$P$27/FW311)</f>
        <v>0.198812070380318</v>
      </c>
      <c r="HW311" s="60" t="n">
        <f aca="false">FY311/HH311&gt;$C$22</f>
        <v>0</v>
      </c>
      <c r="HX311" s="60" t="n">
        <f aca="false">IF($E$13&gt;0,MAX(-300,MIN(300,EW311-HK311)),0)</f>
        <v>0</v>
      </c>
      <c r="HY311" s="60" t="n">
        <f aca="false">IF($F$13&gt;0,MAX(-300,MIN(300,EX311-HL311)),0)</f>
        <v>0</v>
      </c>
      <c r="HZ311" s="60" t="n">
        <f aca="false">IF($G$13&gt;0,MAX(-300,MIN(300,EY311-HM311)),0)</f>
        <v>0</v>
      </c>
      <c r="IA311" s="60" t="n">
        <f aca="false">IF($H$13&gt;0,MAX(-300,MIN(300,EZ311-HN311)),0)</f>
        <v>0</v>
      </c>
      <c r="IB311" s="60" t="n">
        <f aca="false">IF($I$13&gt;0,MAX(-300,MIN(300,FA311-HO311)),0)</f>
        <v>0</v>
      </c>
      <c r="IC311" s="60" t="n">
        <f aca="false">IF($J$13&gt;0,MAX(-300,MIN(300,FB311-HP311)),0)</f>
        <v>0</v>
      </c>
      <c r="ID311" s="60" t="n">
        <f aca="false">IF($K$13&gt;0,MAX(-300,MIN(300,FC311-HQ311)),0)</f>
        <v>0</v>
      </c>
      <c r="IE311" s="60" t="n">
        <f aca="false">IF($L$13&gt;0,MAX(-300,MIN(300,FD311-HR311)),0)</f>
        <v>0</v>
      </c>
      <c r="IF311" s="60" t="n">
        <f aca="false">IF($M$13&gt;0,MAX(-300,MIN(300,FE311-HS311)),0)</f>
        <v>0</v>
      </c>
      <c r="IG311" s="60" t="n">
        <f aca="false">IF($N$13&gt;0,MAX(-300,MIN(300,FF311-HT311)),0)</f>
        <v>0</v>
      </c>
      <c r="IH311" s="60" t="n">
        <f aca="false">IF($O$13&gt;0,MAX(-300,MIN(300,FG311-HU311)),0)</f>
        <v>0</v>
      </c>
      <c r="II311" s="60" t="n">
        <f aca="false">IF($P$13&gt;0,MAX(-300,MIN(300,FH311-HV311)),0)</f>
        <v>0</v>
      </c>
      <c r="IJ311" s="60" t="n">
        <f aca="false">SUMXMY2(HX311:II311,B311:M311)</f>
        <v>0</v>
      </c>
      <c r="IK311" s="60" t="n">
        <f aca="false">SUMSQ(B311:M311)</f>
        <v>0</v>
      </c>
    </row>
    <row r="312" customFormat="false" ht="15" hidden="false" customHeight="false" outlineLevel="0" collapsed="false">
      <c r="A312" s="59" t="n">
        <v>15</v>
      </c>
      <c r="B312" s="60" t="n">
        <f aca="false">HX311</f>
        <v>0</v>
      </c>
      <c r="C312" s="60" t="n">
        <f aca="false">HY311</f>
        <v>0</v>
      </c>
      <c r="D312" s="60" t="n">
        <f aca="false">HZ311</f>
        <v>0</v>
      </c>
      <c r="E312" s="60" t="n">
        <f aca="false">IA311</f>
        <v>0</v>
      </c>
      <c r="F312" s="60" t="n">
        <f aca="false">IB311</f>
        <v>0</v>
      </c>
      <c r="G312" s="60" t="n">
        <f aca="false">IC311</f>
        <v>0</v>
      </c>
      <c r="H312" s="60" t="n">
        <f aca="false">ID311</f>
        <v>0</v>
      </c>
      <c r="I312" s="60" t="n">
        <f aca="false">IE311</f>
        <v>0</v>
      </c>
      <c r="J312" s="60" t="n">
        <f aca="false">IF311</f>
        <v>0</v>
      </c>
      <c r="K312" s="60" t="n">
        <f aca="false">IG311</f>
        <v>0</v>
      </c>
      <c r="L312" s="60" t="n">
        <f aca="false">IH311</f>
        <v>0</v>
      </c>
      <c r="M312" s="60" t="n">
        <f aca="false">II311</f>
        <v>0</v>
      </c>
      <c r="N312" s="60" t="n">
        <f aca="false">EXP(B312)</f>
        <v>1</v>
      </c>
      <c r="O312" s="60" t="n">
        <f aca="false">EXP(C312)</f>
        <v>1</v>
      </c>
      <c r="P312" s="60" t="n">
        <f aca="false">EXP(D312)</f>
        <v>1</v>
      </c>
      <c r="Q312" s="60" t="n">
        <f aca="false">EXP(E312)</f>
        <v>1</v>
      </c>
      <c r="R312" s="60" t="n">
        <f aca="false">EXP(F312)</f>
        <v>1</v>
      </c>
      <c r="S312" s="60" t="n">
        <f aca="false">EXP(G312)</f>
        <v>1</v>
      </c>
      <c r="T312" s="60" t="n">
        <f aca="false">EXP(H312)</f>
        <v>1</v>
      </c>
      <c r="U312" s="60" t="n">
        <f aca="false">EXP(I312)</f>
        <v>1</v>
      </c>
      <c r="V312" s="60" t="n">
        <f aca="false">EXP(J312)</f>
        <v>1</v>
      </c>
      <c r="W312" s="60" t="n">
        <f aca="false">EXP(K312)</f>
        <v>1</v>
      </c>
      <c r="X312" s="60" t="n">
        <f aca="false">EXP(L312)</f>
        <v>1</v>
      </c>
      <c r="Y312" s="60" t="n">
        <f aca="false">EXP(M312)</f>
        <v>1</v>
      </c>
      <c r="Z312" s="60" t="n">
        <f aca="false">MAX(N312:Y312)</f>
        <v>1</v>
      </c>
      <c r="AA312" s="60" t="n">
        <f aca="false">MIN(N312:Y312)</f>
        <v>1</v>
      </c>
      <c r="AB312" s="60" t="n">
        <f aca="false">AND(Z312&gt;1,AA312&lt;1)</f>
        <v>0</v>
      </c>
      <c r="AC312" s="60" t="n">
        <f aca="false">IF(AB312,1/(1-Z312),0)</f>
        <v>0</v>
      </c>
      <c r="AD312" s="60" t="n">
        <f aca="false">IF(AB312,1/(1-AA312),1)</f>
        <v>1</v>
      </c>
      <c r="AE312" s="60" t="n">
        <f aca="false">IF(AB312,MIN(MAX(BI311,AC312+0.000000001*(AD312-AC312)),AD312-0.000000001*(AD312-AC312)),IF(AA312&gt;=1,1,0))</f>
        <v>1</v>
      </c>
      <c r="AF312" s="60" t="n">
        <f aca="false">SUMPRODUCT($E$13:$P$13*(N312:Y312-1)/(1+AE312*(N312:Y312-1)))</f>
        <v>0</v>
      </c>
      <c r="AG312" s="60" t="n">
        <f aca="false">-SUMPRODUCT($E$13:$P$13*(N312:Y312-1)^2/(1+AE312*(N312:Y312-1))^2)</f>
        <v>-0</v>
      </c>
      <c r="AH312" s="60" t="n">
        <f aca="false">IF(OR(NOT(AB312),AG312=0),AE312,IF(AE312-AF312/AG312&lt;=AC312,(AE312+AC312)/2,IF(AE312-AF312/AG312&gt;=AD312,(AE312+AD312)/2,AE312-AF312/AG312)))</f>
        <v>1</v>
      </c>
      <c r="AI312" s="60" t="n">
        <f aca="false">SUMPRODUCT($E$13:$P$13*(N312:Y312-1)/(1+AH312*(N312:Y312-1)))</f>
        <v>0</v>
      </c>
      <c r="AJ312" s="60" t="n">
        <f aca="false">-SUMPRODUCT($E$13:$P$13*(N312:Y312-1)^2/(1+AH312*(N312:Y312-1))^2)</f>
        <v>-0</v>
      </c>
      <c r="AK312" s="60" t="n">
        <f aca="false">IF(OR(NOT(AB312),AJ312=0),AH312,IF(AH312-AI312/AJ312&lt;=AC312,(AH312+AC312)/2,IF(AH312-AI312/AJ312&gt;=AD312,(AH312+AD312)/2,AH312-AI312/AJ312)))</f>
        <v>1</v>
      </c>
      <c r="AL312" s="60" t="n">
        <f aca="false">SUMPRODUCT($E$13:$P$13*(N312:Y312-1)/(1+AK312*(N312:Y312-1)))</f>
        <v>0</v>
      </c>
      <c r="AM312" s="60" t="n">
        <f aca="false">-SUMPRODUCT($E$13:$P$13*(N312:Y312-1)^2/(1+AK312*(N312:Y312-1))^2)</f>
        <v>-0</v>
      </c>
      <c r="AN312" s="60" t="n">
        <f aca="false">IF(OR(NOT(AB312),AM312=0),AK312,IF(AK312-AL312/AM312&lt;=AC312,(AK312+AC312)/2,IF(AK312-AL312/AM312&gt;=AD312,(AK312+AD312)/2,AK312-AL312/AM312)))</f>
        <v>1</v>
      </c>
      <c r="AO312" s="60" t="n">
        <f aca="false">SUMPRODUCT($E$13:$P$13*(N312:Y312-1)/(1+AN312*(N312:Y312-1)))</f>
        <v>0</v>
      </c>
      <c r="AP312" s="60" t="n">
        <f aca="false">-SUMPRODUCT($E$13:$P$13*(N312:Y312-1)^2/(1+AN312*(N312:Y312-1))^2)</f>
        <v>-0</v>
      </c>
      <c r="AQ312" s="60" t="n">
        <f aca="false">IF(OR(NOT(AB312),AP312=0),AN312,IF(AN312-AO312/AP312&lt;=AC312,(AN312+AC312)/2,IF(AN312-AO312/AP312&gt;=AD312,(AN312+AD312)/2,AN312-AO312/AP312)))</f>
        <v>1</v>
      </c>
      <c r="AR312" s="60" t="n">
        <f aca="false">SUMPRODUCT($E$13:$P$13*(N312:Y312-1)/(1+AQ312*(N312:Y312-1)))</f>
        <v>0</v>
      </c>
      <c r="AS312" s="60" t="n">
        <f aca="false">-SUMPRODUCT($E$13:$P$13*(N312:Y312-1)^2/(1+AQ312*(N312:Y312-1))^2)</f>
        <v>-0</v>
      </c>
      <c r="AT312" s="60" t="n">
        <f aca="false">IF(OR(NOT(AB312),AS312=0),AQ312,IF(AQ312-AR312/AS312&lt;=AC312,(AQ312+AC312)/2,IF(AQ312-AR312/AS312&gt;=AD312,(AQ312+AD312)/2,AQ312-AR312/AS312)))</f>
        <v>1</v>
      </c>
      <c r="AU312" s="60" t="n">
        <f aca="false">SUMPRODUCT($E$13:$P$13*(N312:Y312-1)/(1+AT312*(N312:Y312-1)))</f>
        <v>0</v>
      </c>
      <c r="AV312" s="60" t="n">
        <f aca="false">-SUMPRODUCT($E$13:$P$13*(N312:Y312-1)^2/(1+AT312*(N312:Y312-1))^2)</f>
        <v>-0</v>
      </c>
      <c r="AW312" s="60" t="n">
        <f aca="false">IF(OR(NOT(AB312),AV312=0),AT312,IF(AT312-AU312/AV312&lt;=AC312,(AT312+AC312)/2,IF(AT312-AU312/AV312&gt;=AD312,(AT312+AD312)/2,AT312-AU312/AV312)))</f>
        <v>1</v>
      </c>
      <c r="AX312" s="60" t="n">
        <f aca="false">SUMPRODUCT($E$13:$P$13*(N312:Y312-1)/(1+AW312*(N312:Y312-1)))</f>
        <v>0</v>
      </c>
      <c r="AY312" s="60" t="n">
        <f aca="false">-SUMPRODUCT($E$13:$P$13*(N312:Y312-1)^2/(1+AW312*(N312:Y312-1))^2)</f>
        <v>-0</v>
      </c>
      <c r="AZ312" s="60" t="n">
        <f aca="false">IF(OR(NOT(AB312),AY312=0),AW312,IF(AW312-AX312/AY312&lt;=AC312,(AW312+AC312)/2,IF(AW312-AX312/AY312&gt;=AD312,(AW312+AD312)/2,AW312-AX312/AY312)))</f>
        <v>1</v>
      </c>
      <c r="BA312" s="60" t="n">
        <f aca="false">SUMPRODUCT($E$13:$P$13*(N312:Y312-1)/(1+AZ312*(N312:Y312-1)))</f>
        <v>0</v>
      </c>
      <c r="BB312" s="60" t="n">
        <f aca="false">-SUMPRODUCT($E$13:$P$13*(N312:Y312-1)^2/(1+AZ312*(N312:Y312-1))^2)</f>
        <v>-0</v>
      </c>
      <c r="BC312" s="60" t="n">
        <f aca="false">IF(OR(NOT(AB312),BB312=0),AZ312,IF(AZ312-BA312/BB312&lt;=AC312,(AZ312+AC312)/2,IF(AZ312-BA312/BB312&gt;=AD312,(AZ312+AD312)/2,AZ312-BA312/BB312)))</f>
        <v>1</v>
      </c>
      <c r="BD312" s="60" t="n">
        <f aca="false">SUMPRODUCT($E$13:$P$13*(N312:Y312-1)/(1+BC312*(N312:Y312-1)))</f>
        <v>0</v>
      </c>
      <c r="BE312" s="60" t="n">
        <f aca="false">-SUMPRODUCT($E$13:$P$13*(N312:Y312-1)^2/(1+BC312*(N312:Y312-1))^2)</f>
        <v>-0</v>
      </c>
      <c r="BF312" s="60" t="n">
        <f aca="false">IF(OR(NOT(AB312),BE312=0),BC312,IF(BC312-BD312/BE312&lt;=AC312,(BC312+AC312)/2,IF(BC312-BD312/BE312&gt;=AD312,(BC312+AD312)/2,BC312-BD312/BE312)))</f>
        <v>1</v>
      </c>
      <c r="BG312" s="60" t="n">
        <f aca="false">SUMPRODUCT($E$13:$P$13*(N312:Y312-1)/(1+BF312*(N312:Y312-1)))</f>
        <v>0</v>
      </c>
      <c r="BH312" s="60" t="n">
        <f aca="false">-SUMPRODUCT($E$13:$P$13*(N312:Y312-1)^2/(1+BF312*(N312:Y312-1))^2)</f>
        <v>-0</v>
      </c>
      <c r="BI312" s="60" t="n">
        <f aca="false">IF(OR(NOT(AB312),BH312=0),BF312,IF(BF312-BG312/BH312&lt;=AC312,(BF312+AC312)/2,IF(BF312-BG312/BH312&gt;=AD312,(BF312+AD312)/2,BF312-BG312/BH312)))</f>
        <v>1</v>
      </c>
      <c r="BJ312" s="60" t="n">
        <f aca="false">$E$13/(1+BI312*(N312-1))</f>
        <v>1</v>
      </c>
      <c r="BK312" s="60" t="n">
        <f aca="false">$F$13/(1+BI312*(O312-1))</f>
        <v>0</v>
      </c>
      <c r="BL312" s="60" t="n">
        <f aca="false">$G$13/(1+BI312*(P312-1))</f>
        <v>0</v>
      </c>
      <c r="BM312" s="60" t="n">
        <f aca="false">$H$13/(1+BI312*(Q312-1))</f>
        <v>0</v>
      </c>
      <c r="BN312" s="60" t="n">
        <f aca="false">$I$13/(1+BI312*(R312-1))</f>
        <v>0</v>
      </c>
      <c r="BO312" s="60" t="n">
        <f aca="false">$J$13/(1+BI312*(S312-1))</f>
        <v>0</v>
      </c>
      <c r="BP312" s="60" t="n">
        <f aca="false">$K$13/(1+BI312*(T312-1))</f>
        <v>0</v>
      </c>
      <c r="BQ312" s="60" t="n">
        <f aca="false">$L$13/(1+BI312*(U312-1))</f>
        <v>0</v>
      </c>
      <c r="BR312" s="60" t="n">
        <f aca="false">$M$13/(1+BI312*(V312-1))</f>
        <v>0</v>
      </c>
      <c r="BS312" s="60" t="n">
        <f aca="false">$N$13/(1+BI312*(W312-1))</f>
        <v>0</v>
      </c>
      <c r="BT312" s="60" t="n">
        <f aca="false">$O$13/(1+BI312*(X312-1))</f>
        <v>0</v>
      </c>
      <c r="BU312" s="60" t="n">
        <f aca="false">$P$13/(1+BI312*(Y312-1))</f>
        <v>0</v>
      </c>
      <c r="BV312" s="60" t="n">
        <f aca="false">SUM(BJ312:BU312)</f>
        <v>1</v>
      </c>
      <c r="BW312" s="60" t="n">
        <f aca="false">SUMPRODUCT(N312:Y312,BJ312:BU312)</f>
        <v>1</v>
      </c>
      <c r="BX312" s="60" t="n">
        <f aca="false">BJ312/BV312</f>
        <v>1</v>
      </c>
      <c r="BY312" s="60" t="n">
        <f aca="false">BK312/BV312</f>
        <v>0</v>
      </c>
      <c r="BZ312" s="60" t="n">
        <f aca="false">BL312/BV312</f>
        <v>0</v>
      </c>
      <c r="CA312" s="60" t="n">
        <f aca="false">BM312/BV312</f>
        <v>0</v>
      </c>
      <c r="CB312" s="60" t="n">
        <f aca="false">BN312/BV312</f>
        <v>0</v>
      </c>
      <c r="CC312" s="60" t="n">
        <f aca="false">BO312/BV312</f>
        <v>0</v>
      </c>
      <c r="CD312" s="60" t="n">
        <f aca="false">BP312/BV312</f>
        <v>0</v>
      </c>
      <c r="CE312" s="60" t="n">
        <f aca="false">BQ312/BV312</f>
        <v>0</v>
      </c>
      <c r="CF312" s="60" t="n">
        <f aca="false">BR312/BV312</f>
        <v>0</v>
      </c>
      <c r="CG312" s="60" t="n">
        <f aca="false">BS312/BV312</f>
        <v>0</v>
      </c>
      <c r="CH312" s="60" t="n">
        <f aca="false">BT312/BV312</f>
        <v>0</v>
      </c>
      <c r="CI312" s="60" t="n">
        <f aca="false">BU312/BV312</f>
        <v>0</v>
      </c>
      <c r="CJ312" s="60" t="n">
        <f aca="false">N312*BJ312/BW312</f>
        <v>1</v>
      </c>
      <c r="CK312" s="60" t="n">
        <f aca="false">O312*BK312/BW312</f>
        <v>0</v>
      </c>
      <c r="CL312" s="60" t="n">
        <f aca="false">P312*BL312/BW312</f>
        <v>0</v>
      </c>
      <c r="CM312" s="60" t="n">
        <f aca="false">Q312*BM312/BW312</f>
        <v>0</v>
      </c>
      <c r="CN312" s="60" t="n">
        <f aca="false">R312*BN312/BW312</f>
        <v>0</v>
      </c>
      <c r="CO312" s="60" t="n">
        <f aca="false">S312*BO312/BW312</f>
        <v>0</v>
      </c>
      <c r="CP312" s="60" t="n">
        <f aca="false">T312*BP312/BW312</f>
        <v>0</v>
      </c>
      <c r="CQ312" s="60" t="n">
        <f aca="false">U312*BQ312/BW312</f>
        <v>0</v>
      </c>
      <c r="CR312" s="60" t="n">
        <f aca="false">V312*BR312/BW312</f>
        <v>0</v>
      </c>
      <c r="CS312" s="60" t="n">
        <f aca="false">W312*BS312/BW312</f>
        <v>0</v>
      </c>
      <c r="CT312" s="60" t="n">
        <f aca="false">X312*BT312/BW312</f>
        <v>0</v>
      </c>
      <c r="CU312" s="60" t="n">
        <f aca="false">Y312*BU312/BW312</f>
        <v>0</v>
      </c>
      <c r="CV312" s="60" t="n">
        <f aca="false">$E$28*SUMPRODUCT($E$31:$P$31,BX312:CI312,$E$28:$P$28)</f>
        <v>0.184416866619846</v>
      </c>
      <c r="CW312" s="60" t="n">
        <f aca="false">$F$28*SUMPRODUCT($E$32:$P$32,BX312:CI312,$E$28:$P$28)</f>
        <v>0</v>
      </c>
      <c r="CX312" s="60" t="n">
        <f aca="false">$G$28*SUMPRODUCT($E$33:$P$33,BX312:CI312,$E$28:$P$28)</f>
        <v>0</v>
      </c>
      <c r="CY312" s="60" t="n">
        <f aca="false">$H$28*SUMPRODUCT($E$34:$P$34,BX312:CI312,$E$28:$P$28)</f>
        <v>0</v>
      </c>
      <c r="CZ312" s="60" t="n">
        <f aca="false">$I$28*SUMPRODUCT($E$35:$P$35,BX312:CI312,$E$28:$P$28)</f>
        <v>0</v>
      </c>
      <c r="DA312" s="60" t="n">
        <f aca="false">$J$28*SUMPRODUCT($E$36:$P$36,BX312:CI312,$E$28:$P$28)</f>
        <v>0</v>
      </c>
      <c r="DB312" s="60" t="n">
        <f aca="false">$K$28*SUMPRODUCT($E$37:$P$37,BX312:CI312,$E$28:$P$28)</f>
        <v>0</v>
      </c>
      <c r="DC312" s="60" t="n">
        <f aca="false">$L$28*SUMPRODUCT($E$38:$P$38,BX312:CI312,$E$28:$P$28)</f>
        <v>0</v>
      </c>
      <c r="DD312" s="60" t="n">
        <f aca="false">$M$28*SUMPRODUCT($E$39:$P$39,BX312:CI312,$E$28:$P$28)</f>
        <v>0</v>
      </c>
      <c r="DE312" s="60" t="n">
        <f aca="false">$N$28*SUMPRODUCT($E$40:$P$40,BX312:CI312,$E$28:$P$28)</f>
        <v>0</v>
      </c>
      <c r="DF312" s="60" t="n">
        <f aca="false">$O$28*SUMPRODUCT($E$41:$P$41,BX312:CI312,$E$28:$P$28)</f>
        <v>0</v>
      </c>
      <c r="DG312" s="60" t="n">
        <f aca="false">$P$28*SUMPRODUCT($E$42:$P$42,BX312:CI312,$E$28:$P$28)</f>
        <v>0</v>
      </c>
      <c r="DH312" s="60" t="n">
        <f aca="false">SUMPRODUCT(BX312:CI312,CV312:DG312)</f>
        <v>0.184416866619846</v>
      </c>
      <c r="DI312" s="60" t="n">
        <f aca="false">SUMPRODUCT(BX312:CI312,$E$27:$P$27)</f>
        <v>2.67389635063809E-005</v>
      </c>
      <c r="DJ312" s="60" t="n">
        <f aca="false">DH312*$C$9/($C$10*$C$8)^2</f>
        <v>0.21776909410545</v>
      </c>
      <c r="DK312" s="60" t="n">
        <f aca="false">DI312*$C$9/($C$10*$C$8)</f>
        <v>0.0918845243259994</v>
      </c>
      <c r="DL312" s="60" t="n">
        <f aca="false">CHOOSE($C$7,-(1+DK312),-1,-(1-DK312))</f>
        <v>-0.908115475674001</v>
      </c>
      <c r="DM312" s="60" t="n">
        <f aca="false">CHOOSE($C$7,DJ312,DJ312-DK312-DK312^2,DJ312-3*DK312^2-2*DK312)</f>
        <v>0.00867174802160559</v>
      </c>
      <c r="DN312" s="60" t="n">
        <f aca="false">CHOOSE($C$7,-DJ312*DK312,-DJ312*DK312,-(DJ312*DK312-DK312^2-DK312^3))</f>
        <v>-0.0107910842936637</v>
      </c>
      <c r="DO312" s="60" t="n">
        <f aca="false">DM312-DL312^2/3</f>
        <v>-0.266219491031267</v>
      </c>
      <c r="DP312" s="60" t="n">
        <f aca="false">2*DL312^3/27-DL312*DM312/3+DN312</f>
        <v>-0.0636400988362784</v>
      </c>
      <c r="DQ312" s="60" t="n">
        <f aca="false">DP312^2/4+DO312^3/27</f>
        <v>0.000313710901361829</v>
      </c>
      <c r="DR312" s="60" t="n">
        <f aca="false">-DP312/2-IF(DP312&gt;=0,1,-1)*SQRT(MAX(DQ312,0))</f>
        <v>0.0495319352963236</v>
      </c>
      <c r="DS312" s="60" t="n">
        <f aca="false">SIGN(DR312)*ABS(DR312)^(1/3)</f>
        <v>0.367249967174439</v>
      </c>
      <c r="DT312" s="60" t="n">
        <f aca="false">IF(DS312=0,0,DS312-DO312/(3*DS312))</f>
        <v>0.60888329127384</v>
      </c>
      <c r="DU312" s="60" t="n">
        <f aca="false">2*SQRT(MAX(-DO312,0)/3)</f>
        <v>0.595784626668918</v>
      </c>
      <c r="DV312" s="60" t="n">
        <f aca="false">ACOS(IF(DU312=0,0,MAX(-1,MIN(1,3*DP312/(DO312*DU312)))))</f>
        <v>0</v>
      </c>
      <c r="DW312" s="60" t="n">
        <f aca="false">DU312*COS(DV312/3)</f>
        <v>0.595784626668918</v>
      </c>
      <c r="DX312" s="60" t="n">
        <f aca="false">IF(DQ312&lt;0,DW312,DT312)-DL312/3</f>
        <v>0.91158844983184</v>
      </c>
      <c r="DY312" s="60" t="n">
        <f aca="false">IFERROR((((DX312+DL312)*DX312+DM312)*DX312+DN312)/((3*DX312+2*DL312)*DX312+DM312),0)</f>
        <v>0</v>
      </c>
      <c r="DZ312" s="60" t="n">
        <f aca="false">IF(ABS(DY312)&lt;0.1*ABS(DX312),DX312-DY312,DX312)</f>
        <v>0.91158844983184</v>
      </c>
      <c r="EA312" s="60" t="n">
        <f aca="false">IFERROR((((DZ312+DL312)*DZ312+DM312)*DZ312+DN312)/((3*DZ312+2*DL312)*DZ312+DM312),0)</f>
        <v>0</v>
      </c>
      <c r="EB312" s="60" t="n">
        <f aca="false">IF(ABS(EA312)&lt;0.1*ABS(DZ312),DZ312-EA312,DZ312)</f>
        <v>0.91158844983184</v>
      </c>
      <c r="EC312" s="60" t="n">
        <f aca="false">-DN312/EB312</f>
        <v>0.0118376711504565</v>
      </c>
      <c r="ED312" s="60" t="n">
        <f aca="false">(DM312-EC312)/EB312</f>
        <v>-0.00347297415783941</v>
      </c>
      <c r="EE312" s="60" t="n">
        <f aca="false">ED312^2-4*EC312</f>
        <v>-0.0473386230523248</v>
      </c>
      <c r="EF312" s="60" t="n">
        <f aca="false">IF(EE312&gt;=0,(ED312+IF(ED312&gt;=0,1,-1)*SQRT(EE312))/2,0)</f>
        <v>0</v>
      </c>
      <c r="EG312" s="60" t="n">
        <f aca="false">IF(AND(EE312&gt;=0,EF312&lt;&gt;0),MIN(EF312,EC312/EF312),-1)</f>
        <v>-1</v>
      </c>
      <c r="EH312" s="60" t="n">
        <f aca="false">AND(EE312&gt;=0,EG312&gt;DK312,ABS(EB312-EG312)&gt;=0.00005*MAX(EB312,EG312))</f>
        <v>0</v>
      </c>
      <c r="EI312" s="60" t="n">
        <f aca="false">IF(EH312,IFERROR((((EG312+DL312)*EG312+DM312)*EG312+DN312)/((3*EG312+2*DL312)*EG312+DM312),0),0)</f>
        <v>0</v>
      </c>
      <c r="EJ312" s="60" t="n">
        <f aca="false">IF(ABS(EI312)&lt;0.1*ABS(EG312),EG312-EI312,EG312)</f>
        <v>-1</v>
      </c>
      <c r="EK312" s="60" t="n">
        <f aca="false">IF(EH312,IFERROR((((EJ312+DL312)*EJ312+DM312)*EJ312+DN312)/((3*EJ312+2*DL312)*EJ312+DM312),0),0)</f>
        <v>0</v>
      </c>
      <c r="EL312" s="60" t="n">
        <f aca="false">IF(ABS(EK312)&lt;0.1*ABS(EJ312),EJ312-EK312,EJ312)</f>
        <v>-1</v>
      </c>
      <c r="EM312" s="60" t="n">
        <f aca="false">IF(EH312,MAX(EB312,EL312),EB312)</f>
        <v>0.91158844983184</v>
      </c>
      <c r="EN312" s="60" t="n">
        <f aca="false">IF(EH312,MIN(EB312,EL312),-1)</f>
        <v>-1</v>
      </c>
      <c r="EO312" s="60" t="n">
        <f aca="false">CHOOSE($C$7,DJ312/EM312,DJ312/DK312*LN(1+DK312/EM312),DJ312/(2*SQRT(2)*DK312)*LN((EM312+(1+SQRT(2))*DK312)/(EM312+(1-SQRT(2))*DK312)))</f>
        <v>0.218240791233887</v>
      </c>
      <c r="EP312" s="60" t="n">
        <f aca="false">EM312-1-LN(EM312-DK312)-EO312</f>
        <v>-0.107840271021729</v>
      </c>
      <c r="EQ312" s="60" t="n">
        <f aca="false">IF(EH312,CHOOSE($C$7,DJ312/EN312,DJ312/DK312*LN(1+DK312/EN312),DJ312/(2*SQRT(2)*DK312)*LN((EN312+(1+SQRT(2))*DK312)/(EN312+(1-SQRT(2))*DK312))),0)</f>
        <v>0</v>
      </c>
      <c r="ER312" s="60" t="n">
        <f aca="false">IF(EH312,EN312-1-LN(EN312-DK312)-EQ312,0)</f>
        <v>0</v>
      </c>
      <c r="ES312" s="60" t="n">
        <f aca="false">AND(EH312,ER312&lt;EP312)</f>
        <v>0</v>
      </c>
      <c r="ET312" s="60" t="n">
        <f aca="false">IF(ES312,EN312,EM312)</f>
        <v>0.91158844983184</v>
      </c>
      <c r="EU312" s="60" t="n">
        <f aca="false">IF(ES312,EQ312,EO312)</f>
        <v>0.218240791233887</v>
      </c>
      <c r="EV312" s="60" t="n">
        <f aca="false">LN(ET312-DK312)</f>
        <v>-0.198812070380318</v>
      </c>
      <c r="EW312" s="60" t="n">
        <f aca="false">$E$27/DI312*(ET312-1)-EV312-EU312*(2*CV312/DH312-$E$27/DI312)</f>
        <v>-0.107840271021729</v>
      </c>
      <c r="EX312" s="60" t="n">
        <f aca="false">$F$27/DI312*(ET312-1)-EV312-EU312*(2*CW312/DH312-$F$27/DI312)</f>
        <v>0.198812070380318</v>
      </c>
      <c r="EY312" s="60" t="n">
        <f aca="false">$G$27/DI312*(ET312-1)-EV312-EU312*(2*CX312/DH312-$G$27/DI312)</f>
        <v>0.198812070380318</v>
      </c>
      <c r="EZ312" s="60" t="n">
        <f aca="false">$H$27/DI312*(ET312-1)-EV312-EU312*(2*CY312/DH312-$H$27/DI312)</f>
        <v>0.198812070380318</v>
      </c>
      <c r="FA312" s="60" t="n">
        <f aca="false">$I$27/DI312*(ET312-1)-EV312-EU312*(2*CZ312/DH312-$I$27/DI312)</f>
        <v>0.198812070380318</v>
      </c>
      <c r="FB312" s="60" t="n">
        <f aca="false">$J$27/DI312*(ET312-1)-EV312-EU312*(2*DA312/DH312-$J$27/DI312)</f>
        <v>0.198812070380318</v>
      </c>
      <c r="FC312" s="60" t="n">
        <f aca="false">$K$27/DI312*(ET312-1)-EV312-EU312*(2*DB312/DH312-$K$27/DI312)</f>
        <v>0.198812070380318</v>
      </c>
      <c r="FD312" s="60" t="n">
        <f aca="false">$L$27/DI312*(ET312-1)-EV312-EU312*(2*DC312/DH312-$L$27/DI312)</f>
        <v>0.198812070380318</v>
      </c>
      <c r="FE312" s="60" t="n">
        <f aca="false">$M$27/DI312*(ET312-1)-EV312-EU312*(2*DD312/DH312-$M$27/DI312)</f>
        <v>0.198812070380318</v>
      </c>
      <c r="FF312" s="60" t="n">
        <f aca="false">$N$27/DI312*(ET312-1)-EV312-EU312*(2*DE312/DH312-$N$27/DI312)</f>
        <v>0.198812070380318</v>
      </c>
      <c r="FG312" s="60" t="n">
        <f aca="false">$O$27/DI312*(ET312-1)-EV312-EU312*(2*DF312/DH312-$O$27/DI312)</f>
        <v>0.198812070380318</v>
      </c>
      <c r="FH312" s="60" t="n">
        <f aca="false">$P$27/DI312*(ET312-1)-EV312-EU312*(2*DG312/DH312-$P$27/DI312)</f>
        <v>0.198812070380318</v>
      </c>
      <c r="FI312" s="60" t="n">
        <f aca="false">DK312/ET312&gt;$C$22</f>
        <v>0</v>
      </c>
      <c r="FJ312" s="60" t="n">
        <f aca="false">$E$28*SUMPRODUCT($E$31:$P$31,CJ312:CU312,$E$28:$P$28)</f>
        <v>0.184416866619846</v>
      </c>
      <c r="FK312" s="60" t="n">
        <f aca="false">$F$28*SUMPRODUCT($E$32:$P$32,CJ312:CU312,$E$28:$P$28)</f>
        <v>0</v>
      </c>
      <c r="FL312" s="60" t="n">
        <f aca="false">$G$28*SUMPRODUCT($E$33:$P$33,CJ312:CU312,$E$28:$P$28)</f>
        <v>0</v>
      </c>
      <c r="FM312" s="60" t="n">
        <f aca="false">$H$28*SUMPRODUCT($E$34:$P$34,CJ312:CU312,$E$28:$P$28)</f>
        <v>0</v>
      </c>
      <c r="FN312" s="60" t="n">
        <f aca="false">$I$28*SUMPRODUCT($E$35:$P$35,CJ312:CU312,$E$28:$P$28)</f>
        <v>0</v>
      </c>
      <c r="FO312" s="60" t="n">
        <f aca="false">$J$28*SUMPRODUCT($E$36:$P$36,CJ312:CU312,$E$28:$P$28)</f>
        <v>0</v>
      </c>
      <c r="FP312" s="60" t="n">
        <f aca="false">$K$28*SUMPRODUCT($E$37:$P$37,CJ312:CU312,$E$28:$P$28)</f>
        <v>0</v>
      </c>
      <c r="FQ312" s="60" t="n">
        <f aca="false">$L$28*SUMPRODUCT($E$38:$P$38,CJ312:CU312,$E$28:$P$28)</f>
        <v>0</v>
      </c>
      <c r="FR312" s="60" t="n">
        <f aca="false">$M$28*SUMPRODUCT($E$39:$P$39,CJ312:CU312,$E$28:$P$28)</f>
        <v>0</v>
      </c>
      <c r="FS312" s="60" t="n">
        <f aca="false">$N$28*SUMPRODUCT($E$40:$P$40,CJ312:CU312,$E$28:$P$28)</f>
        <v>0</v>
      </c>
      <c r="FT312" s="60" t="n">
        <f aca="false">$O$28*SUMPRODUCT($E$41:$P$41,CJ312:CU312,$E$28:$P$28)</f>
        <v>0</v>
      </c>
      <c r="FU312" s="60" t="n">
        <f aca="false">$P$28*SUMPRODUCT($E$42:$P$42,CJ312:CU312,$E$28:$P$28)</f>
        <v>0</v>
      </c>
      <c r="FV312" s="60" t="n">
        <f aca="false">SUMPRODUCT(CJ312:CU312,FJ312:FU312)</f>
        <v>0.184416866619846</v>
      </c>
      <c r="FW312" s="60" t="n">
        <f aca="false">SUMPRODUCT(CJ312:CU312,$E$27:$P$27)</f>
        <v>2.67389635063809E-005</v>
      </c>
      <c r="FX312" s="60" t="n">
        <f aca="false">FV312*$C$9/($C$10*$C$8)^2</f>
        <v>0.21776909410545</v>
      </c>
      <c r="FY312" s="60" t="n">
        <f aca="false">FW312*$C$9/($C$10*$C$8)</f>
        <v>0.0918845243259994</v>
      </c>
      <c r="FZ312" s="60" t="n">
        <f aca="false">CHOOSE($C$7,-(1+FY312),-1,-(1-FY312))</f>
        <v>-0.908115475674001</v>
      </c>
      <c r="GA312" s="60" t="n">
        <f aca="false">CHOOSE($C$7,FX312,FX312-FY312-FY312^2,FX312-3*FY312^2-2*FY312)</f>
        <v>0.00867174802160559</v>
      </c>
      <c r="GB312" s="60" t="n">
        <f aca="false">CHOOSE($C$7,-FX312*FY312,-FX312*FY312,-(FX312*FY312-FY312^2-FY312^3))</f>
        <v>-0.0107910842936637</v>
      </c>
      <c r="GC312" s="60" t="n">
        <f aca="false">GA312-FZ312^2/3</f>
        <v>-0.266219491031267</v>
      </c>
      <c r="GD312" s="60" t="n">
        <f aca="false">2*FZ312^3/27-FZ312*GA312/3+GB312</f>
        <v>-0.0636400988362784</v>
      </c>
      <c r="GE312" s="60" t="n">
        <f aca="false">GD312^2/4+GC312^3/27</f>
        <v>0.000313710901361829</v>
      </c>
      <c r="GF312" s="60" t="n">
        <f aca="false">-GD312/2-IF(GD312&gt;=0,1,-1)*SQRT(MAX(GE312,0))</f>
        <v>0.0495319352963236</v>
      </c>
      <c r="GG312" s="60" t="n">
        <f aca="false">SIGN(GF312)*ABS(GF312)^(1/3)</f>
        <v>0.367249967174439</v>
      </c>
      <c r="GH312" s="60" t="n">
        <f aca="false">IF(GG312=0,0,GG312-GC312/(3*GG312))</f>
        <v>0.60888329127384</v>
      </c>
      <c r="GI312" s="60" t="n">
        <f aca="false">2*SQRT(MAX(-GC312,0)/3)</f>
        <v>0.595784626668918</v>
      </c>
      <c r="GJ312" s="60" t="n">
        <f aca="false">ACOS(IF(GI312=0,0,MAX(-1,MIN(1,3*GD312/(GC312*GI312)))))</f>
        <v>0</v>
      </c>
      <c r="GK312" s="60" t="n">
        <f aca="false">GI312*COS(GJ312/3)</f>
        <v>0.595784626668918</v>
      </c>
      <c r="GL312" s="60" t="n">
        <f aca="false">IF(GE312&lt;0,GK312,GH312)-FZ312/3</f>
        <v>0.91158844983184</v>
      </c>
      <c r="GM312" s="60" t="n">
        <f aca="false">IFERROR((((GL312+FZ312)*GL312+GA312)*GL312+GB312)/((3*GL312+2*FZ312)*GL312+GA312),0)</f>
        <v>0</v>
      </c>
      <c r="GN312" s="60" t="n">
        <f aca="false">IF(ABS(GM312)&lt;0.1*ABS(GL312),GL312-GM312,GL312)</f>
        <v>0.91158844983184</v>
      </c>
      <c r="GO312" s="60" t="n">
        <f aca="false">IFERROR((((GN312+FZ312)*GN312+GA312)*GN312+GB312)/((3*GN312+2*FZ312)*GN312+GA312),0)</f>
        <v>0</v>
      </c>
      <c r="GP312" s="60" t="n">
        <f aca="false">IF(ABS(GO312)&lt;0.1*ABS(GN312),GN312-GO312,GN312)</f>
        <v>0.91158844983184</v>
      </c>
      <c r="GQ312" s="60" t="n">
        <f aca="false">-GB312/GP312</f>
        <v>0.0118376711504565</v>
      </c>
      <c r="GR312" s="60" t="n">
        <f aca="false">(GA312-GQ312)/GP312</f>
        <v>-0.00347297415783941</v>
      </c>
      <c r="GS312" s="60" t="n">
        <f aca="false">GR312^2-4*GQ312</f>
        <v>-0.0473386230523248</v>
      </c>
      <c r="GT312" s="60" t="n">
        <f aca="false">IF(GS312&gt;=0,(GR312+IF(GR312&gt;=0,1,-1)*SQRT(GS312))/2,0)</f>
        <v>0</v>
      </c>
      <c r="GU312" s="60" t="n">
        <f aca="false">IF(AND(GS312&gt;=0,GT312&lt;&gt;0),MIN(GT312,GQ312/GT312),-1)</f>
        <v>-1</v>
      </c>
      <c r="GV312" s="60" t="n">
        <f aca="false">AND(GS312&gt;=0,GU312&gt;FY312,ABS(GP312-GU312)&gt;=0.00005*MAX(GP312,GU312))</f>
        <v>0</v>
      </c>
      <c r="GW312" s="60" t="n">
        <f aca="false">IF(GV312,IFERROR((((GU312+FZ312)*GU312+GA312)*GU312+GB312)/((3*GU312+2*FZ312)*GU312+GA312),0),0)</f>
        <v>0</v>
      </c>
      <c r="GX312" s="60" t="n">
        <f aca="false">IF(ABS(GW312)&lt;0.1*ABS(GU312),GU312-GW312,GU312)</f>
        <v>-1</v>
      </c>
      <c r="GY312" s="60" t="n">
        <f aca="false">IF(GV312,IFERROR((((GX312+FZ312)*GX312+GA312)*GX312+GB312)/((3*GX312+2*FZ312)*GX312+GA312),0),0)</f>
        <v>0</v>
      </c>
      <c r="GZ312" s="60" t="n">
        <f aca="false">IF(ABS(GY312)&lt;0.1*ABS(GX312),GX312-GY312,GX312)</f>
        <v>-1</v>
      </c>
      <c r="HA312" s="60" t="n">
        <f aca="false">IF(GV312,MAX(GP312,GZ312),GP312)</f>
        <v>0.91158844983184</v>
      </c>
      <c r="HB312" s="60" t="n">
        <f aca="false">IF(GV312,MIN(GP312,GZ312),-1)</f>
        <v>-1</v>
      </c>
      <c r="HC312" s="60" t="n">
        <f aca="false">CHOOSE($C$7,FX312/HA312,FX312/FY312*LN(1+FY312/HA312),FX312/(2*SQRT(2)*FY312)*LN((HA312+(1+SQRT(2))*FY312)/(HA312+(1-SQRT(2))*FY312)))</f>
        <v>0.218240791233887</v>
      </c>
      <c r="HD312" s="60" t="n">
        <f aca="false">HA312-1-LN(HA312-FY312)-HC312</f>
        <v>-0.107840271021729</v>
      </c>
      <c r="HE312" s="60" t="n">
        <f aca="false">IF(GV312,CHOOSE($C$7,FX312/HB312,FX312/FY312*LN(1+FY312/HB312),FX312/(2*SQRT(2)*FY312)*LN((HB312+(1+SQRT(2))*FY312)/(HB312+(1-SQRT(2))*FY312))),0)</f>
        <v>0</v>
      </c>
      <c r="HF312" s="60" t="n">
        <f aca="false">IF(GV312,HB312-1-LN(HB312-FY312)-HE312,0)</f>
        <v>0</v>
      </c>
      <c r="HG312" s="60" t="n">
        <f aca="false">AND(GV312,HF312&lt;HD312)</f>
        <v>0</v>
      </c>
      <c r="HH312" s="60" t="n">
        <f aca="false">IF(HG312,HB312,HA312)</f>
        <v>0.91158844983184</v>
      </c>
      <c r="HI312" s="60" t="n">
        <f aca="false">IF(HG312,HE312,HC312)</f>
        <v>0.218240791233887</v>
      </c>
      <c r="HJ312" s="60" t="n">
        <f aca="false">LN(HH312-FY312)</f>
        <v>-0.198812070380318</v>
      </c>
      <c r="HK312" s="60" t="n">
        <f aca="false">$E$27/FW312*(HH312-1)-HJ312-HI312*(2*FJ312/FV312-$E$27/FW312)</f>
        <v>-0.107840271021729</v>
      </c>
      <c r="HL312" s="60" t="n">
        <f aca="false">$F$27/FW312*(HH312-1)-HJ312-HI312*(2*FK312/FV312-$F$27/FW312)</f>
        <v>0.198812070380318</v>
      </c>
      <c r="HM312" s="60" t="n">
        <f aca="false">$G$27/FW312*(HH312-1)-HJ312-HI312*(2*FL312/FV312-$G$27/FW312)</f>
        <v>0.198812070380318</v>
      </c>
      <c r="HN312" s="60" t="n">
        <f aca="false">$H$27/FW312*(HH312-1)-HJ312-HI312*(2*FM312/FV312-$H$27/FW312)</f>
        <v>0.198812070380318</v>
      </c>
      <c r="HO312" s="60" t="n">
        <f aca="false">$I$27/FW312*(HH312-1)-HJ312-HI312*(2*FN312/FV312-$I$27/FW312)</f>
        <v>0.198812070380318</v>
      </c>
      <c r="HP312" s="60" t="n">
        <f aca="false">$J$27/FW312*(HH312-1)-HJ312-HI312*(2*FO312/FV312-$J$27/FW312)</f>
        <v>0.198812070380318</v>
      </c>
      <c r="HQ312" s="60" t="n">
        <f aca="false">$K$27/FW312*(HH312-1)-HJ312-HI312*(2*FP312/FV312-$K$27/FW312)</f>
        <v>0.198812070380318</v>
      </c>
      <c r="HR312" s="60" t="n">
        <f aca="false">$L$27/FW312*(HH312-1)-HJ312-HI312*(2*FQ312/FV312-$L$27/FW312)</f>
        <v>0.198812070380318</v>
      </c>
      <c r="HS312" s="60" t="n">
        <f aca="false">$M$27/FW312*(HH312-1)-HJ312-HI312*(2*FR312/FV312-$M$27/FW312)</f>
        <v>0.198812070380318</v>
      </c>
      <c r="HT312" s="60" t="n">
        <f aca="false">$N$27/FW312*(HH312-1)-HJ312-HI312*(2*FS312/FV312-$N$27/FW312)</f>
        <v>0.198812070380318</v>
      </c>
      <c r="HU312" s="60" t="n">
        <f aca="false">$O$27/FW312*(HH312-1)-HJ312-HI312*(2*FT312/FV312-$O$27/FW312)</f>
        <v>0.198812070380318</v>
      </c>
      <c r="HV312" s="60" t="n">
        <f aca="false">$P$27/FW312*(HH312-1)-HJ312-HI312*(2*FU312/FV312-$P$27/FW312)</f>
        <v>0.198812070380318</v>
      </c>
      <c r="HW312" s="60" t="n">
        <f aca="false">FY312/HH312&gt;$C$22</f>
        <v>0</v>
      </c>
      <c r="HX312" s="60" t="n">
        <f aca="false">IF($E$13&gt;0,MAX(-300,MIN(300,EW312-HK312)),0)</f>
        <v>0</v>
      </c>
      <c r="HY312" s="60" t="n">
        <f aca="false">IF($F$13&gt;0,MAX(-300,MIN(300,EX312-HL312)),0)</f>
        <v>0</v>
      </c>
      <c r="HZ312" s="60" t="n">
        <f aca="false">IF($G$13&gt;0,MAX(-300,MIN(300,EY312-HM312)),0)</f>
        <v>0</v>
      </c>
      <c r="IA312" s="60" t="n">
        <f aca="false">IF($H$13&gt;0,MAX(-300,MIN(300,EZ312-HN312)),0)</f>
        <v>0</v>
      </c>
      <c r="IB312" s="60" t="n">
        <f aca="false">IF($I$13&gt;0,MAX(-300,MIN(300,FA312-HO312)),0)</f>
        <v>0</v>
      </c>
      <c r="IC312" s="60" t="n">
        <f aca="false">IF($J$13&gt;0,MAX(-300,MIN(300,FB312-HP312)),0)</f>
        <v>0</v>
      </c>
      <c r="ID312" s="60" t="n">
        <f aca="false">IF($K$13&gt;0,MAX(-300,MIN(300,FC312-HQ312)),0)</f>
        <v>0</v>
      </c>
      <c r="IE312" s="60" t="n">
        <f aca="false">IF($L$13&gt;0,MAX(-300,MIN(300,FD312-HR312)),0)</f>
        <v>0</v>
      </c>
      <c r="IF312" s="60" t="n">
        <f aca="false">IF($M$13&gt;0,MAX(-300,MIN(300,FE312-HS312)),0)</f>
        <v>0</v>
      </c>
      <c r="IG312" s="60" t="n">
        <f aca="false">IF($N$13&gt;0,MAX(-300,MIN(300,FF312-HT312)),0)</f>
        <v>0</v>
      </c>
      <c r="IH312" s="60" t="n">
        <f aca="false">IF($O$13&gt;0,MAX(-300,MIN(300,FG312-HU312)),0)</f>
        <v>0</v>
      </c>
      <c r="II312" s="60" t="n">
        <f aca="false">IF($P$13&gt;0,MAX(-300,MIN(300,FH312-HV312)),0)</f>
        <v>0</v>
      </c>
      <c r="IJ312" s="60" t="n">
        <f aca="false">SUMXMY2(HX312:II312,B312:M312)</f>
        <v>0</v>
      </c>
      <c r="IK312" s="60" t="n">
        <f aca="false">SUMSQ(B312:M312)</f>
        <v>0</v>
      </c>
    </row>
    <row r="313" customFormat="false" ht="15" hidden="false" customHeight="false" outlineLevel="0" collapsed="false">
      <c r="A313" s="59" t="n">
        <v>16</v>
      </c>
      <c r="B313" s="60" t="n">
        <f aca="false">HX312</f>
        <v>0</v>
      </c>
      <c r="C313" s="60" t="n">
        <f aca="false">HY312</f>
        <v>0</v>
      </c>
      <c r="D313" s="60" t="n">
        <f aca="false">HZ312</f>
        <v>0</v>
      </c>
      <c r="E313" s="60" t="n">
        <f aca="false">IA312</f>
        <v>0</v>
      </c>
      <c r="F313" s="60" t="n">
        <f aca="false">IB312</f>
        <v>0</v>
      </c>
      <c r="G313" s="60" t="n">
        <f aca="false">IC312</f>
        <v>0</v>
      </c>
      <c r="H313" s="60" t="n">
        <f aca="false">ID312</f>
        <v>0</v>
      </c>
      <c r="I313" s="60" t="n">
        <f aca="false">IE312</f>
        <v>0</v>
      </c>
      <c r="J313" s="60" t="n">
        <f aca="false">IF312</f>
        <v>0</v>
      </c>
      <c r="K313" s="60" t="n">
        <f aca="false">IG312</f>
        <v>0</v>
      </c>
      <c r="L313" s="60" t="n">
        <f aca="false">IH312</f>
        <v>0</v>
      </c>
      <c r="M313" s="60" t="n">
        <f aca="false">II312</f>
        <v>0</v>
      </c>
      <c r="N313" s="60" t="n">
        <f aca="false">EXP(B313)</f>
        <v>1</v>
      </c>
      <c r="O313" s="60" t="n">
        <f aca="false">EXP(C313)</f>
        <v>1</v>
      </c>
      <c r="P313" s="60" t="n">
        <f aca="false">EXP(D313)</f>
        <v>1</v>
      </c>
      <c r="Q313" s="60" t="n">
        <f aca="false">EXP(E313)</f>
        <v>1</v>
      </c>
      <c r="R313" s="60" t="n">
        <f aca="false">EXP(F313)</f>
        <v>1</v>
      </c>
      <c r="S313" s="60" t="n">
        <f aca="false">EXP(G313)</f>
        <v>1</v>
      </c>
      <c r="T313" s="60" t="n">
        <f aca="false">EXP(H313)</f>
        <v>1</v>
      </c>
      <c r="U313" s="60" t="n">
        <f aca="false">EXP(I313)</f>
        <v>1</v>
      </c>
      <c r="V313" s="60" t="n">
        <f aca="false">EXP(J313)</f>
        <v>1</v>
      </c>
      <c r="W313" s="60" t="n">
        <f aca="false">EXP(K313)</f>
        <v>1</v>
      </c>
      <c r="X313" s="60" t="n">
        <f aca="false">EXP(L313)</f>
        <v>1</v>
      </c>
      <c r="Y313" s="60" t="n">
        <f aca="false">EXP(M313)</f>
        <v>1</v>
      </c>
      <c r="Z313" s="60" t="n">
        <f aca="false">MAX(N313:Y313)</f>
        <v>1</v>
      </c>
      <c r="AA313" s="60" t="n">
        <f aca="false">MIN(N313:Y313)</f>
        <v>1</v>
      </c>
      <c r="AB313" s="60" t="n">
        <f aca="false">AND(Z313&gt;1,AA313&lt;1)</f>
        <v>0</v>
      </c>
      <c r="AC313" s="60" t="n">
        <f aca="false">IF(AB313,1/(1-Z313),0)</f>
        <v>0</v>
      </c>
      <c r="AD313" s="60" t="n">
        <f aca="false">IF(AB313,1/(1-AA313),1)</f>
        <v>1</v>
      </c>
      <c r="AE313" s="60" t="n">
        <f aca="false">IF(AB313,MIN(MAX(BI312,AC313+0.000000001*(AD313-AC313)),AD313-0.000000001*(AD313-AC313)),IF(AA313&gt;=1,1,0))</f>
        <v>1</v>
      </c>
      <c r="AF313" s="60" t="n">
        <f aca="false">SUMPRODUCT($E$13:$P$13*(N313:Y313-1)/(1+AE313*(N313:Y313-1)))</f>
        <v>0</v>
      </c>
      <c r="AG313" s="60" t="n">
        <f aca="false">-SUMPRODUCT($E$13:$P$13*(N313:Y313-1)^2/(1+AE313*(N313:Y313-1))^2)</f>
        <v>-0</v>
      </c>
      <c r="AH313" s="60" t="n">
        <f aca="false">IF(OR(NOT(AB313),AG313=0),AE313,IF(AE313-AF313/AG313&lt;=AC313,(AE313+AC313)/2,IF(AE313-AF313/AG313&gt;=AD313,(AE313+AD313)/2,AE313-AF313/AG313)))</f>
        <v>1</v>
      </c>
      <c r="AI313" s="60" t="n">
        <f aca="false">SUMPRODUCT($E$13:$P$13*(N313:Y313-1)/(1+AH313*(N313:Y313-1)))</f>
        <v>0</v>
      </c>
      <c r="AJ313" s="60" t="n">
        <f aca="false">-SUMPRODUCT($E$13:$P$13*(N313:Y313-1)^2/(1+AH313*(N313:Y313-1))^2)</f>
        <v>-0</v>
      </c>
      <c r="AK313" s="60" t="n">
        <f aca="false">IF(OR(NOT(AB313),AJ313=0),AH313,IF(AH313-AI313/AJ313&lt;=AC313,(AH313+AC313)/2,IF(AH313-AI313/AJ313&gt;=AD313,(AH313+AD313)/2,AH313-AI313/AJ313)))</f>
        <v>1</v>
      </c>
      <c r="AL313" s="60" t="n">
        <f aca="false">SUMPRODUCT($E$13:$P$13*(N313:Y313-1)/(1+AK313*(N313:Y313-1)))</f>
        <v>0</v>
      </c>
      <c r="AM313" s="60" t="n">
        <f aca="false">-SUMPRODUCT($E$13:$P$13*(N313:Y313-1)^2/(1+AK313*(N313:Y313-1))^2)</f>
        <v>-0</v>
      </c>
      <c r="AN313" s="60" t="n">
        <f aca="false">IF(OR(NOT(AB313),AM313=0),AK313,IF(AK313-AL313/AM313&lt;=AC313,(AK313+AC313)/2,IF(AK313-AL313/AM313&gt;=AD313,(AK313+AD313)/2,AK313-AL313/AM313)))</f>
        <v>1</v>
      </c>
      <c r="AO313" s="60" t="n">
        <f aca="false">SUMPRODUCT($E$13:$P$13*(N313:Y313-1)/(1+AN313*(N313:Y313-1)))</f>
        <v>0</v>
      </c>
      <c r="AP313" s="60" t="n">
        <f aca="false">-SUMPRODUCT($E$13:$P$13*(N313:Y313-1)^2/(1+AN313*(N313:Y313-1))^2)</f>
        <v>-0</v>
      </c>
      <c r="AQ313" s="60" t="n">
        <f aca="false">IF(OR(NOT(AB313),AP313=0),AN313,IF(AN313-AO313/AP313&lt;=AC313,(AN313+AC313)/2,IF(AN313-AO313/AP313&gt;=AD313,(AN313+AD313)/2,AN313-AO313/AP313)))</f>
        <v>1</v>
      </c>
      <c r="AR313" s="60" t="n">
        <f aca="false">SUMPRODUCT($E$13:$P$13*(N313:Y313-1)/(1+AQ313*(N313:Y313-1)))</f>
        <v>0</v>
      </c>
      <c r="AS313" s="60" t="n">
        <f aca="false">-SUMPRODUCT($E$13:$P$13*(N313:Y313-1)^2/(1+AQ313*(N313:Y313-1))^2)</f>
        <v>-0</v>
      </c>
      <c r="AT313" s="60" t="n">
        <f aca="false">IF(OR(NOT(AB313),AS313=0),AQ313,IF(AQ313-AR313/AS313&lt;=AC313,(AQ313+AC313)/2,IF(AQ313-AR313/AS313&gt;=AD313,(AQ313+AD313)/2,AQ313-AR313/AS313)))</f>
        <v>1</v>
      </c>
      <c r="AU313" s="60" t="n">
        <f aca="false">SUMPRODUCT($E$13:$P$13*(N313:Y313-1)/(1+AT313*(N313:Y313-1)))</f>
        <v>0</v>
      </c>
      <c r="AV313" s="60" t="n">
        <f aca="false">-SUMPRODUCT($E$13:$P$13*(N313:Y313-1)^2/(1+AT313*(N313:Y313-1))^2)</f>
        <v>-0</v>
      </c>
      <c r="AW313" s="60" t="n">
        <f aca="false">IF(OR(NOT(AB313),AV313=0),AT313,IF(AT313-AU313/AV313&lt;=AC313,(AT313+AC313)/2,IF(AT313-AU313/AV313&gt;=AD313,(AT313+AD313)/2,AT313-AU313/AV313)))</f>
        <v>1</v>
      </c>
      <c r="AX313" s="60" t="n">
        <f aca="false">SUMPRODUCT($E$13:$P$13*(N313:Y313-1)/(1+AW313*(N313:Y313-1)))</f>
        <v>0</v>
      </c>
      <c r="AY313" s="60" t="n">
        <f aca="false">-SUMPRODUCT($E$13:$P$13*(N313:Y313-1)^2/(1+AW313*(N313:Y313-1))^2)</f>
        <v>-0</v>
      </c>
      <c r="AZ313" s="60" t="n">
        <f aca="false">IF(OR(NOT(AB313),AY313=0),AW313,IF(AW313-AX313/AY313&lt;=AC313,(AW313+AC313)/2,IF(AW313-AX313/AY313&gt;=AD313,(AW313+AD313)/2,AW313-AX313/AY313)))</f>
        <v>1</v>
      </c>
      <c r="BA313" s="60" t="n">
        <f aca="false">SUMPRODUCT($E$13:$P$13*(N313:Y313-1)/(1+AZ313*(N313:Y313-1)))</f>
        <v>0</v>
      </c>
      <c r="BB313" s="60" t="n">
        <f aca="false">-SUMPRODUCT($E$13:$P$13*(N313:Y313-1)^2/(1+AZ313*(N313:Y313-1))^2)</f>
        <v>-0</v>
      </c>
      <c r="BC313" s="60" t="n">
        <f aca="false">IF(OR(NOT(AB313),BB313=0),AZ313,IF(AZ313-BA313/BB313&lt;=AC313,(AZ313+AC313)/2,IF(AZ313-BA313/BB313&gt;=AD313,(AZ313+AD313)/2,AZ313-BA313/BB313)))</f>
        <v>1</v>
      </c>
      <c r="BD313" s="60" t="n">
        <f aca="false">SUMPRODUCT($E$13:$P$13*(N313:Y313-1)/(1+BC313*(N313:Y313-1)))</f>
        <v>0</v>
      </c>
      <c r="BE313" s="60" t="n">
        <f aca="false">-SUMPRODUCT($E$13:$P$13*(N313:Y313-1)^2/(1+BC313*(N313:Y313-1))^2)</f>
        <v>-0</v>
      </c>
      <c r="BF313" s="60" t="n">
        <f aca="false">IF(OR(NOT(AB313),BE313=0),BC313,IF(BC313-BD313/BE313&lt;=AC313,(BC313+AC313)/2,IF(BC313-BD313/BE313&gt;=AD313,(BC313+AD313)/2,BC313-BD313/BE313)))</f>
        <v>1</v>
      </c>
      <c r="BG313" s="60" t="n">
        <f aca="false">SUMPRODUCT($E$13:$P$13*(N313:Y313-1)/(1+BF313*(N313:Y313-1)))</f>
        <v>0</v>
      </c>
      <c r="BH313" s="60" t="n">
        <f aca="false">-SUMPRODUCT($E$13:$P$13*(N313:Y313-1)^2/(1+BF313*(N313:Y313-1))^2)</f>
        <v>-0</v>
      </c>
      <c r="BI313" s="60" t="n">
        <f aca="false">IF(OR(NOT(AB313),BH313=0),BF313,IF(BF313-BG313/BH313&lt;=AC313,(BF313+AC313)/2,IF(BF313-BG313/BH313&gt;=AD313,(BF313+AD313)/2,BF313-BG313/BH313)))</f>
        <v>1</v>
      </c>
      <c r="BJ313" s="60" t="n">
        <f aca="false">$E$13/(1+BI313*(N313-1))</f>
        <v>1</v>
      </c>
      <c r="BK313" s="60" t="n">
        <f aca="false">$F$13/(1+BI313*(O313-1))</f>
        <v>0</v>
      </c>
      <c r="BL313" s="60" t="n">
        <f aca="false">$G$13/(1+BI313*(P313-1))</f>
        <v>0</v>
      </c>
      <c r="BM313" s="60" t="n">
        <f aca="false">$H$13/(1+BI313*(Q313-1))</f>
        <v>0</v>
      </c>
      <c r="BN313" s="60" t="n">
        <f aca="false">$I$13/(1+BI313*(R313-1))</f>
        <v>0</v>
      </c>
      <c r="BO313" s="60" t="n">
        <f aca="false">$J$13/(1+BI313*(S313-1))</f>
        <v>0</v>
      </c>
      <c r="BP313" s="60" t="n">
        <f aca="false">$K$13/(1+BI313*(T313-1))</f>
        <v>0</v>
      </c>
      <c r="BQ313" s="60" t="n">
        <f aca="false">$L$13/(1+BI313*(U313-1))</f>
        <v>0</v>
      </c>
      <c r="BR313" s="60" t="n">
        <f aca="false">$M$13/(1+BI313*(V313-1))</f>
        <v>0</v>
      </c>
      <c r="BS313" s="60" t="n">
        <f aca="false">$N$13/(1+BI313*(W313-1))</f>
        <v>0</v>
      </c>
      <c r="BT313" s="60" t="n">
        <f aca="false">$O$13/(1+BI313*(X313-1))</f>
        <v>0</v>
      </c>
      <c r="BU313" s="60" t="n">
        <f aca="false">$P$13/(1+BI313*(Y313-1))</f>
        <v>0</v>
      </c>
      <c r="BV313" s="60" t="n">
        <f aca="false">SUM(BJ313:BU313)</f>
        <v>1</v>
      </c>
      <c r="BW313" s="60" t="n">
        <f aca="false">SUMPRODUCT(N313:Y313,BJ313:BU313)</f>
        <v>1</v>
      </c>
      <c r="BX313" s="60" t="n">
        <f aca="false">BJ313/BV313</f>
        <v>1</v>
      </c>
      <c r="BY313" s="60" t="n">
        <f aca="false">BK313/BV313</f>
        <v>0</v>
      </c>
      <c r="BZ313" s="60" t="n">
        <f aca="false">BL313/BV313</f>
        <v>0</v>
      </c>
      <c r="CA313" s="60" t="n">
        <f aca="false">BM313/BV313</f>
        <v>0</v>
      </c>
      <c r="CB313" s="60" t="n">
        <f aca="false">BN313/BV313</f>
        <v>0</v>
      </c>
      <c r="CC313" s="60" t="n">
        <f aca="false">BO313/BV313</f>
        <v>0</v>
      </c>
      <c r="CD313" s="60" t="n">
        <f aca="false">BP313/BV313</f>
        <v>0</v>
      </c>
      <c r="CE313" s="60" t="n">
        <f aca="false">BQ313/BV313</f>
        <v>0</v>
      </c>
      <c r="CF313" s="60" t="n">
        <f aca="false">BR313/BV313</f>
        <v>0</v>
      </c>
      <c r="CG313" s="60" t="n">
        <f aca="false">BS313/BV313</f>
        <v>0</v>
      </c>
      <c r="CH313" s="60" t="n">
        <f aca="false">BT313/BV313</f>
        <v>0</v>
      </c>
      <c r="CI313" s="60" t="n">
        <f aca="false">BU313/BV313</f>
        <v>0</v>
      </c>
      <c r="CJ313" s="60" t="n">
        <f aca="false">N313*BJ313/BW313</f>
        <v>1</v>
      </c>
      <c r="CK313" s="60" t="n">
        <f aca="false">O313*BK313/BW313</f>
        <v>0</v>
      </c>
      <c r="CL313" s="60" t="n">
        <f aca="false">P313*BL313/BW313</f>
        <v>0</v>
      </c>
      <c r="CM313" s="60" t="n">
        <f aca="false">Q313*BM313/BW313</f>
        <v>0</v>
      </c>
      <c r="CN313" s="60" t="n">
        <f aca="false">R313*BN313/BW313</f>
        <v>0</v>
      </c>
      <c r="CO313" s="60" t="n">
        <f aca="false">S313*BO313/BW313</f>
        <v>0</v>
      </c>
      <c r="CP313" s="60" t="n">
        <f aca="false">T313*BP313/BW313</f>
        <v>0</v>
      </c>
      <c r="CQ313" s="60" t="n">
        <f aca="false">U313*BQ313/BW313</f>
        <v>0</v>
      </c>
      <c r="CR313" s="60" t="n">
        <f aca="false">V313*BR313/BW313</f>
        <v>0</v>
      </c>
      <c r="CS313" s="60" t="n">
        <f aca="false">W313*BS313/BW313</f>
        <v>0</v>
      </c>
      <c r="CT313" s="60" t="n">
        <f aca="false">X313*BT313/BW313</f>
        <v>0</v>
      </c>
      <c r="CU313" s="60" t="n">
        <f aca="false">Y313*BU313/BW313</f>
        <v>0</v>
      </c>
      <c r="CV313" s="60" t="n">
        <f aca="false">$E$28*SUMPRODUCT($E$31:$P$31,BX313:CI313,$E$28:$P$28)</f>
        <v>0.184416866619846</v>
      </c>
      <c r="CW313" s="60" t="n">
        <f aca="false">$F$28*SUMPRODUCT($E$32:$P$32,BX313:CI313,$E$28:$P$28)</f>
        <v>0</v>
      </c>
      <c r="CX313" s="60" t="n">
        <f aca="false">$G$28*SUMPRODUCT($E$33:$P$33,BX313:CI313,$E$28:$P$28)</f>
        <v>0</v>
      </c>
      <c r="CY313" s="60" t="n">
        <f aca="false">$H$28*SUMPRODUCT($E$34:$P$34,BX313:CI313,$E$28:$P$28)</f>
        <v>0</v>
      </c>
      <c r="CZ313" s="60" t="n">
        <f aca="false">$I$28*SUMPRODUCT($E$35:$P$35,BX313:CI313,$E$28:$P$28)</f>
        <v>0</v>
      </c>
      <c r="DA313" s="60" t="n">
        <f aca="false">$J$28*SUMPRODUCT($E$36:$P$36,BX313:CI313,$E$28:$P$28)</f>
        <v>0</v>
      </c>
      <c r="DB313" s="60" t="n">
        <f aca="false">$K$28*SUMPRODUCT($E$37:$P$37,BX313:CI313,$E$28:$P$28)</f>
        <v>0</v>
      </c>
      <c r="DC313" s="60" t="n">
        <f aca="false">$L$28*SUMPRODUCT($E$38:$P$38,BX313:CI313,$E$28:$P$28)</f>
        <v>0</v>
      </c>
      <c r="DD313" s="60" t="n">
        <f aca="false">$M$28*SUMPRODUCT($E$39:$P$39,BX313:CI313,$E$28:$P$28)</f>
        <v>0</v>
      </c>
      <c r="DE313" s="60" t="n">
        <f aca="false">$N$28*SUMPRODUCT($E$40:$P$40,BX313:CI313,$E$28:$P$28)</f>
        <v>0</v>
      </c>
      <c r="DF313" s="60" t="n">
        <f aca="false">$O$28*SUMPRODUCT($E$41:$P$41,BX313:CI313,$E$28:$P$28)</f>
        <v>0</v>
      </c>
      <c r="DG313" s="60" t="n">
        <f aca="false">$P$28*SUMPRODUCT($E$42:$P$42,BX313:CI313,$E$28:$P$28)</f>
        <v>0</v>
      </c>
      <c r="DH313" s="60" t="n">
        <f aca="false">SUMPRODUCT(BX313:CI313,CV313:DG313)</f>
        <v>0.184416866619846</v>
      </c>
      <c r="DI313" s="60" t="n">
        <f aca="false">SUMPRODUCT(BX313:CI313,$E$27:$P$27)</f>
        <v>2.67389635063809E-005</v>
      </c>
      <c r="DJ313" s="60" t="n">
        <f aca="false">DH313*$C$9/($C$10*$C$8)^2</f>
        <v>0.21776909410545</v>
      </c>
      <c r="DK313" s="60" t="n">
        <f aca="false">DI313*$C$9/($C$10*$C$8)</f>
        <v>0.0918845243259994</v>
      </c>
      <c r="DL313" s="60" t="n">
        <f aca="false">CHOOSE($C$7,-(1+DK313),-1,-(1-DK313))</f>
        <v>-0.908115475674001</v>
      </c>
      <c r="DM313" s="60" t="n">
        <f aca="false">CHOOSE($C$7,DJ313,DJ313-DK313-DK313^2,DJ313-3*DK313^2-2*DK313)</f>
        <v>0.00867174802160559</v>
      </c>
      <c r="DN313" s="60" t="n">
        <f aca="false">CHOOSE($C$7,-DJ313*DK313,-DJ313*DK313,-(DJ313*DK313-DK313^2-DK313^3))</f>
        <v>-0.0107910842936637</v>
      </c>
      <c r="DO313" s="60" t="n">
        <f aca="false">DM313-DL313^2/3</f>
        <v>-0.266219491031267</v>
      </c>
      <c r="DP313" s="60" t="n">
        <f aca="false">2*DL313^3/27-DL313*DM313/3+DN313</f>
        <v>-0.0636400988362784</v>
      </c>
      <c r="DQ313" s="60" t="n">
        <f aca="false">DP313^2/4+DO313^3/27</f>
        <v>0.000313710901361829</v>
      </c>
      <c r="DR313" s="60" t="n">
        <f aca="false">-DP313/2-IF(DP313&gt;=0,1,-1)*SQRT(MAX(DQ313,0))</f>
        <v>0.0495319352963236</v>
      </c>
      <c r="DS313" s="60" t="n">
        <f aca="false">SIGN(DR313)*ABS(DR313)^(1/3)</f>
        <v>0.367249967174439</v>
      </c>
      <c r="DT313" s="60" t="n">
        <f aca="false">IF(DS313=0,0,DS313-DO313/(3*DS313))</f>
        <v>0.60888329127384</v>
      </c>
      <c r="DU313" s="60" t="n">
        <f aca="false">2*SQRT(MAX(-DO313,0)/3)</f>
        <v>0.595784626668918</v>
      </c>
      <c r="DV313" s="60" t="n">
        <f aca="false">ACOS(IF(DU313=0,0,MAX(-1,MIN(1,3*DP313/(DO313*DU313)))))</f>
        <v>0</v>
      </c>
      <c r="DW313" s="60" t="n">
        <f aca="false">DU313*COS(DV313/3)</f>
        <v>0.595784626668918</v>
      </c>
      <c r="DX313" s="60" t="n">
        <f aca="false">IF(DQ313&lt;0,DW313,DT313)-DL313/3</f>
        <v>0.91158844983184</v>
      </c>
      <c r="DY313" s="60" t="n">
        <f aca="false">IFERROR((((DX313+DL313)*DX313+DM313)*DX313+DN313)/((3*DX313+2*DL313)*DX313+DM313),0)</f>
        <v>0</v>
      </c>
      <c r="DZ313" s="60" t="n">
        <f aca="false">IF(ABS(DY313)&lt;0.1*ABS(DX313),DX313-DY313,DX313)</f>
        <v>0.91158844983184</v>
      </c>
      <c r="EA313" s="60" t="n">
        <f aca="false">IFERROR((((DZ313+DL313)*DZ313+DM313)*DZ313+DN313)/((3*DZ313+2*DL313)*DZ313+DM313),0)</f>
        <v>0</v>
      </c>
      <c r="EB313" s="60" t="n">
        <f aca="false">IF(ABS(EA313)&lt;0.1*ABS(DZ313),DZ313-EA313,DZ313)</f>
        <v>0.91158844983184</v>
      </c>
      <c r="EC313" s="60" t="n">
        <f aca="false">-DN313/EB313</f>
        <v>0.0118376711504565</v>
      </c>
      <c r="ED313" s="60" t="n">
        <f aca="false">(DM313-EC313)/EB313</f>
        <v>-0.00347297415783941</v>
      </c>
      <c r="EE313" s="60" t="n">
        <f aca="false">ED313^2-4*EC313</f>
        <v>-0.0473386230523248</v>
      </c>
      <c r="EF313" s="60" t="n">
        <f aca="false">IF(EE313&gt;=0,(ED313+IF(ED313&gt;=0,1,-1)*SQRT(EE313))/2,0)</f>
        <v>0</v>
      </c>
      <c r="EG313" s="60" t="n">
        <f aca="false">IF(AND(EE313&gt;=0,EF313&lt;&gt;0),MIN(EF313,EC313/EF313),-1)</f>
        <v>-1</v>
      </c>
      <c r="EH313" s="60" t="n">
        <f aca="false">AND(EE313&gt;=0,EG313&gt;DK313,ABS(EB313-EG313)&gt;=0.00005*MAX(EB313,EG313))</f>
        <v>0</v>
      </c>
      <c r="EI313" s="60" t="n">
        <f aca="false">IF(EH313,IFERROR((((EG313+DL313)*EG313+DM313)*EG313+DN313)/((3*EG313+2*DL313)*EG313+DM313),0),0)</f>
        <v>0</v>
      </c>
      <c r="EJ313" s="60" t="n">
        <f aca="false">IF(ABS(EI313)&lt;0.1*ABS(EG313),EG313-EI313,EG313)</f>
        <v>-1</v>
      </c>
      <c r="EK313" s="60" t="n">
        <f aca="false">IF(EH313,IFERROR((((EJ313+DL313)*EJ313+DM313)*EJ313+DN313)/((3*EJ313+2*DL313)*EJ313+DM313),0),0)</f>
        <v>0</v>
      </c>
      <c r="EL313" s="60" t="n">
        <f aca="false">IF(ABS(EK313)&lt;0.1*ABS(EJ313),EJ313-EK313,EJ313)</f>
        <v>-1</v>
      </c>
      <c r="EM313" s="60" t="n">
        <f aca="false">IF(EH313,MAX(EB313,EL313),EB313)</f>
        <v>0.91158844983184</v>
      </c>
      <c r="EN313" s="60" t="n">
        <f aca="false">IF(EH313,MIN(EB313,EL313),-1)</f>
        <v>-1</v>
      </c>
      <c r="EO313" s="60" t="n">
        <f aca="false">CHOOSE($C$7,DJ313/EM313,DJ313/DK313*LN(1+DK313/EM313),DJ313/(2*SQRT(2)*DK313)*LN((EM313+(1+SQRT(2))*DK313)/(EM313+(1-SQRT(2))*DK313)))</f>
        <v>0.218240791233887</v>
      </c>
      <c r="EP313" s="60" t="n">
        <f aca="false">EM313-1-LN(EM313-DK313)-EO313</f>
        <v>-0.107840271021729</v>
      </c>
      <c r="EQ313" s="60" t="n">
        <f aca="false">IF(EH313,CHOOSE($C$7,DJ313/EN313,DJ313/DK313*LN(1+DK313/EN313),DJ313/(2*SQRT(2)*DK313)*LN((EN313+(1+SQRT(2))*DK313)/(EN313+(1-SQRT(2))*DK313))),0)</f>
        <v>0</v>
      </c>
      <c r="ER313" s="60" t="n">
        <f aca="false">IF(EH313,EN313-1-LN(EN313-DK313)-EQ313,0)</f>
        <v>0</v>
      </c>
      <c r="ES313" s="60" t="n">
        <f aca="false">AND(EH313,ER313&lt;EP313)</f>
        <v>0</v>
      </c>
      <c r="ET313" s="60" t="n">
        <f aca="false">IF(ES313,EN313,EM313)</f>
        <v>0.91158844983184</v>
      </c>
      <c r="EU313" s="60" t="n">
        <f aca="false">IF(ES313,EQ313,EO313)</f>
        <v>0.218240791233887</v>
      </c>
      <c r="EV313" s="60" t="n">
        <f aca="false">LN(ET313-DK313)</f>
        <v>-0.198812070380318</v>
      </c>
      <c r="EW313" s="60" t="n">
        <f aca="false">$E$27/DI313*(ET313-1)-EV313-EU313*(2*CV313/DH313-$E$27/DI313)</f>
        <v>-0.107840271021729</v>
      </c>
      <c r="EX313" s="60" t="n">
        <f aca="false">$F$27/DI313*(ET313-1)-EV313-EU313*(2*CW313/DH313-$F$27/DI313)</f>
        <v>0.198812070380318</v>
      </c>
      <c r="EY313" s="60" t="n">
        <f aca="false">$G$27/DI313*(ET313-1)-EV313-EU313*(2*CX313/DH313-$G$27/DI313)</f>
        <v>0.198812070380318</v>
      </c>
      <c r="EZ313" s="60" t="n">
        <f aca="false">$H$27/DI313*(ET313-1)-EV313-EU313*(2*CY313/DH313-$H$27/DI313)</f>
        <v>0.198812070380318</v>
      </c>
      <c r="FA313" s="60" t="n">
        <f aca="false">$I$27/DI313*(ET313-1)-EV313-EU313*(2*CZ313/DH313-$I$27/DI313)</f>
        <v>0.198812070380318</v>
      </c>
      <c r="FB313" s="60" t="n">
        <f aca="false">$J$27/DI313*(ET313-1)-EV313-EU313*(2*DA313/DH313-$J$27/DI313)</f>
        <v>0.198812070380318</v>
      </c>
      <c r="FC313" s="60" t="n">
        <f aca="false">$K$27/DI313*(ET313-1)-EV313-EU313*(2*DB313/DH313-$K$27/DI313)</f>
        <v>0.198812070380318</v>
      </c>
      <c r="FD313" s="60" t="n">
        <f aca="false">$L$27/DI313*(ET313-1)-EV313-EU313*(2*DC313/DH313-$L$27/DI313)</f>
        <v>0.198812070380318</v>
      </c>
      <c r="FE313" s="60" t="n">
        <f aca="false">$M$27/DI313*(ET313-1)-EV313-EU313*(2*DD313/DH313-$M$27/DI313)</f>
        <v>0.198812070380318</v>
      </c>
      <c r="FF313" s="60" t="n">
        <f aca="false">$N$27/DI313*(ET313-1)-EV313-EU313*(2*DE313/DH313-$N$27/DI313)</f>
        <v>0.198812070380318</v>
      </c>
      <c r="FG313" s="60" t="n">
        <f aca="false">$O$27/DI313*(ET313-1)-EV313-EU313*(2*DF313/DH313-$O$27/DI313)</f>
        <v>0.198812070380318</v>
      </c>
      <c r="FH313" s="60" t="n">
        <f aca="false">$P$27/DI313*(ET313-1)-EV313-EU313*(2*DG313/DH313-$P$27/DI313)</f>
        <v>0.198812070380318</v>
      </c>
      <c r="FI313" s="60" t="n">
        <f aca="false">DK313/ET313&gt;$C$22</f>
        <v>0</v>
      </c>
      <c r="FJ313" s="60" t="n">
        <f aca="false">$E$28*SUMPRODUCT($E$31:$P$31,CJ313:CU313,$E$28:$P$28)</f>
        <v>0.184416866619846</v>
      </c>
      <c r="FK313" s="60" t="n">
        <f aca="false">$F$28*SUMPRODUCT($E$32:$P$32,CJ313:CU313,$E$28:$P$28)</f>
        <v>0</v>
      </c>
      <c r="FL313" s="60" t="n">
        <f aca="false">$G$28*SUMPRODUCT($E$33:$P$33,CJ313:CU313,$E$28:$P$28)</f>
        <v>0</v>
      </c>
      <c r="FM313" s="60" t="n">
        <f aca="false">$H$28*SUMPRODUCT($E$34:$P$34,CJ313:CU313,$E$28:$P$28)</f>
        <v>0</v>
      </c>
      <c r="FN313" s="60" t="n">
        <f aca="false">$I$28*SUMPRODUCT($E$35:$P$35,CJ313:CU313,$E$28:$P$28)</f>
        <v>0</v>
      </c>
      <c r="FO313" s="60" t="n">
        <f aca="false">$J$28*SUMPRODUCT($E$36:$P$36,CJ313:CU313,$E$28:$P$28)</f>
        <v>0</v>
      </c>
      <c r="FP313" s="60" t="n">
        <f aca="false">$K$28*SUMPRODUCT($E$37:$P$37,CJ313:CU313,$E$28:$P$28)</f>
        <v>0</v>
      </c>
      <c r="FQ313" s="60" t="n">
        <f aca="false">$L$28*SUMPRODUCT($E$38:$P$38,CJ313:CU313,$E$28:$P$28)</f>
        <v>0</v>
      </c>
      <c r="FR313" s="60" t="n">
        <f aca="false">$M$28*SUMPRODUCT($E$39:$P$39,CJ313:CU313,$E$28:$P$28)</f>
        <v>0</v>
      </c>
      <c r="FS313" s="60" t="n">
        <f aca="false">$N$28*SUMPRODUCT($E$40:$P$40,CJ313:CU313,$E$28:$P$28)</f>
        <v>0</v>
      </c>
      <c r="FT313" s="60" t="n">
        <f aca="false">$O$28*SUMPRODUCT($E$41:$P$41,CJ313:CU313,$E$28:$P$28)</f>
        <v>0</v>
      </c>
      <c r="FU313" s="60" t="n">
        <f aca="false">$P$28*SUMPRODUCT($E$42:$P$42,CJ313:CU313,$E$28:$P$28)</f>
        <v>0</v>
      </c>
      <c r="FV313" s="60" t="n">
        <f aca="false">SUMPRODUCT(CJ313:CU313,FJ313:FU313)</f>
        <v>0.184416866619846</v>
      </c>
      <c r="FW313" s="60" t="n">
        <f aca="false">SUMPRODUCT(CJ313:CU313,$E$27:$P$27)</f>
        <v>2.67389635063809E-005</v>
      </c>
      <c r="FX313" s="60" t="n">
        <f aca="false">FV313*$C$9/($C$10*$C$8)^2</f>
        <v>0.21776909410545</v>
      </c>
      <c r="FY313" s="60" t="n">
        <f aca="false">FW313*$C$9/($C$10*$C$8)</f>
        <v>0.0918845243259994</v>
      </c>
      <c r="FZ313" s="60" t="n">
        <f aca="false">CHOOSE($C$7,-(1+FY313),-1,-(1-FY313))</f>
        <v>-0.908115475674001</v>
      </c>
      <c r="GA313" s="60" t="n">
        <f aca="false">CHOOSE($C$7,FX313,FX313-FY313-FY313^2,FX313-3*FY313^2-2*FY313)</f>
        <v>0.00867174802160559</v>
      </c>
      <c r="GB313" s="60" t="n">
        <f aca="false">CHOOSE($C$7,-FX313*FY313,-FX313*FY313,-(FX313*FY313-FY313^2-FY313^3))</f>
        <v>-0.0107910842936637</v>
      </c>
      <c r="GC313" s="60" t="n">
        <f aca="false">GA313-FZ313^2/3</f>
        <v>-0.266219491031267</v>
      </c>
      <c r="GD313" s="60" t="n">
        <f aca="false">2*FZ313^3/27-FZ313*GA313/3+GB313</f>
        <v>-0.0636400988362784</v>
      </c>
      <c r="GE313" s="60" t="n">
        <f aca="false">GD313^2/4+GC313^3/27</f>
        <v>0.000313710901361829</v>
      </c>
      <c r="GF313" s="60" t="n">
        <f aca="false">-GD313/2-IF(GD313&gt;=0,1,-1)*SQRT(MAX(GE313,0))</f>
        <v>0.0495319352963236</v>
      </c>
      <c r="GG313" s="60" t="n">
        <f aca="false">SIGN(GF313)*ABS(GF313)^(1/3)</f>
        <v>0.367249967174439</v>
      </c>
      <c r="GH313" s="60" t="n">
        <f aca="false">IF(GG313=0,0,GG313-GC313/(3*GG313))</f>
        <v>0.60888329127384</v>
      </c>
      <c r="GI313" s="60" t="n">
        <f aca="false">2*SQRT(MAX(-GC313,0)/3)</f>
        <v>0.595784626668918</v>
      </c>
      <c r="GJ313" s="60" t="n">
        <f aca="false">ACOS(IF(GI313=0,0,MAX(-1,MIN(1,3*GD313/(GC313*GI313)))))</f>
        <v>0</v>
      </c>
      <c r="GK313" s="60" t="n">
        <f aca="false">GI313*COS(GJ313/3)</f>
        <v>0.595784626668918</v>
      </c>
      <c r="GL313" s="60" t="n">
        <f aca="false">IF(GE313&lt;0,GK313,GH313)-FZ313/3</f>
        <v>0.91158844983184</v>
      </c>
      <c r="GM313" s="60" t="n">
        <f aca="false">IFERROR((((GL313+FZ313)*GL313+GA313)*GL313+GB313)/((3*GL313+2*FZ313)*GL313+GA313),0)</f>
        <v>0</v>
      </c>
      <c r="GN313" s="60" t="n">
        <f aca="false">IF(ABS(GM313)&lt;0.1*ABS(GL313),GL313-GM313,GL313)</f>
        <v>0.91158844983184</v>
      </c>
      <c r="GO313" s="60" t="n">
        <f aca="false">IFERROR((((GN313+FZ313)*GN313+GA313)*GN313+GB313)/((3*GN313+2*FZ313)*GN313+GA313),0)</f>
        <v>0</v>
      </c>
      <c r="GP313" s="60" t="n">
        <f aca="false">IF(ABS(GO313)&lt;0.1*ABS(GN313),GN313-GO313,GN313)</f>
        <v>0.91158844983184</v>
      </c>
      <c r="GQ313" s="60" t="n">
        <f aca="false">-GB313/GP313</f>
        <v>0.0118376711504565</v>
      </c>
      <c r="GR313" s="60" t="n">
        <f aca="false">(GA313-GQ313)/GP313</f>
        <v>-0.00347297415783941</v>
      </c>
      <c r="GS313" s="60" t="n">
        <f aca="false">GR313^2-4*GQ313</f>
        <v>-0.0473386230523248</v>
      </c>
      <c r="GT313" s="60" t="n">
        <f aca="false">IF(GS313&gt;=0,(GR313+IF(GR313&gt;=0,1,-1)*SQRT(GS313))/2,0)</f>
        <v>0</v>
      </c>
      <c r="GU313" s="60" t="n">
        <f aca="false">IF(AND(GS313&gt;=0,GT313&lt;&gt;0),MIN(GT313,GQ313/GT313),-1)</f>
        <v>-1</v>
      </c>
      <c r="GV313" s="60" t="n">
        <f aca="false">AND(GS313&gt;=0,GU313&gt;FY313,ABS(GP313-GU313)&gt;=0.00005*MAX(GP313,GU313))</f>
        <v>0</v>
      </c>
      <c r="GW313" s="60" t="n">
        <f aca="false">IF(GV313,IFERROR((((GU313+FZ313)*GU313+GA313)*GU313+GB313)/((3*GU313+2*FZ313)*GU313+GA313),0),0)</f>
        <v>0</v>
      </c>
      <c r="GX313" s="60" t="n">
        <f aca="false">IF(ABS(GW313)&lt;0.1*ABS(GU313),GU313-GW313,GU313)</f>
        <v>-1</v>
      </c>
      <c r="GY313" s="60" t="n">
        <f aca="false">IF(GV313,IFERROR((((GX313+FZ313)*GX313+GA313)*GX313+GB313)/((3*GX313+2*FZ313)*GX313+GA313),0),0)</f>
        <v>0</v>
      </c>
      <c r="GZ313" s="60" t="n">
        <f aca="false">IF(ABS(GY313)&lt;0.1*ABS(GX313),GX313-GY313,GX313)</f>
        <v>-1</v>
      </c>
      <c r="HA313" s="60" t="n">
        <f aca="false">IF(GV313,MAX(GP313,GZ313),GP313)</f>
        <v>0.91158844983184</v>
      </c>
      <c r="HB313" s="60" t="n">
        <f aca="false">IF(GV313,MIN(GP313,GZ313),-1)</f>
        <v>-1</v>
      </c>
      <c r="HC313" s="60" t="n">
        <f aca="false">CHOOSE($C$7,FX313/HA313,FX313/FY313*LN(1+FY313/HA313),FX313/(2*SQRT(2)*FY313)*LN((HA313+(1+SQRT(2))*FY313)/(HA313+(1-SQRT(2))*FY313)))</f>
        <v>0.218240791233887</v>
      </c>
      <c r="HD313" s="60" t="n">
        <f aca="false">HA313-1-LN(HA313-FY313)-HC313</f>
        <v>-0.107840271021729</v>
      </c>
      <c r="HE313" s="60" t="n">
        <f aca="false">IF(GV313,CHOOSE($C$7,FX313/HB313,FX313/FY313*LN(1+FY313/HB313),FX313/(2*SQRT(2)*FY313)*LN((HB313+(1+SQRT(2))*FY313)/(HB313+(1-SQRT(2))*FY313))),0)</f>
        <v>0</v>
      </c>
      <c r="HF313" s="60" t="n">
        <f aca="false">IF(GV313,HB313-1-LN(HB313-FY313)-HE313,0)</f>
        <v>0</v>
      </c>
      <c r="HG313" s="60" t="n">
        <f aca="false">AND(GV313,HF313&lt;HD313)</f>
        <v>0</v>
      </c>
      <c r="HH313" s="60" t="n">
        <f aca="false">IF(HG313,HB313,HA313)</f>
        <v>0.91158844983184</v>
      </c>
      <c r="HI313" s="60" t="n">
        <f aca="false">IF(HG313,HE313,HC313)</f>
        <v>0.218240791233887</v>
      </c>
      <c r="HJ313" s="60" t="n">
        <f aca="false">LN(HH313-FY313)</f>
        <v>-0.198812070380318</v>
      </c>
      <c r="HK313" s="60" t="n">
        <f aca="false">$E$27/FW313*(HH313-1)-HJ313-HI313*(2*FJ313/FV313-$E$27/FW313)</f>
        <v>-0.107840271021729</v>
      </c>
      <c r="HL313" s="60" t="n">
        <f aca="false">$F$27/FW313*(HH313-1)-HJ313-HI313*(2*FK313/FV313-$F$27/FW313)</f>
        <v>0.198812070380318</v>
      </c>
      <c r="HM313" s="60" t="n">
        <f aca="false">$G$27/FW313*(HH313-1)-HJ313-HI313*(2*FL313/FV313-$G$27/FW313)</f>
        <v>0.198812070380318</v>
      </c>
      <c r="HN313" s="60" t="n">
        <f aca="false">$H$27/FW313*(HH313-1)-HJ313-HI313*(2*FM313/FV313-$H$27/FW313)</f>
        <v>0.198812070380318</v>
      </c>
      <c r="HO313" s="60" t="n">
        <f aca="false">$I$27/FW313*(HH313-1)-HJ313-HI313*(2*FN313/FV313-$I$27/FW313)</f>
        <v>0.198812070380318</v>
      </c>
      <c r="HP313" s="60" t="n">
        <f aca="false">$J$27/FW313*(HH313-1)-HJ313-HI313*(2*FO313/FV313-$J$27/FW313)</f>
        <v>0.198812070380318</v>
      </c>
      <c r="HQ313" s="60" t="n">
        <f aca="false">$K$27/FW313*(HH313-1)-HJ313-HI313*(2*FP313/FV313-$K$27/FW313)</f>
        <v>0.198812070380318</v>
      </c>
      <c r="HR313" s="60" t="n">
        <f aca="false">$L$27/FW313*(HH313-1)-HJ313-HI313*(2*FQ313/FV313-$L$27/FW313)</f>
        <v>0.198812070380318</v>
      </c>
      <c r="HS313" s="60" t="n">
        <f aca="false">$M$27/FW313*(HH313-1)-HJ313-HI313*(2*FR313/FV313-$M$27/FW313)</f>
        <v>0.198812070380318</v>
      </c>
      <c r="HT313" s="60" t="n">
        <f aca="false">$N$27/FW313*(HH313-1)-HJ313-HI313*(2*FS313/FV313-$N$27/FW313)</f>
        <v>0.198812070380318</v>
      </c>
      <c r="HU313" s="60" t="n">
        <f aca="false">$O$27/FW313*(HH313-1)-HJ313-HI313*(2*FT313/FV313-$O$27/FW313)</f>
        <v>0.198812070380318</v>
      </c>
      <c r="HV313" s="60" t="n">
        <f aca="false">$P$27/FW313*(HH313-1)-HJ313-HI313*(2*FU313/FV313-$P$27/FW313)</f>
        <v>0.198812070380318</v>
      </c>
      <c r="HW313" s="60" t="n">
        <f aca="false">FY313/HH313&gt;$C$22</f>
        <v>0</v>
      </c>
      <c r="HX313" s="60" t="n">
        <f aca="false">IF($E$13&gt;0,MAX(-300,MIN(300,EW313-HK313)),0)</f>
        <v>0</v>
      </c>
      <c r="HY313" s="60" t="n">
        <f aca="false">IF($F$13&gt;0,MAX(-300,MIN(300,EX313-HL313)),0)</f>
        <v>0</v>
      </c>
      <c r="HZ313" s="60" t="n">
        <f aca="false">IF($G$13&gt;0,MAX(-300,MIN(300,EY313-HM313)),0)</f>
        <v>0</v>
      </c>
      <c r="IA313" s="60" t="n">
        <f aca="false">IF($H$13&gt;0,MAX(-300,MIN(300,EZ313-HN313)),0)</f>
        <v>0</v>
      </c>
      <c r="IB313" s="60" t="n">
        <f aca="false">IF($I$13&gt;0,MAX(-300,MIN(300,FA313-HO313)),0)</f>
        <v>0</v>
      </c>
      <c r="IC313" s="60" t="n">
        <f aca="false">IF($J$13&gt;0,MAX(-300,MIN(300,FB313-HP313)),0)</f>
        <v>0</v>
      </c>
      <c r="ID313" s="60" t="n">
        <f aca="false">IF($K$13&gt;0,MAX(-300,MIN(300,FC313-HQ313)),0)</f>
        <v>0</v>
      </c>
      <c r="IE313" s="60" t="n">
        <f aca="false">IF($L$13&gt;0,MAX(-300,MIN(300,FD313-HR313)),0)</f>
        <v>0</v>
      </c>
      <c r="IF313" s="60" t="n">
        <f aca="false">IF($M$13&gt;0,MAX(-300,MIN(300,FE313-HS313)),0)</f>
        <v>0</v>
      </c>
      <c r="IG313" s="60" t="n">
        <f aca="false">IF($N$13&gt;0,MAX(-300,MIN(300,FF313-HT313)),0)</f>
        <v>0</v>
      </c>
      <c r="IH313" s="60" t="n">
        <f aca="false">IF($O$13&gt;0,MAX(-300,MIN(300,FG313-HU313)),0)</f>
        <v>0</v>
      </c>
      <c r="II313" s="60" t="n">
        <f aca="false">IF($P$13&gt;0,MAX(-300,MIN(300,FH313-HV313)),0)</f>
        <v>0</v>
      </c>
      <c r="IJ313" s="60" t="n">
        <f aca="false">SUMXMY2(HX313:II313,B313:M313)</f>
        <v>0</v>
      </c>
      <c r="IK313" s="60" t="n">
        <f aca="false">SUMSQ(B313:M313)</f>
        <v>0</v>
      </c>
    </row>
    <row r="314" customFormat="false" ht="15" hidden="false" customHeight="false" outlineLevel="0" collapsed="false">
      <c r="A314" s="59" t="n">
        <v>17</v>
      </c>
      <c r="B314" s="60" t="n">
        <f aca="false">HX313</f>
        <v>0</v>
      </c>
      <c r="C314" s="60" t="n">
        <f aca="false">HY313</f>
        <v>0</v>
      </c>
      <c r="D314" s="60" t="n">
        <f aca="false">HZ313</f>
        <v>0</v>
      </c>
      <c r="E314" s="60" t="n">
        <f aca="false">IA313</f>
        <v>0</v>
      </c>
      <c r="F314" s="60" t="n">
        <f aca="false">IB313</f>
        <v>0</v>
      </c>
      <c r="G314" s="60" t="n">
        <f aca="false">IC313</f>
        <v>0</v>
      </c>
      <c r="H314" s="60" t="n">
        <f aca="false">ID313</f>
        <v>0</v>
      </c>
      <c r="I314" s="60" t="n">
        <f aca="false">IE313</f>
        <v>0</v>
      </c>
      <c r="J314" s="60" t="n">
        <f aca="false">IF313</f>
        <v>0</v>
      </c>
      <c r="K314" s="60" t="n">
        <f aca="false">IG313</f>
        <v>0</v>
      </c>
      <c r="L314" s="60" t="n">
        <f aca="false">IH313</f>
        <v>0</v>
      </c>
      <c r="M314" s="60" t="n">
        <f aca="false">II313</f>
        <v>0</v>
      </c>
      <c r="N314" s="60" t="n">
        <f aca="false">EXP(B314)</f>
        <v>1</v>
      </c>
      <c r="O314" s="60" t="n">
        <f aca="false">EXP(C314)</f>
        <v>1</v>
      </c>
      <c r="P314" s="60" t="n">
        <f aca="false">EXP(D314)</f>
        <v>1</v>
      </c>
      <c r="Q314" s="60" t="n">
        <f aca="false">EXP(E314)</f>
        <v>1</v>
      </c>
      <c r="R314" s="60" t="n">
        <f aca="false">EXP(F314)</f>
        <v>1</v>
      </c>
      <c r="S314" s="60" t="n">
        <f aca="false">EXP(G314)</f>
        <v>1</v>
      </c>
      <c r="T314" s="60" t="n">
        <f aca="false">EXP(H314)</f>
        <v>1</v>
      </c>
      <c r="U314" s="60" t="n">
        <f aca="false">EXP(I314)</f>
        <v>1</v>
      </c>
      <c r="V314" s="60" t="n">
        <f aca="false">EXP(J314)</f>
        <v>1</v>
      </c>
      <c r="W314" s="60" t="n">
        <f aca="false">EXP(K314)</f>
        <v>1</v>
      </c>
      <c r="X314" s="60" t="n">
        <f aca="false">EXP(L314)</f>
        <v>1</v>
      </c>
      <c r="Y314" s="60" t="n">
        <f aca="false">EXP(M314)</f>
        <v>1</v>
      </c>
      <c r="Z314" s="60" t="n">
        <f aca="false">MAX(N314:Y314)</f>
        <v>1</v>
      </c>
      <c r="AA314" s="60" t="n">
        <f aca="false">MIN(N314:Y314)</f>
        <v>1</v>
      </c>
      <c r="AB314" s="60" t="n">
        <f aca="false">AND(Z314&gt;1,AA314&lt;1)</f>
        <v>0</v>
      </c>
      <c r="AC314" s="60" t="n">
        <f aca="false">IF(AB314,1/(1-Z314),0)</f>
        <v>0</v>
      </c>
      <c r="AD314" s="60" t="n">
        <f aca="false">IF(AB314,1/(1-AA314),1)</f>
        <v>1</v>
      </c>
      <c r="AE314" s="60" t="n">
        <f aca="false">IF(AB314,MIN(MAX(BI313,AC314+0.000000001*(AD314-AC314)),AD314-0.000000001*(AD314-AC314)),IF(AA314&gt;=1,1,0))</f>
        <v>1</v>
      </c>
      <c r="AF314" s="60" t="n">
        <f aca="false">SUMPRODUCT($E$13:$P$13*(N314:Y314-1)/(1+AE314*(N314:Y314-1)))</f>
        <v>0</v>
      </c>
      <c r="AG314" s="60" t="n">
        <f aca="false">-SUMPRODUCT($E$13:$P$13*(N314:Y314-1)^2/(1+AE314*(N314:Y314-1))^2)</f>
        <v>-0</v>
      </c>
      <c r="AH314" s="60" t="n">
        <f aca="false">IF(OR(NOT(AB314),AG314=0),AE314,IF(AE314-AF314/AG314&lt;=AC314,(AE314+AC314)/2,IF(AE314-AF314/AG314&gt;=AD314,(AE314+AD314)/2,AE314-AF314/AG314)))</f>
        <v>1</v>
      </c>
      <c r="AI314" s="60" t="n">
        <f aca="false">SUMPRODUCT($E$13:$P$13*(N314:Y314-1)/(1+AH314*(N314:Y314-1)))</f>
        <v>0</v>
      </c>
      <c r="AJ314" s="60" t="n">
        <f aca="false">-SUMPRODUCT($E$13:$P$13*(N314:Y314-1)^2/(1+AH314*(N314:Y314-1))^2)</f>
        <v>-0</v>
      </c>
      <c r="AK314" s="60" t="n">
        <f aca="false">IF(OR(NOT(AB314),AJ314=0),AH314,IF(AH314-AI314/AJ314&lt;=AC314,(AH314+AC314)/2,IF(AH314-AI314/AJ314&gt;=AD314,(AH314+AD314)/2,AH314-AI314/AJ314)))</f>
        <v>1</v>
      </c>
      <c r="AL314" s="60" t="n">
        <f aca="false">SUMPRODUCT($E$13:$P$13*(N314:Y314-1)/(1+AK314*(N314:Y314-1)))</f>
        <v>0</v>
      </c>
      <c r="AM314" s="60" t="n">
        <f aca="false">-SUMPRODUCT($E$13:$P$13*(N314:Y314-1)^2/(1+AK314*(N314:Y314-1))^2)</f>
        <v>-0</v>
      </c>
      <c r="AN314" s="60" t="n">
        <f aca="false">IF(OR(NOT(AB314),AM314=0),AK314,IF(AK314-AL314/AM314&lt;=AC314,(AK314+AC314)/2,IF(AK314-AL314/AM314&gt;=AD314,(AK314+AD314)/2,AK314-AL314/AM314)))</f>
        <v>1</v>
      </c>
      <c r="AO314" s="60" t="n">
        <f aca="false">SUMPRODUCT($E$13:$P$13*(N314:Y314-1)/(1+AN314*(N314:Y314-1)))</f>
        <v>0</v>
      </c>
      <c r="AP314" s="60" t="n">
        <f aca="false">-SUMPRODUCT($E$13:$P$13*(N314:Y314-1)^2/(1+AN314*(N314:Y314-1))^2)</f>
        <v>-0</v>
      </c>
      <c r="AQ314" s="60" t="n">
        <f aca="false">IF(OR(NOT(AB314),AP314=0),AN314,IF(AN314-AO314/AP314&lt;=AC314,(AN314+AC314)/2,IF(AN314-AO314/AP314&gt;=AD314,(AN314+AD314)/2,AN314-AO314/AP314)))</f>
        <v>1</v>
      </c>
      <c r="AR314" s="60" t="n">
        <f aca="false">SUMPRODUCT($E$13:$P$13*(N314:Y314-1)/(1+AQ314*(N314:Y314-1)))</f>
        <v>0</v>
      </c>
      <c r="AS314" s="60" t="n">
        <f aca="false">-SUMPRODUCT($E$13:$P$13*(N314:Y314-1)^2/(1+AQ314*(N314:Y314-1))^2)</f>
        <v>-0</v>
      </c>
      <c r="AT314" s="60" t="n">
        <f aca="false">IF(OR(NOT(AB314),AS314=0),AQ314,IF(AQ314-AR314/AS314&lt;=AC314,(AQ314+AC314)/2,IF(AQ314-AR314/AS314&gt;=AD314,(AQ314+AD314)/2,AQ314-AR314/AS314)))</f>
        <v>1</v>
      </c>
      <c r="AU314" s="60" t="n">
        <f aca="false">SUMPRODUCT($E$13:$P$13*(N314:Y314-1)/(1+AT314*(N314:Y314-1)))</f>
        <v>0</v>
      </c>
      <c r="AV314" s="60" t="n">
        <f aca="false">-SUMPRODUCT($E$13:$P$13*(N314:Y314-1)^2/(1+AT314*(N314:Y314-1))^2)</f>
        <v>-0</v>
      </c>
      <c r="AW314" s="60" t="n">
        <f aca="false">IF(OR(NOT(AB314),AV314=0),AT314,IF(AT314-AU314/AV314&lt;=AC314,(AT314+AC314)/2,IF(AT314-AU314/AV314&gt;=AD314,(AT314+AD314)/2,AT314-AU314/AV314)))</f>
        <v>1</v>
      </c>
      <c r="AX314" s="60" t="n">
        <f aca="false">SUMPRODUCT($E$13:$P$13*(N314:Y314-1)/(1+AW314*(N314:Y314-1)))</f>
        <v>0</v>
      </c>
      <c r="AY314" s="60" t="n">
        <f aca="false">-SUMPRODUCT($E$13:$P$13*(N314:Y314-1)^2/(1+AW314*(N314:Y314-1))^2)</f>
        <v>-0</v>
      </c>
      <c r="AZ314" s="60" t="n">
        <f aca="false">IF(OR(NOT(AB314),AY314=0),AW314,IF(AW314-AX314/AY314&lt;=AC314,(AW314+AC314)/2,IF(AW314-AX314/AY314&gt;=AD314,(AW314+AD314)/2,AW314-AX314/AY314)))</f>
        <v>1</v>
      </c>
      <c r="BA314" s="60" t="n">
        <f aca="false">SUMPRODUCT($E$13:$P$13*(N314:Y314-1)/(1+AZ314*(N314:Y314-1)))</f>
        <v>0</v>
      </c>
      <c r="BB314" s="60" t="n">
        <f aca="false">-SUMPRODUCT($E$13:$P$13*(N314:Y314-1)^2/(1+AZ314*(N314:Y314-1))^2)</f>
        <v>-0</v>
      </c>
      <c r="BC314" s="60" t="n">
        <f aca="false">IF(OR(NOT(AB314),BB314=0),AZ314,IF(AZ314-BA314/BB314&lt;=AC314,(AZ314+AC314)/2,IF(AZ314-BA314/BB314&gt;=AD314,(AZ314+AD314)/2,AZ314-BA314/BB314)))</f>
        <v>1</v>
      </c>
      <c r="BD314" s="60" t="n">
        <f aca="false">SUMPRODUCT($E$13:$P$13*(N314:Y314-1)/(1+BC314*(N314:Y314-1)))</f>
        <v>0</v>
      </c>
      <c r="BE314" s="60" t="n">
        <f aca="false">-SUMPRODUCT($E$13:$P$13*(N314:Y314-1)^2/(1+BC314*(N314:Y314-1))^2)</f>
        <v>-0</v>
      </c>
      <c r="BF314" s="60" t="n">
        <f aca="false">IF(OR(NOT(AB314),BE314=0),BC314,IF(BC314-BD314/BE314&lt;=AC314,(BC314+AC314)/2,IF(BC314-BD314/BE314&gt;=AD314,(BC314+AD314)/2,BC314-BD314/BE314)))</f>
        <v>1</v>
      </c>
      <c r="BG314" s="60" t="n">
        <f aca="false">SUMPRODUCT($E$13:$P$13*(N314:Y314-1)/(1+BF314*(N314:Y314-1)))</f>
        <v>0</v>
      </c>
      <c r="BH314" s="60" t="n">
        <f aca="false">-SUMPRODUCT($E$13:$P$13*(N314:Y314-1)^2/(1+BF314*(N314:Y314-1))^2)</f>
        <v>-0</v>
      </c>
      <c r="BI314" s="60" t="n">
        <f aca="false">IF(OR(NOT(AB314),BH314=0),BF314,IF(BF314-BG314/BH314&lt;=AC314,(BF314+AC314)/2,IF(BF314-BG314/BH314&gt;=AD314,(BF314+AD314)/2,BF314-BG314/BH314)))</f>
        <v>1</v>
      </c>
      <c r="BJ314" s="60" t="n">
        <f aca="false">$E$13/(1+BI314*(N314-1))</f>
        <v>1</v>
      </c>
      <c r="BK314" s="60" t="n">
        <f aca="false">$F$13/(1+BI314*(O314-1))</f>
        <v>0</v>
      </c>
      <c r="BL314" s="60" t="n">
        <f aca="false">$G$13/(1+BI314*(P314-1))</f>
        <v>0</v>
      </c>
      <c r="BM314" s="60" t="n">
        <f aca="false">$H$13/(1+BI314*(Q314-1))</f>
        <v>0</v>
      </c>
      <c r="BN314" s="60" t="n">
        <f aca="false">$I$13/(1+BI314*(R314-1))</f>
        <v>0</v>
      </c>
      <c r="BO314" s="60" t="n">
        <f aca="false">$J$13/(1+BI314*(S314-1))</f>
        <v>0</v>
      </c>
      <c r="BP314" s="60" t="n">
        <f aca="false">$K$13/(1+BI314*(T314-1))</f>
        <v>0</v>
      </c>
      <c r="BQ314" s="60" t="n">
        <f aca="false">$L$13/(1+BI314*(U314-1))</f>
        <v>0</v>
      </c>
      <c r="BR314" s="60" t="n">
        <f aca="false">$M$13/(1+BI314*(V314-1))</f>
        <v>0</v>
      </c>
      <c r="BS314" s="60" t="n">
        <f aca="false">$N$13/(1+BI314*(W314-1))</f>
        <v>0</v>
      </c>
      <c r="BT314" s="60" t="n">
        <f aca="false">$O$13/(1+BI314*(X314-1))</f>
        <v>0</v>
      </c>
      <c r="BU314" s="60" t="n">
        <f aca="false">$P$13/(1+BI314*(Y314-1))</f>
        <v>0</v>
      </c>
      <c r="BV314" s="60" t="n">
        <f aca="false">SUM(BJ314:BU314)</f>
        <v>1</v>
      </c>
      <c r="BW314" s="60" t="n">
        <f aca="false">SUMPRODUCT(N314:Y314,BJ314:BU314)</f>
        <v>1</v>
      </c>
      <c r="BX314" s="60" t="n">
        <f aca="false">BJ314/BV314</f>
        <v>1</v>
      </c>
      <c r="BY314" s="60" t="n">
        <f aca="false">BK314/BV314</f>
        <v>0</v>
      </c>
      <c r="BZ314" s="60" t="n">
        <f aca="false">BL314/BV314</f>
        <v>0</v>
      </c>
      <c r="CA314" s="60" t="n">
        <f aca="false">BM314/BV314</f>
        <v>0</v>
      </c>
      <c r="CB314" s="60" t="n">
        <f aca="false">BN314/BV314</f>
        <v>0</v>
      </c>
      <c r="CC314" s="60" t="n">
        <f aca="false">BO314/BV314</f>
        <v>0</v>
      </c>
      <c r="CD314" s="60" t="n">
        <f aca="false">BP314/BV314</f>
        <v>0</v>
      </c>
      <c r="CE314" s="60" t="n">
        <f aca="false">BQ314/BV314</f>
        <v>0</v>
      </c>
      <c r="CF314" s="60" t="n">
        <f aca="false">BR314/BV314</f>
        <v>0</v>
      </c>
      <c r="CG314" s="60" t="n">
        <f aca="false">BS314/BV314</f>
        <v>0</v>
      </c>
      <c r="CH314" s="60" t="n">
        <f aca="false">BT314/BV314</f>
        <v>0</v>
      </c>
      <c r="CI314" s="60" t="n">
        <f aca="false">BU314/BV314</f>
        <v>0</v>
      </c>
      <c r="CJ314" s="60" t="n">
        <f aca="false">N314*BJ314/BW314</f>
        <v>1</v>
      </c>
      <c r="CK314" s="60" t="n">
        <f aca="false">O314*BK314/BW314</f>
        <v>0</v>
      </c>
      <c r="CL314" s="60" t="n">
        <f aca="false">P314*BL314/BW314</f>
        <v>0</v>
      </c>
      <c r="CM314" s="60" t="n">
        <f aca="false">Q314*BM314/BW314</f>
        <v>0</v>
      </c>
      <c r="CN314" s="60" t="n">
        <f aca="false">R314*BN314/BW314</f>
        <v>0</v>
      </c>
      <c r="CO314" s="60" t="n">
        <f aca="false">S314*BO314/BW314</f>
        <v>0</v>
      </c>
      <c r="CP314" s="60" t="n">
        <f aca="false">T314*BP314/BW314</f>
        <v>0</v>
      </c>
      <c r="CQ314" s="60" t="n">
        <f aca="false">U314*BQ314/BW314</f>
        <v>0</v>
      </c>
      <c r="CR314" s="60" t="n">
        <f aca="false">V314*BR314/BW314</f>
        <v>0</v>
      </c>
      <c r="CS314" s="60" t="n">
        <f aca="false">W314*BS314/BW314</f>
        <v>0</v>
      </c>
      <c r="CT314" s="60" t="n">
        <f aca="false">X314*BT314/BW314</f>
        <v>0</v>
      </c>
      <c r="CU314" s="60" t="n">
        <f aca="false">Y314*BU314/BW314</f>
        <v>0</v>
      </c>
      <c r="CV314" s="60" t="n">
        <f aca="false">$E$28*SUMPRODUCT($E$31:$P$31,BX314:CI314,$E$28:$P$28)</f>
        <v>0.184416866619846</v>
      </c>
      <c r="CW314" s="60" t="n">
        <f aca="false">$F$28*SUMPRODUCT($E$32:$P$32,BX314:CI314,$E$28:$P$28)</f>
        <v>0</v>
      </c>
      <c r="CX314" s="60" t="n">
        <f aca="false">$G$28*SUMPRODUCT($E$33:$P$33,BX314:CI314,$E$28:$P$28)</f>
        <v>0</v>
      </c>
      <c r="CY314" s="60" t="n">
        <f aca="false">$H$28*SUMPRODUCT($E$34:$P$34,BX314:CI314,$E$28:$P$28)</f>
        <v>0</v>
      </c>
      <c r="CZ314" s="60" t="n">
        <f aca="false">$I$28*SUMPRODUCT($E$35:$P$35,BX314:CI314,$E$28:$P$28)</f>
        <v>0</v>
      </c>
      <c r="DA314" s="60" t="n">
        <f aca="false">$J$28*SUMPRODUCT($E$36:$P$36,BX314:CI314,$E$28:$P$28)</f>
        <v>0</v>
      </c>
      <c r="DB314" s="60" t="n">
        <f aca="false">$K$28*SUMPRODUCT($E$37:$P$37,BX314:CI314,$E$28:$P$28)</f>
        <v>0</v>
      </c>
      <c r="DC314" s="60" t="n">
        <f aca="false">$L$28*SUMPRODUCT($E$38:$P$38,BX314:CI314,$E$28:$P$28)</f>
        <v>0</v>
      </c>
      <c r="DD314" s="60" t="n">
        <f aca="false">$M$28*SUMPRODUCT($E$39:$P$39,BX314:CI314,$E$28:$P$28)</f>
        <v>0</v>
      </c>
      <c r="DE314" s="60" t="n">
        <f aca="false">$N$28*SUMPRODUCT($E$40:$P$40,BX314:CI314,$E$28:$P$28)</f>
        <v>0</v>
      </c>
      <c r="DF314" s="60" t="n">
        <f aca="false">$O$28*SUMPRODUCT($E$41:$P$41,BX314:CI314,$E$28:$P$28)</f>
        <v>0</v>
      </c>
      <c r="DG314" s="60" t="n">
        <f aca="false">$P$28*SUMPRODUCT($E$42:$P$42,BX314:CI314,$E$28:$P$28)</f>
        <v>0</v>
      </c>
      <c r="DH314" s="60" t="n">
        <f aca="false">SUMPRODUCT(BX314:CI314,CV314:DG314)</f>
        <v>0.184416866619846</v>
      </c>
      <c r="DI314" s="60" t="n">
        <f aca="false">SUMPRODUCT(BX314:CI314,$E$27:$P$27)</f>
        <v>2.67389635063809E-005</v>
      </c>
      <c r="DJ314" s="60" t="n">
        <f aca="false">DH314*$C$9/($C$10*$C$8)^2</f>
        <v>0.21776909410545</v>
      </c>
      <c r="DK314" s="60" t="n">
        <f aca="false">DI314*$C$9/($C$10*$C$8)</f>
        <v>0.0918845243259994</v>
      </c>
      <c r="DL314" s="60" t="n">
        <f aca="false">CHOOSE($C$7,-(1+DK314),-1,-(1-DK314))</f>
        <v>-0.908115475674001</v>
      </c>
      <c r="DM314" s="60" t="n">
        <f aca="false">CHOOSE($C$7,DJ314,DJ314-DK314-DK314^2,DJ314-3*DK314^2-2*DK314)</f>
        <v>0.00867174802160559</v>
      </c>
      <c r="DN314" s="60" t="n">
        <f aca="false">CHOOSE($C$7,-DJ314*DK314,-DJ314*DK314,-(DJ314*DK314-DK314^2-DK314^3))</f>
        <v>-0.0107910842936637</v>
      </c>
      <c r="DO314" s="60" t="n">
        <f aca="false">DM314-DL314^2/3</f>
        <v>-0.266219491031267</v>
      </c>
      <c r="DP314" s="60" t="n">
        <f aca="false">2*DL314^3/27-DL314*DM314/3+DN314</f>
        <v>-0.0636400988362784</v>
      </c>
      <c r="DQ314" s="60" t="n">
        <f aca="false">DP314^2/4+DO314^3/27</f>
        <v>0.000313710901361829</v>
      </c>
      <c r="DR314" s="60" t="n">
        <f aca="false">-DP314/2-IF(DP314&gt;=0,1,-1)*SQRT(MAX(DQ314,0))</f>
        <v>0.0495319352963236</v>
      </c>
      <c r="DS314" s="60" t="n">
        <f aca="false">SIGN(DR314)*ABS(DR314)^(1/3)</f>
        <v>0.367249967174439</v>
      </c>
      <c r="DT314" s="60" t="n">
        <f aca="false">IF(DS314=0,0,DS314-DO314/(3*DS314))</f>
        <v>0.60888329127384</v>
      </c>
      <c r="DU314" s="60" t="n">
        <f aca="false">2*SQRT(MAX(-DO314,0)/3)</f>
        <v>0.595784626668918</v>
      </c>
      <c r="DV314" s="60" t="n">
        <f aca="false">ACOS(IF(DU314=0,0,MAX(-1,MIN(1,3*DP314/(DO314*DU314)))))</f>
        <v>0</v>
      </c>
      <c r="DW314" s="60" t="n">
        <f aca="false">DU314*COS(DV314/3)</f>
        <v>0.595784626668918</v>
      </c>
      <c r="DX314" s="60" t="n">
        <f aca="false">IF(DQ314&lt;0,DW314,DT314)-DL314/3</f>
        <v>0.91158844983184</v>
      </c>
      <c r="DY314" s="60" t="n">
        <f aca="false">IFERROR((((DX314+DL314)*DX314+DM314)*DX314+DN314)/((3*DX314+2*DL314)*DX314+DM314),0)</f>
        <v>0</v>
      </c>
      <c r="DZ314" s="60" t="n">
        <f aca="false">IF(ABS(DY314)&lt;0.1*ABS(DX314),DX314-DY314,DX314)</f>
        <v>0.91158844983184</v>
      </c>
      <c r="EA314" s="60" t="n">
        <f aca="false">IFERROR((((DZ314+DL314)*DZ314+DM314)*DZ314+DN314)/((3*DZ314+2*DL314)*DZ314+DM314),0)</f>
        <v>0</v>
      </c>
      <c r="EB314" s="60" t="n">
        <f aca="false">IF(ABS(EA314)&lt;0.1*ABS(DZ314),DZ314-EA314,DZ314)</f>
        <v>0.91158844983184</v>
      </c>
      <c r="EC314" s="60" t="n">
        <f aca="false">-DN314/EB314</f>
        <v>0.0118376711504565</v>
      </c>
      <c r="ED314" s="60" t="n">
        <f aca="false">(DM314-EC314)/EB314</f>
        <v>-0.00347297415783941</v>
      </c>
      <c r="EE314" s="60" t="n">
        <f aca="false">ED314^2-4*EC314</f>
        <v>-0.0473386230523248</v>
      </c>
      <c r="EF314" s="60" t="n">
        <f aca="false">IF(EE314&gt;=0,(ED314+IF(ED314&gt;=0,1,-1)*SQRT(EE314))/2,0)</f>
        <v>0</v>
      </c>
      <c r="EG314" s="60" t="n">
        <f aca="false">IF(AND(EE314&gt;=0,EF314&lt;&gt;0),MIN(EF314,EC314/EF314),-1)</f>
        <v>-1</v>
      </c>
      <c r="EH314" s="60" t="n">
        <f aca="false">AND(EE314&gt;=0,EG314&gt;DK314,ABS(EB314-EG314)&gt;=0.00005*MAX(EB314,EG314))</f>
        <v>0</v>
      </c>
      <c r="EI314" s="60" t="n">
        <f aca="false">IF(EH314,IFERROR((((EG314+DL314)*EG314+DM314)*EG314+DN314)/((3*EG314+2*DL314)*EG314+DM314),0),0)</f>
        <v>0</v>
      </c>
      <c r="EJ314" s="60" t="n">
        <f aca="false">IF(ABS(EI314)&lt;0.1*ABS(EG314),EG314-EI314,EG314)</f>
        <v>-1</v>
      </c>
      <c r="EK314" s="60" t="n">
        <f aca="false">IF(EH314,IFERROR((((EJ314+DL314)*EJ314+DM314)*EJ314+DN314)/((3*EJ314+2*DL314)*EJ314+DM314),0),0)</f>
        <v>0</v>
      </c>
      <c r="EL314" s="60" t="n">
        <f aca="false">IF(ABS(EK314)&lt;0.1*ABS(EJ314),EJ314-EK314,EJ314)</f>
        <v>-1</v>
      </c>
      <c r="EM314" s="60" t="n">
        <f aca="false">IF(EH314,MAX(EB314,EL314),EB314)</f>
        <v>0.91158844983184</v>
      </c>
      <c r="EN314" s="60" t="n">
        <f aca="false">IF(EH314,MIN(EB314,EL314),-1)</f>
        <v>-1</v>
      </c>
      <c r="EO314" s="60" t="n">
        <f aca="false">CHOOSE($C$7,DJ314/EM314,DJ314/DK314*LN(1+DK314/EM314),DJ314/(2*SQRT(2)*DK314)*LN((EM314+(1+SQRT(2))*DK314)/(EM314+(1-SQRT(2))*DK314)))</f>
        <v>0.218240791233887</v>
      </c>
      <c r="EP314" s="60" t="n">
        <f aca="false">EM314-1-LN(EM314-DK314)-EO314</f>
        <v>-0.107840271021729</v>
      </c>
      <c r="EQ314" s="60" t="n">
        <f aca="false">IF(EH314,CHOOSE($C$7,DJ314/EN314,DJ314/DK314*LN(1+DK314/EN314),DJ314/(2*SQRT(2)*DK314)*LN((EN314+(1+SQRT(2))*DK314)/(EN314+(1-SQRT(2))*DK314))),0)</f>
        <v>0</v>
      </c>
      <c r="ER314" s="60" t="n">
        <f aca="false">IF(EH314,EN314-1-LN(EN314-DK314)-EQ314,0)</f>
        <v>0</v>
      </c>
      <c r="ES314" s="60" t="n">
        <f aca="false">AND(EH314,ER314&lt;EP314)</f>
        <v>0</v>
      </c>
      <c r="ET314" s="60" t="n">
        <f aca="false">IF(ES314,EN314,EM314)</f>
        <v>0.91158844983184</v>
      </c>
      <c r="EU314" s="60" t="n">
        <f aca="false">IF(ES314,EQ314,EO314)</f>
        <v>0.218240791233887</v>
      </c>
      <c r="EV314" s="60" t="n">
        <f aca="false">LN(ET314-DK314)</f>
        <v>-0.198812070380318</v>
      </c>
      <c r="EW314" s="60" t="n">
        <f aca="false">$E$27/DI314*(ET314-1)-EV314-EU314*(2*CV314/DH314-$E$27/DI314)</f>
        <v>-0.107840271021729</v>
      </c>
      <c r="EX314" s="60" t="n">
        <f aca="false">$F$27/DI314*(ET314-1)-EV314-EU314*(2*CW314/DH314-$F$27/DI314)</f>
        <v>0.198812070380318</v>
      </c>
      <c r="EY314" s="60" t="n">
        <f aca="false">$G$27/DI314*(ET314-1)-EV314-EU314*(2*CX314/DH314-$G$27/DI314)</f>
        <v>0.198812070380318</v>
      </c>
      <c r="EZ314" s="60" t="n">
        <f aca="false">$H$27/DI314*(ET314-1)-EV314-EU314*(2*CY314/DH314-$H$27/DI314)</f>
        <v>0.198812070380318</v>
      </c>
      <c r="FA314" s="60" t="n">
        <f aca="false">$I$27/DI314*(ET314-1)-EV314-EU314*(2*CZ314/DH314-$I$27/DI314)</f>
        <v>0.198812070380318</v>
      </c>
      <c r="FB314" s="60" t="n">
        <f aca="false">$J$27/DI314*(ET314-1)-EV314-EU314*(2*DA314/DH314-$J$27/DI314)</f>
        <v>0.198812070380318</v>
      </c>
      <c r="FC314" s="60" t="n">
        <f aca="false">$K$27/DI314*(ET314-1)-EV314-EU314*(2*DB314/DH314-$K$27/DI314)</f>
        <v>0.198812070380318</v>
      </c>
      <c r="FD314" s="60" t="n">
        <f aca="false">$L$27/DI314*(ET314-1)-EV314-EU314*(2*DC314/DH314-$L$27/DI314)</f>
        <v>0.198812070380318</v>
      </c>
      <c r="FE314" s="60" t="n">
        <f aca="false">$M$27/DI314*(ET314-1)-EV314-EU314*(2*DD314/DH314-$M$27/DI314)</f>
        <v>0.198812070380318</v>
      </c>
      <c r="FF314" s="60" t="n">
        <f aca="false">$N$27/DI314*(ET314-1)-EV314-EU314*(2*DE314/DH314-$N$27/DI314)</f>
        <v>0.198812070380318</v>
      </c>
      <c r="FG314" s="60" t="n">
        <f aca="false">$O$27/DI314*(ET314-1)-EV314-EU314*(2*DF314/DH314-$O$27/DI314)</f>
        <v>0.198812070380318</v>
      </c>
      <c r="FH314" s="60" t="n">
        <f aca="false">$P$27/DI314*(ET314-1)-EV314-EU314*(2*DG314/DH314-$P$27/DI314)</f>
        <v>0.198812070380318</v>
      </c>
      <c r="FI314" s="60" t="n">
        <f aca="false">DK314/ET314&gt;$C$22</f>
        <v>0</v>
      </c>
      <c r="FJ314" s="60" t="n">
        <f aca="false">$E$28*SUMPRODUCT($E$31:$P$31,CJ314:CU314,$E$28:$P$28)</f>
        <v>0.184416866619846</v>
      </c>
      <c r="FK314" s="60" t="n">
        <f aca="false">$F$28*SUMPRODUCT($E$32:$P$32,CJ314:CU314,$E$28:$P$28)</f>
        <v>0</v>
      </c>
      <c r="FL314" s="60" t="n">
        <f aca="false">$G$28*SUMPRODUCT($E$33:$P$33,CJ314:CU314,$E$28:$P$28)</f>
        <v>0</v>
      </c>
      <c r="FM314" s="60" t="n">
        <f aca="false">$H$28*SUMPRODUCT($E$34:$P$34,CJ314:CU314,$E$28:$P$28)</f>
        <v>0</v>
      </c>
      <c r="FN314" s="60" t="n">
        <f aca="false">$I$28*SUMPRODUCT($E$35:$P$35,CJ314:CU314,$E$28:$P$28)</f>
        <v>0</v>
      </c>
      <c r="FO314" s="60" t="n">
        <f aca="false">$J$28*SUMPRODUCT($E$36:$P$36,CJ314:CU314,$E$28:$P$28)</f>
        <v>0</v>
      </c>
      <c r="FP314" s="60" t="n">
        <f aca="false">$K$28*SUMPRODUCT($E$37:$P$37,CJ314:CU314,$E$28:$P$28)</f>
        <v>0</v>
      </c>
      <c r="FQ314" s="60" t="n">
        <f aca="false">$L$28*SUMPRODUCT($E$38:$P$38,CJ314:CU314,$E$28:$P$28)</f>
        <v>0</v>
      </c>
      <c r="FR314" s="60" t="n">
        <f aca="false">$M$28*SUMPRODUCT($E$39:$P$39,CJ314:CU314,$E$28:$P$28)</f>
        <v>0</v>
      </c>
      <c r="FS314" s="60" t="n">
        <f aca="false">$N$28*SUMPRODUCT($E$40:$P$40,CJ314:CU314,$E$28:$P$28)</f>
        <v>0</v>
      </c>
      <c r="FT314" s="60" t="n">
        <f aca="false">$O$28*SUMPRODUCT($E$41:$P$41,CJ314:CU314,$E$28:$P$28)</f>
        <v>0</v>
      </c>
      <c r="FU314" s="60" t="n">
        <f aca="false">$P$28*SUMPRODUCT($E$42:$P$42,CJ314:CU314,$E$28:$P$28)</f>
        <v>0</v>
      </c>
      <c r="FV314" s="60" t="n">
        <f aca="false">SUMPRODUCT(CJ314:CU314,FJ314:FU314)</f>
        <v>0.184416866619846</v>
      </c>
      <c r="FW314" s="60" t="n">
        <f aca="false">SUMPRODUCT(CJ314:CU314,$E$27:$P$27)</f>
        <v>2.67389635063809E-005</v>
      </c>
      <c r="FX314" s="60" t="n">
        <f aca="false">FV314*$C$9/($C$10*$C$8)^2</f>
        <v>0.21776909410545</v>
      </c>
      <c r="FY314" s="60" t="n">
        <f aca="false">FW314*$C$9/($C$10*$C$8)</f>
        <v>0.0918845243259994</v>
      </c>
      <c r="FZ314" s="60" t="n">
        <f aca="false">CHOOSE($C$7,-(1+FY314),-1,-(1-FY314))</f>
        <v>-0.908115475674001</v>
      </c>
      <c r="GA314" s="60" t="n">
        <f aca="false">CHOOSE($C$7,FX314,FX314-FY314-FY314^2,FX314-3*FY314^2-2*FY314)</f>
        <v>0.00867174802160559</v>
      </c>
      <c r="GB314" s="60" t="n">
        <f aca="false">CHOOSE($C$7,-FX314*FY314,-FX314*FY314,-(FX314*FY314-FY314^2-FY314^3))</f>
        <v>-0.0107910842936637</v>
      </c>
      <c r="GC314" s="60" t="n">
        <f aca="false">GA314-FZ314^2/3</f>
        <v>-0.266219491031267</v>
      </c>
      <c r="GD314" s="60" t="n">
        <f aca="false">2*FZ314^3/27-FZ314*GA314/3+GB314</f>
        <v>-0.0636400988362784</v>
      </c>
      <c r="GE314" s="60" t="n">
        <f aca="false">GD314^2/4+GC314^3/27</f>
        <v>0.000313710901361829</v>
      </c>
      <c r="GF314" s="60" t="n">
        <f aca="false">-GD314/2-IF(GD314&gt;=0,1,-1)*SQRT(MAX(GE314,0))</f>
        <v>0.0495319352963236</v>
      </c>
      <c r="GG314" s="60" t="n">
        <f aca="false">SIGN(GF314)*ABS(GF314)^(1/3)</f>
        <v>0.367249967174439</v>
      </c>
      <c r="GH314" s="60" t="n">
        <f aca="false">IF(GG314=0,0,GG314-GC314/(3*GG314))</f>
        <v>0.60888329127384</v>
      </c>
      <c r="GI314" s="60" t="n">
        <f aca="false">2*SQRT(MAX(-GC314,0)/3)</f>
        <v>0.595784626668918</v>
      </c>
      <c r="GJ314" s="60" t="n">
        <f aca="false">ACOS(IF(GI314=0,0,MAX(-1,MIN(1,3*GD314/(GC314*GI314)))))</f>
        <v>0</v>
      </c>
      <c r="GK314" s="60" t="n">
        <f aca="false">GI314*COS(GJ314/3)</f>
        <v>0.595784626668918</v>
      </c>
      <c r="GL314" s="60" t="n">
        <f aca="false">IF(GE314&lt;0,GK314,GH314)-FZ314/3</f>
        <v>0.91158844983184</v>
      </c>
      <c r="GM314" s="60" t="n">
        <f aca="false">IFERROR((((GL314+FZ314)*GL314+GA314)*GL314+GB314)/((3*GL314+2*FZ314)*GL314+GA314),0)</f>
        <v>0</v>
      </c>
      <c r="GN314" s="60" t="n">
        <f aca="false">IF(ABS(GM314)&lt;0.1*ABS(GL314),GL314-GM314,GL314)</f>
        <v>0.91158844983184</v>
      </c>
      <c r="GO314" s="60" t="n">
        <f aca="false">IFERROR((((GN314+FZ314)*GN314+GA314)*GN314+GB314)/((3*GN314+2*FZ314)*GN314+GA314),0)</f>
        <v>0</v>
      </c>
      <c r="GP314" s="60" t="n">
        <f aca="false">IF(ABS(GO314)&lt;0.1*ABS(GN314),GN314-GO314,GN314)</f>
        <v>0.91158844983184</v>
      </c>
      <c r="GQ314" s="60" t="n">
        <f aca="false">-GB314/GP314</f>
        <v>0.0118376711504565</v>
      </c>
      <c r="GR314" s="60" t="n">
        <f aca="false">(GA314-GQ314)/GP314</f>
        <v>-0.00347297415783941</v>
      </c>
      <c r="GS314" s="60" t="n">
        <f aca="false">GR314^2-4*GQ314</f>
        <v>-0.0473386230523248</v>
      </c>
      <c r="GT314" s="60" t="n">
        <f aca="false">IF(GS314&gt;=0,(GR314+IF(GR314&gt;=0,1,-1)*SQRT(GS314))/2,0)</f>
        <v>0</v>
      </c>
      <c r="GU314" s="60" t="n">
        <f aca="false">IF(AND(GS314&gt;=0,GT314&lt;&gt;0),MIN(GT314,GQ314/GT314),-1)</f>
        <v>-1</v>
      </c>
      <c r="GV314" s="60" t="n">
        <f aca="false">AND(GS314&gt;=0,GU314&gt;FY314,ABS(GP314-GU314)&gt;=0.00005*MAX(GP314,GU314))</f>
        <v>0</v>
      </c>
      <c r="GW314" s="60" t="n">
        <f aca="false">IF(GV314,IFERROR((((GU314+FZ314)*GU314+GA314)*GU314+GB314)/((3*GU314+2*FZ314)*GU314+GA314),0),0)</f>
        <v>0</v>
      </c>
      <c r="GX314" s="60" t="n">
        <f aca="false">IF(ABS(GW314)&lt;0.1*ABS(GU314),GU314-GW314,GU314)</f>
        <v>-1</v>
      </c>
      <c r="GY314" s="60" t="n">
        <f aca="false">IF(GV314,IFERROR((((GX314+FZ314)*GX314+GA314)*GX314+GB314)/((3*GX314+2*FZ314)*GX314+GA314),0),0)</f>
        <v>0</v>
      </c>
      <c r="GZ314" s="60" t="n">
        <f aca="false">IF(ABS(GY314)&lt;0.1*ABS(GX314),GX314-GY314,GX314)</f>
        <v>-1</v>
      </c>
      <c r="HA314" s="60" t="n">
        <f aca="false">IF(GV314,MAX(GP314,GZ314),GP314)</f>
        <v>0.91158844983184</v>
      </c>
      <c r="HB314" s="60" t="n">
        <f aca="false">IF(GV314,MIN(GP314,GZ314),-1)</f>
        <v>-1</v>
      </c>
      <c r="HC314" s="60" t="n">
        <f aca="false">CHOOSE($C$7,FX314/HA314,FX314/FY314*LN(1+FY314/HA314),FX314/(2*SQRT(2)*FY314)*LN((HA314+(1+SQRT(2))*FY314)/(HA314+(1-SQRT(2))*FY314)))</f>
        <v>0.218240791233887</v>
      </c>
      <c r="HD314" s="60" t="n">
        <f aca="false">HA314-1-LN(HA314-FY314)-HC314</f>
        <v>-0.107840271021729</v>
      </c>
      <c r="HE314" s="60" t="n">
        <f aca="false">IF(GV314,CHOOSE($C$7,FX314/HB314,FX314/FY314*LN(1+FY314/HB314),FX314/(2*SQRT(2)*FY314)*LN((HB314+(1+SQRT(2))*FY314)/(HB314+(1-SQRT(2))*FY314))),0)</f>
        <v>0</v>
      </c>
      <c r="HF314" s="60" t="n">
        <f aca="false">IF(GV314,HB314-1-LN(HB314-FY314)-HE314,0)</f>
        <v>0</v>
      </c>
      <c r="HG314" s="60" t="n">
        <f aca="false">AND(GV314,HF314&lt;HD314)</f>
        <v>0</v>
      </c>
      <c r="HH314" s="60" t="n">
        <f aca="false">IF(HG314,HB314,HA314)</f>
        <v>0.91158844983184</v>
      </c>
      <c r="HI314" s="60" t="n">
        <f aca="false">IF(HG314,HE314,HC314)</f>
        <v>0.218240791233887</v>
      </c>
      <c r="HJ314" s="60" t="n">
        <f aca="false">LN(HH314-FY314)</f>
        <v>-0.198812070380318</v>
      </c>
      <c r="HK314" s="60" t="n">
        <f aca="false">$E$27/FW314*(HH314-1)-HJ314-HI314*(2*FJ314/FV314-$E$27/FW314)</f>
        <v>-0.107840271021729</v>
      </c>
      <c r="HL314" s="60" t="n">
        <f aca="false">$F$27/FW314*(HH314-1)-HJ314-HI314*(2*FK314/FV314-$F$27/FW314)</f>
        <v>0.198812070380318</v>
      </c>
      <c r="HM314" s="60" t="n">
        <f aca="false">$G$27/FW314*(HH314-1)-HJ314-HI314*(2*FL314/FV314-$G$27/FW314)</f>
        <v>0.198812070380318</v>
      </c>
      <c r="HN314" s="60" t="n">
        <f aca="false">$H$27/FW314*(HH314-1)-HJ314-HI314*(2*FM314/FV314-$H$27/FW314)</f>
        <v>0.198812070380318</v>
      </c>
      <c r="HO314" s="60" t="n">
        <f aca="false">$I$27/FW314*(HH314-1)-HJ314-HI314*(2*FN314/FV314-$I$27/FW314)</f>
        <v>0.198812070380318</v>
      </c>
      <c r="HP314" s="60" t="n">
        <f aca="false">$J$27/FW314*(HH314-1)-HJ314-HI314*(2*FO314/FV314-$J$27/FW314)</f>
        <v>0.198812070380318</v>
      </c>
      <c r="HQ314" s="60" t="n">
        <f aca="false">$K$27/FW314*(HH314-1)-HJ314-HI314*(2*FP314/FV314-$K$27/FW314)</f>
        <v>0.198812070380318</v>
      </c>
      <c r="HR314" s="60" t="n">
        <f aca="false">$L$27/FW314*(HH314-1)-HJ314-HI314*(2*FQ314/FV314-$L$27/FW314)</f>
        <v>0.198812070380318</v>
      </c>
      <c r="HS314" s="60" t="n">
        <f aca="false">$M$27/FW314*(HH314-1)-HJ314-HI314*(2*FR314/FV314-$M$27/FW314)</f>
        <v>0.198812070380318</v>
      </c>
      <c r="HT314" s="60" t="n">
        <f aca="false">$N$27/FW314*(HH314-1)-HJ314-HI314*(2*FS314/FV314-$N$27/FW314)</f>
        <v>0.198812070380318</v>
      </c>
      <c r="HU314" s="60" t="n">
        <f aca="false">$O$27/FW314*(HH314-1)-HJ314-HI314*(2*FT314/FV314-$O$27/FW314)</f>
        <v>0.198812070380318</v>
      </c>
      <c r="HV314" s="60" t="n">
        <f aca="false">$P$27/FW314*(HH314-1)-HJ314-HI314*(2*FU314/FV314-$P$27/FW314)</f>
        <v>0.198812070380318</v>
      </c>
      <c r="HW314" s="60" t="n">
        <f aca="false">FY314/HH314&gt;$C$22</f>
        <v>0</v>
      </c>
      <c r="HX314" s="60" t="n">
        <f aca="false">IF($E$13&gt;0,MAX(-300,MIN(300,EW314-HK314)),0)</f>
        <v>0</v>
      </c>
      <c r="HY314" s="60" t="n">
        <f aca="false">IF($F$13&gt;0,MAX(-300,MIN(300,EX314-HL314)),0)</f>
        <v>0</v>
      </c>
      <c r="HZ314" s="60" t="n">
        <f aca="false">IF($G$13&gt;0,MAX(-300,MIN(300,EY314-HM314)),0)</f>
        <v>0</v>
      </c>
      <c r="IA314" s="60" t="n">
        <f aca="false">IF($H$13&gt;0,MAX(-300,MIN(300,EZ314-HN314)),0)</f>
        <v>0</v>
      </c>
      <c r="IB314" s="60" t="n">
        <f aca="false">IF($I$13&gt;0,MAX(-300,MIN(300,FA314-HO314)),0)</f>
        <v>0</v>
      </c>
      <c r="IC314" s="60" t="n">
        <f aca="false">IF($J$13&gt;0,MAX(-300,MIN(300,FB314-HP314)),0)</f>
        <v>0</v>
      </c>
      <c r="ID314" s="60" t="n">
        <f aca="false">IF($K$13&gt;0,MAX(-300,MIN(300,FC314-HQ314)),0)</f>
        <v>0</v>
      </c>
      <c r="IE314" s="60" t="n">
        <f aca="false">IF($L$13&gt;0,MAX(-300,MIN(300,FD314-HR314)),0)</f>
        <v>0</v>
      </c>
      <c r="IF314" s="60" t="n">
        <f aca="false">IF($M$13&gt;0,MAX(-300,MIN(300,FE314-HS314)),0)</f>
        <v>0</v>
      </c>
      <c r="IG314" s="60" t="n">
        <f aca="false">IF($N$13&gt;0,MAX(-300,MIN(300,FF314-HT314)),0)</f>
        <v>0</v>
      </c>
      <c r="IH314" s="60" t="n">
        <f aca="false">IF($O$13&gt;0,MAX(-300,MIN(300,FG314-HU314)),0)</f>
        <v>0</v>
      </c>
      <c r="II314" s="60" t="n">
        <f aca="false">IF($P$13&gt;0,MAX(-300,MIN(300,FH314-HV314)),0)</f>
        <v>0</v>
      </c>
      <c r="IJ314" s="60" t="n">
        <f aca="false">SUMXMY2(HX314:II314,B314:M314)</f>
        <v>0</v>
      </c>
      <c r="IK314" s="60" t="n">
        <f aca="false">SUMSQ(B314:M314)</f>
        <v>0</v>
      </c>
    </row>
    <row r="315" customFormat="false" ht="15" hidden="false" customHeight="false" outlineLevel="0" collapsed="false">
      <c r="A315" s="59" t="n">
        <v>18</v>
      </c>
      <c r="B315" s="60" t="n">
        <f aca="false">HX314</f>
        <v>0</v>
      </c>
      <c r="C315" s="60" t="n">
        <f aca="false">HY314</f>
        <v>0</v>
      </c>
      <c r="D315" s="60" t="n">
        <f aca="false">HZ314</f>
        <v>0</v>
      </c>
      <c r="E315" s="60" t="n">
        <f aca="false">IA314</f>
        <v>0</v>
      </c>
      <c r="F315" s="60" t="n">
        <f aca="false">IB314</f>
        <v>0</v>
      </c>
      <c r="G315" s="60" t="n">
        <f aca="false">IC314</f>
        <v>0</v>
      </c>
      <c r="H315" s="60" t="n">
        <f aca="false">ID314</f>
        <v>0</v>
      </c>
      <c r="I315" s="60" t="n">
        <f aca="false">IE314</f>
        <v>0</v>
      </c>
      <c r="J315" s="60" t="n">
        <f aca="false">IF314</f>
        <v>0</v>
      </c>
      <c r="K315" s="60" t="n">
        <f aca="false">IG314</f>
        <v>0</v>
      </c>
      <c r="L315" s="60" t="n">
        <f aca="false">IH314</f>
        <v>0</v>
      </c>
      <c r="M315" s="60" t="n">
        <f aca="false">II314</f>
        <v>0</v>
      </c>
      <c r="N315" s="60" t="n">
        <f aca="false">EXP(B315)</f>
        <v>1</v>
      </c>
      <c r="O315" s="60" t="n">
        <f aca="false">EXP(C315)</f>
        <v>1</v>
      </c>
      <c r="P315" s="60" t="n">
        <f aca="false">EXP(D315)</f>
        <v>1</v>
      </c>
      <c r="Q315" s="60" t="n">
        <f aca="false">EXP(E315)</f>
        <v>1</v>
      </c>
      <c r="R315" s="60" t="n">
        <f aca="false">EXP(F315)</f>
        <v>1</v>
      </c>
      <c r="S315" s="60" t="n">
        <f aca="false">EXP(G315)</f>
        <v>1</v>
      </c>
      <c r="T315" s="60" t="n">
        <f aca="false">EXP(H315)</f>
        <v>1</v>
      </c>
      <c r="U315" s="60" t="n">
        <f aca="false">EXP(I315)</f>
        <v>1</v>
      </c>
      <c r="V315" s="60" t="n">
        <f aca="false">EXP(J315)</f>
        <v>1</v>
      </c>
      <c r="W315" s="60" t="n">
        <f aca="false">EXP(K315)</f>
        <v>1</v>
      </c>
      <c r="X315" s="60" t="n">
        <f aca="false">EXP(L315)</f>
        <v>1</v>
      </c>
      <c r="Y315" s="60" t="n">
        <f aca="false">EXP(M315)</f>
        <v>1</v>
      </c>
      <c r="Z315" s="60" t="n">
        <f aca="false">MAX(N315:Y315)</f>
        <v>1</v>
      </c>
      <c r="AA315" s="60" t="n">
        <f aca="false">MIN(N315:Y315)</f>
        <v>1</v>
      </c>
      <c r="AB315" s="60" t="n">
        <f aca="false">AND(Z315&gt;1,AA315&lt;1)</f>
        <v>0</v>
      </c>
      <c r="AC315" s="60" t="n">
        <f aca="false">IF(AB315,1/(1-Z315),0)</f>
        <v>0</v>
      </c>
      <c r="AD315" s="60" t="n">
        <f aca="false">IF(AB315,1/(1-AA315),1)</f>
        <v>1</v>
      </c>
      <c r="AE315" s="60" t="n">
        <f aca="false">IF(AB315,MIN(MAX(BI314,AC315+0.000000001*(AD315-AC315)),AD315-0.000000001*(AD315-AC315)),IF(AA315&gt;=1,1,0))</f>
        <v>1</v>
      </c>
      <c r="AF315" s="60" t="n">
        <f aca="false">SUMPRODUCT($E$13:$P$13*(N315:Y315-1)/(1+AE315*(N315:Y315-1)))</f>
        <v>0</v>
      </c>
      <c r="AG315" s="60" t="n">
        <f aca="false">-SUMPRODUCT($E$13:$P$13*(N315:Y315-1)^2/(1+AE315*(N315:Y315-1))^2)</f>
        <v>-0</v>
      </c>
      <c r="AH315" s="60" t="n">
        <f aca="false">IF(OR(NOT(AB315),AG315=0),AE315,IF(AE315-AF315/AG315&lt;=AC315,(AE315+AC315)/2,IF(AE315-AF315/AG315&gt;=AD315,(AE315+AD315)/2,AE315-AF315/AG315)))</f>
        <v>1</v>
      </c>
      <c r="AI315" s="60" t="n">
        <f aca="false">SUMPRODUCT($E$13:$P$13*(N315:Y315-1)/(1+AH315*(N315:Y315-1)))</f>
        <v>0</v>
      </c>
      <c r="AJ315" s="60" t="n">
        <f aca="false">-SUMPRODUCT($E$13:$P$13*(N315:Y315-1)^2/(1+AH315*(N315:Y315-1))^2)</f>
        <v>-0</v>
      </c>
      <c r="AK315" s="60" t="n">
        <f aca="false">IF(OR(NOT(AB315),AJ315=0),AH315,IF(AH315-AI315/AJ315&lt;=AC315,(AH315+AC315)/2,IF(AH315-AI315/AJ315&gt;=AD315,(AH315+AD315)/2,AH315-AI315/AJ315)))</f>
        <v>1</v>
      </c>
      <c r="AL315" s="60" t="n">
        <f aca="false">SUMPRODUCT($E$13:$P$13*(N315:Y315-1)/(1+AK315*(N315:Y315-1)))</f>
        <v>0</v>
      </c>
      <c r="AM315" s="60" t="n">
        <f aca="false">-SUMPRODUCT($E$13:$P$13*(N315:Y315-1)^2/(1+AK315*(N315:Y315-1))^2)</f>
        <v>-0</v>
      </c>
      <c r="AN315" s="60" t="n">
        <f aca="false">IF(OR(NOT(AB315),AM315=0),AK315,IF(AK315-AL315/AM315&lt;=AC315,(AK315+AC315)/2,IF(AK315-AL315/AM315&gt;=AD315,(AK315+AD315)/2,AK315-AL315/AM315)))</f>
        <v>1</v>
      </c>
      <c r="AO315" s="60" t="n">
        <f aca="false">SUMPRODUCT($E$13:$P$13*(N315:Y315-1)/(1+AN315*(N315:Y315-1)))</f>
        <v>0</v>
      </c>
      <c r="AP315" s="60" t="n">
        <f aca="false">-SUMPRODUCT($E$13:$P$13*(N315:Y315-1)^2/(1+AN315*(N315:Y315-1))^2)</f>
        <v>-0</v>
      </c>
      <c r="AQ315" s="60" t="n">
        <f aca="false">IF(OR(NOT(AB315),AP315=0),AN315,IF(AN315-AO315/AP315&lt;=AC315,(AN315+AC315)/2,IF(AN315-AO315/AP315&gt;=AD315,(AN315+AD315)/2,AN315-AO315/AP315)))</f>
        <v>1</v>
      </c>
      <c r="AR315" s="60" t="n">
        <f aca="false">SUMPRODUCT($E$13:$P$13*(N315:Y315-1)/(1+AQ315*(N315:Y315-1)))</f>
        <v>0</v>
      </c>
      <c r="AS315" s="60" t="n">
        <f aca="false">-SUMPRODUCT($E$13:$P$13*(N315:Y315-1)^2/(1+AQ315*(N315:Y315-1))^2)</f>
        <v>-0</v>
      </c>
      <c r="AT315" s="60" t="n">
        <f aca="false">IF(OR(NOT(AB315),AS315=0),AQ315,IF(AQ315-AR315/AS315&lt;=AC315,(AQ315+AC315)/2,IF(AQ315-AR315/AS315&gt;=AD315,(AQ315+AD315)/2,AQ315-AR315/AS315)))</f>
        <v>1</v>
      </c>
      <c r="AU315" s="60" t="n">
        <f aca="false">SUMPRODUCT($E$13:$P$13*(N315:Y315-1)/(1+AT315*(N315:Y315-1)))</f>
        <v>0</v>
      </c>
      <c r="AV315" s="60" t="n">
        <f aca="false">-SUMPRODUCT($E$13:$P$13*(N315:Y315-1)^2/(1+AT315*(N315:Y315-1))^2)</f>
        <v>-0</v>
      </c>
      <c r="AW315" s="60" t="n">
        <f aca="false">IF(OR(NOT(AB315),AV315=0),AT315,IF(AT315-AU315/AV315&lt;=AC315,(AT315+AC315)/2,IF(AT315-AU315/AV315&gt;=AD315,(AT315+AD315)/2,AT315-AU315/AV315)))</f>
        <v>1</v>
      </c>
      <c r="AX315" s="60" t="n">
        <f aca="false">SUMPRODUCT($E$13:$P$13*(N315:Y315-1)/(1+AW315*(N315:Y315-1)))</f>
        <v>0</v>
      </c>
      <c r="AY315" s="60" t="n">
        <f aca="false">-SUMPRODUCT($E$13:$P$13*(N315:Y315-1)^2/(1+AW315*(N315:Y315-1))^2)</f>
        <v>-0</v>
      </c>
      <c r="AZ315" s="60" t="n">
        <f aca="false">IF(OR(NOT(AB315),AY315=0),AW315,IF(AW315-AX315/AY315&lt;=AC315,(AW315+AC315)/2,IF(AW315-AX315/AY315&gt;=AD315,(AW315+AD315)/2,AW315-AX315/AY315)))</f>
        <v>1</v>
      </c>
      <c r="BA315" s="60" t="n">
        <f aca="false">SUMPRODUCT($E$13:$P$13*(N315:Y315-1)/(1+AZ315*(N315:Y315-1)))</f>
        <v>0</v>
      </c>
      <c r="BB315" s="60" t="n">
        <f aca="false">-SUMPRODUCT($E$13:$P$13*(N315:Y315-1)^2/(1+AZ315*(N315:Y315-1))^2)</f>
        <v>-0</v>
      </c>
      <c r="BC315" s="60" t="n">
        <f aca="false">IF(OR(NOT(AB315),BB315=0),AZ315,IF(AZ315-BA315/BB315&lt;=AC315,(AZ315+AC315)/2,IF(AZ315-BA315/BB315&gt;=AD315,(AZ315+AD315)/2,AZ315-BA315/BB315)))</f>
        <v>1</v>
      </c>
      <c r="BD315" s="60" t="n">
        <f aca="false">SUMPRODUCT($E$13:$P$13*(N315:Y315-1)/(1+BC315*(N315:Y315-1)))</f>
        <v>0</v>
      </c>
      <c r="BE315" s="60" t="n">
        <f aca="false">-SUMPRODUCT($E$13:$P$13*(N315:Y315-1)^2/(1+BC315*(N315:Y315-1))^2)</f>
        <v>-0</v>
      </c>
      <c r="BF315" s="60" t="n">
        <f aca="false">IF(OR(NOT(AB315),BE315=0),BC315,IF(BC315-BD315/BE315&lt;=AC315,(BC315+AC315)/2,IF(BC315-BD315/BE315&gt;=AD315,(BC315+AD315)/2,BC315-BD315/BE315)))</f>
        <v>1</v>
      </c>
      <c r="BG315" s="60" t="n">
        <f aca="false">SUMPRODUCT($E$13:$P$13*(N315:Y315-1)/(1+BF315*(N315:Y315-1)))</f>
        <v>0</v>
      </c>
      <c r="BH315" s="60" t="n">
        <f aca="false">-SUMPRODUCT($E$13:$P$13*(N315:Y315-1)^2/(1+BF315*(N315:Y315-1))^2)</f>
        <v>-0</v>
      </c>
      <c r="BI315" s="60" t="n">
        <f aca="false">IF(OR(NOT(AB315),BH315=0),BF315,IF(BF315-BG315/BH315&lt;=AC315,(BF315+AC315)/2,IF(BF315-BG315/BH315&gt;=AD315,(BF315+AD315)/2,BF315-BG315/BH315)))</f>
        <v>1</v>
      </c>
      <c r="BJ315" s="60" t="n">
        <f aca="false">$E$13/(1+BI315*(N315-1))</f>
        <v>1</v>
      </c>
      <c r="BK315" s="60" t="n">
        <f aca="false">$F$13/(1+BI315*(O315-1))</f>
        <v>0</v>
      </c>
      <c r="BL315" s="60" t="n">
        <f aca="false">$G$13/(1+BI315*(P315-1))</f>
        <v>0</v>
      </c>
      <c r="BM315" s="60" t="n">
        <f aca="false">$H$13/(1+BI315*(Q315-1))</f>
        <v>0</v>
      </c>
      <c r="BN315" s="60" t="n">
        <f aca="false">$I$13/(1+BI315*(R315-1))</f>
        <v>0</v>
      </c>
      <c r="BO315" s="60" t="n">
        <f aca="false">$J$13/(1+BI315*(S315-1))</f>
        <v>0</v>
      </c>
      <c r="BP315" s="60" t="n">
        <f aca="false">$K$13/(1+BI315*(T315-1))</f>
        <v>0</v>
      </c>
      <c r="BQ315" s="60" t="n">
        <f aca="false">$L$13/(1+BI315*(U315-1))</f>
        <v>0</v>
      </c>
      <c r="BR315" s="60" t="n">
        <f aca="false">$M$13/(1+BI315*(V315-1))</f>
        <v>0</v>
      </c>
      <c r="BS315" s="60" t="n">
        <f aca="false">$N$13/(1+BI315*(W315-1))</f>
        <v>0</v>
      </c>
      <c r="BT315" s="60" t="n">
        <f aca="false">$O$13/(1+BI315*(X315-1))</f>
        <v>0</v>
      </c>
      <c r="BU315" s="60" t="n">
        <f aca="false">$P$13/(1+BI315*(Y315-1))</f>
        <v>0</v>
      </c>
      <c r="BV315" s="60" t="n">
        <f aca="false">SUM(BJ315:BU315)</f>
        <v>1</v>
      </c>
      <c r="BW315" s="60" t="n">
        <f aca="false">SUMPRODUCT(N315:Y315,BJ315:BU315)</f>
        <v>1</v>
      </c>
      <c r="BX315" s="60" t="n">
        <f aca="false">BJ315/BV315</f>
        <v>1</v>
      </c>
      <c r="BY315" s="60" t="n">
        <f aca="false">BK315/BV315</f>
        <v>0</v>
      </c>
      <c r="BZ315" s="60" t="n">
        <f aca="false">BL315/BV315</f>
        <v>0</v>
      </c>
      <c r="CA315" s="60" t="n">
        <f aca="false">BM315/BV315</f>
        <v>0</v>
      </c>
      <c r="CB315" s="60" t="n">
        <f aca="false">BN315/BV315</f>
        <v>0</v>
      </c>
      <c r="CC315" s="60" t="n">
        <f aca="false">BO315/BV315</f>
        <v>0</v>
      </c>
      <c r="CD315" s="60" t="n">
        <f aca="false">BP315/BV315</f>
        <v>0</v>
      </c>
      <c r="CE315" s="60" t="n">
        <f aca="false">BQ315/BV315</f>
        <v>0</v>
      </c>
      <c r="CF315" s="60" t="n">
        <f aca="false">BR315/BV315</f>
        <v>0</v>
      </c>
      <c r="CG315" s="60" t="n">
        <f aca="false">BS315/BV315</f>
        <v>0</v>
      </c>
      <c r="CH315" s="60" t="n">
        <f aca="false">BT315/BV315</f>
        <v>0</v>
      </c>
      <c r="CI315" s="60" t="n">
        <f aca="false">BU315/BV315</f>
        <v>0</v>
      </c>
      <c r="CJ315" s="60" t="n">
        <f aca="false">N315*BJ315/BW315</f>
        <v>1</v>
      </c>
      <c r="CK315" s="60" t="n">
        <f aca="false">O315*BK315/BW315</f>
        <v>0</v>
      </c>
      <c r="CL315" s="60" t="n">
        <f aca="false">P315*BL315/BW315</f>
        <v>0</v>
      </c>
      <c r="CM315" s="60" t="n">
        <f aca="false">Q315*BM315/BW315</f>
        <v>0</v>
      </c>
      <c r="CN315" s="60" t="n">
        <f aca="false">R315*BN315/BW315</f>
        <v>0</v>
      </c>
      <c r="CO315" s="60" t="n">
        <f aca="false">S315*BO315/BW315</f>
        <v>0</v>
      </c>
      <c r="CP315" s="60" t="n">
        <f aca="false">T315*BP315/BW315</f>
        <v>0</v>
      </c>
      <c r="CQ315" s="60" t="n">
        <f aca="false">U315*BQ315/BW315</f>
        <v>0</v>
      </c>
      <c r="CR315" s="60" t="n">
        <f aca="false">V315*BR315/BW315</f>
        <v>0</v>
      </c>
      <c r="CS315" s="60" t="n">
        <f aca="false">W315*BS315/BW315</f>
        <v>0</v>
      </c>
      <c r="CT315" s="60" t="n">
        <f aca="false">X315*BT315/BW315</f>
        <v>0</v>
      </c>
      <c r="CU315" s="60" t="n">
        <f aca="false">Y315*BU315/BW315</f>
        <v>0</v>
      </c>
      <c r="CV315" s="60" t="n">
        <f aca="false">$E$28*SUMPRODUCT($E$31:$P$31,BX315:CI315,$E$28:$P$28)</f>
        <v>0.184416866619846</v>
      </c>
      <c r="CW315" s="60" t="n">
        <f aca="false">$F$28*SUMPRODUCT($E$32:$P$32,BX315:CI315,$E$28:$P$28)</f>
        <v>0</v>
      </c>
      <c r="CX315" s="60" t="n">
        <f aca="false">$G$28*SUMPRODUCT($E$33:$P$33,BX315:CI315,$E$28:$P$28)</f>
        <v>0</v>
      </c>
      <c r="CY315" s="60" t="n">
        <f aca="false">$H$28*SUMPRODUCT($E$34:$P$34,BX315:CI315,$E$28:$P$28)</f>
        <v>0</v>
      </c>
      <c r="CZ315" s="60" t="n">
        <f aca="false">$I$28*SUMPRODUCT($E$35:$P$35,BX315:CI315,$E$28:$P$28)</f>
        <v>0</v>
      </c>
      <c r="DA315" s="60" t="n">
        <f aca="false">$J$28*SUMPRODUCT($E$36:$P$36,BX315:CI315,$E$28:$P$28)</f>
        <v>0</v>
      </c>
      <c r="DB315" s="60" t="n">
        <f aca="false">$K$28*SUMPRODUCT($E$37:$P$37,BX315:CI315,$E$28:$P$28)</f>
        <v>0</v>
      </c>
      <c r="DC315" s="60" t="n">
        <f aca="false">$L$28*SUMPRODUCT($E$38:$P$38,BX315:CI315,$E$28:$P$28)</f>
        <v>0</v>
      </c>
      <c r="DD315" s="60" t="n">
        <f aca="false">$M$28*SUMPRODUCT($E$39:$P$39,BX315:CI315,$E$28:$P$28)</f>
        <v>0</v>
      </c>
      <c r="DE315" s="60" t="n">
        <f aca="false">$N$28*SUMPRODUCT($E$40:$P$40,BX315:CI315,$E$28:$P$28)</f>
        <v>0</v>
      </c>
      <c r="DF315" s="60" t="n">
        <f aca="false">$O$28*SUMPRODUCT($E$41:$P$41,BX315:CI315,$E$28:$P$28)</f>
        <v>0</v>
      </c>
      <c r="DG315" s="60" t="n">
        <f aca="false">$P$28*SUMPRODUCT($E$42:$P$42,BX315:CI315,$E$28:$P$28)</f>
        <v>0</v>
      </c>
      <c r="DH315" s="60" t="n">
        <f aca="false">SUMPRODUCT(BX315:CI315,CV315:DG315)</f>
        <v>0.184416866619846</v>
      </c>
      <c r="DI315" s="60" t="n">
        <f aca="false">SUMPRODUCT(BX315:CI315,$E$27:$P$27)</f>
        <v>2.67389635063809E-005</v>
      </c>
      <c r="DJ315" s="60" t="n">
        <f aca="false">DH315*$C$9/($C$10*$C$8)^2</f>
        <v>0.21776909410545</v>
      </c>
      <c r="DK315" s="60" t="n">
        <f aca="false">DI315*$C$9/($C$10*$C$8)</f>
        <v>0.0918845243259994</v>
      </c>
      <c r="DL315" s="60" t="n">
        <f aca="false">CHOOSE($C$7,-(1+DK315),-1,-(1-DK315))</f>
        <v>-0.908115475674001</v>
      </c>
      <c r="DM315" s="60" t="n">
        <f aca="false">CHOOSE($C$7,DJ315,DJ315-DK315-DK315^2,DJ315-3*DK315^2-2*DK315)</f>
        <v>0.00867174802160559</v>
      </c>
      <c r="DN315" s="60" t="n">
        <f aca="false">CHOOSE($C$7,-DJ315*DK315,-DJ315*DK315,-(DJ315*DK315-DK315^2-DK315^3))</f>
        <v>-0.0107910842936637</v>
      </c>
      <c r="DO315" s="60" t="n">
        <f aca="false">DM315-DL315^2/3</f>
        <v>-0.266219491031267</v>
      </c>
      <c r="DP315" s="60" t="n">
        <f aca="false">2*DL315^3/27-DL315*DM315/3+DN315</f>
        <v>-0.0636400988362784</v>
      </c>
      <c r="DQ315" s="60" t="n">
        <f aca="false">DP315^2/4+DO315^3/27</f>
        <v>0.000313710901361829</v>
      </c>
      <c r="DR315" s="60" t="n">
        <f aca="false">-DP315/2-IF(DP315&gt;=0,1,-1)*SQRT(MAX(DQ315,0))</f>
        <v>0.0495319352963236</v>
      </c>
      <c r="DS315" s="60" t="n">
        <f aca="false">SIGN(DR315)*ABS(DR315)^(1/3)</f>
        <v>0.367249967174439</v>
      </c>
      <c r="DT315" s="60" t="n">
        <f aca="false">IF(DS315=0,0,DS315-DO315/(3*DS315))</f>
        <v>0.60888329127384</v>
      </c>
      <c r="DU315" s="60" t="n">
        <f aca="false">2*SQRT(MAX(-DO315,0)/3)</f>
        <v>0.595784626668918</v>
      </c>
      <c r="DV315" s="60" t="n">
        <f aca="false">ACOS(IF(DU315=0,0,MAX(-1,MIN(1,3*DP315/(DO315*DU315)))))</f>
        <v>0</v>
      </c>
      <c r="DW315" s="60" t="n">
        <f aca="false">DU315*COS(DV315/3)</f>
        <v>0.595784626668918</v>
      </c>
      <c r="DX315" s="60" t="n">
        <f aca="false">IF(DQ315&lt;0,DW315,DT315)-DL315/3</f>
        <v>0.91158844983184</v>
      </c>
      <c r="DY315" s="60" t="n">
        <f aca="false">IFERROR((((DX315+DL315)*DX315+DM315)*DX315+DN315)/((3*DX315+2*DL315)*DX315+DM315),0)</f>
        <v>0</v>
      </c>
      <c r="DZ315" s="60" t="n">
        <f aca="false">IF(ABS(DY315)&lt;0.1*ABS(DX315),DX315-DY315,DX315)</f>
        <v>0.91158844983184</v>
      </c>
      <c r="EA315" s="60" t="n">
        <f aca="false">IFERROR((((DZ315+DL315)*DZ315+DM315)*DZ315+DN315)/((3*DZ315+2*DL315)*DZ315+DM315),0)</f>
        <v>0</v>
      </c>
      <c r="EB315" s="60" t="n">
        <f aca="false">IF(ABS(EA315)&lt;0.1*ABS(DZ315),DZ315-EA315,DZ315)</f>
        <v>0.91158844983184</v>
      </c>
      <c r="EC315" s="60" t="n">
        <f aca="false">-DN315/EB315</f>
        <v>0.0118376711504565</v>
      </c>
      <c r="ED315" s="60" t="n">
        <f aca="false">(DM315-EC315)/EB315</f>
        <v>-0.00347297415783941</v>
      </c>
      <c r="EE315" s="60" t="n">
        <f aca="false">ED315^2-4*EC315</f>
        <v>-0.0473386230523248</v>
      </c>
      <c r="EF315" s="60" t="n">
        <f aca="false">IF(EE315&gt;=0,(ED315+IF(ED315&gt;=0,1,-1)*SQRT(EE315))/2,0)</f>
        <v>0</v>
      </c>
      <c r="EG315" s="60" t="n">
        <f aca="false">IF(AND(EE315&gt;=0,EF315&lt;&gt;0),MIN(EF315,EC315/EF315),-1)</f>
        <v>-1</v>
      </c>
      <c r="EH315" s="60" t="n">
        <f aca="false">AND(EE315&gt;=0,EG315&gt;DK315,ABS(EB315-EG315)&gt;=0.00005*MAX(EB315,EG315))</f>
        <v>0</v>
      </c>
      <c r="EI315" s="60" t="n">
        <f aca="false">IF(EH315,IFERROR((((EG315+DL315)*EG315+DM315)*EG315+DN315)/((3*EG315+2*DL315)*EG315+DM315),0),0)</f>
        <v>0</v>
      </c>
      <c r="EJ315" s="60" t="n">
        <f aca="false">IF(ABS(EI315)&lt;0.1*ABS(EG315),EG315-EI315,EG315)</f>
        <v>-1</v>
      </c>
      <c r="EK315" s="60" t="n">
        <f aca="false">IF(EH315,IFERROR((((EJ315+DL315)*EJ315+DM315)*EJ315+DN315)/((3*EJ315+2*DL315)*EJ315+DM315),0),0)</f>
        <v>0</v>
      </c>
      <c r="EL315" s="60" t="n">
        <f aca="false">IF(ABS(EK315)&lt;0.1*ABS(EJ315),EJ315-EK315,EJ315)</f>
        <v>-1</v>
      </c>
      <c r="EM315" s="60" t="n">
        <f aca="false">IF(EH315,MAX(EB315,EL315),EB315)</f>
        <v>0.91158844983184</v>
      </c>
      <c r="EN315" s="60" t="n">
        <f aca="false">IF(EH315,MIN(EB315,EL315),-1)</f>
        <v>-1</v>
      </c>
      <c r="EO315" s="60" t="n">
        <f aca="false">CHOOSE($C$7,DJ315/EM315,DJ315/DK315*LN(1+DK315/EM315),DJ315/(2*SQRT(2)*DK315)*LN((EM315+(1+SQRT(2))*DK315)/(EM315+(1-SQRT(2))*DK315)))</f>
        <v>0.218240791233887</v>
      </c>
      <c r="EP315" s="60" t="n">
        <f aca="false">EM315-1-LN(EM315-DK315)-EO315</f>
        <v>-0.107840271021729</v>
      </c>
      <c r="EQ315" s="60" t="n">
        <f aca="false">IF(EH315,CHOOSE($C$7,DJ315/EN315,DJ315/DK315*LN(1+DK315/EN315),DJ315/(2*SQRT(2)*DK315)*LN((EN315+(1+SQRT(2))*DK315)/(EN315+(1-SQRT(2))*DK315))),0)</f>
        <v>0</v>
      </c>
      <c r="ER315" s="60" t="n">
        <f aca="false">IF(EH315,EN315-1-LN(EN315-DK315)-EQ315,0)</f>
        <v>0</v>
      </c>
      <c r="ES315" s="60" t="n">
        <f aca="false">AND(EH315,ER315&lt;EP315)</f>
        <v>0</v>
      </c>
      <c r="ET315" s="60" t="n">
        <f aca="false">IF(ES315,EN315,EM315)</f>
        <v>0.91158844983184</v>
      </c>
      <c r="EU315" s="60" t="n">
        <f aca="false">IF(ES315,EQ315,EO315)</f>
        <v>0.218240791233887</v>
      </c>
      <c r="EV315" s="60" t="n">
        <f aca="false">LN(ET315-DK315)</f>
        <v>-0.198812070380318</v>
      </c>
      <c r="EW315" s="60" t="n">
        <f aca="false">$E$27/DI315*(ET315-1)-EV315-EU315*(2*CV315/DH315-$E$27/DI315)</f>
        <v>-0.107840271021729</v>
      </c>
      <c r="EX315" s="60" t="n">
        <f aca="false">$F$27/DI315*(ET315-1)-EV315-EU315*(2*CW315/DH315-$F$27/DI315)</f>
        <v>0.198812070380318</v>
      </c>
      <c r="EY315" s="60" t="n">
        <f aca="false">$G$27/DI315*(ET315-1)-EV315-EU315*(2*CX315/DH315-$G$27/DI315)</f>
        <v>0.198812070380318</v>
      </c>
      <c r="EZ315" s="60" t="n">
        <f aca="false">$H$27/DI315*(ET315-1)-EV315-EU315*(2*CY315/DH315-$H$27/DI315)</f>
        <v>0.198812070380318</v>
      </c>
      <c r="FA315" s="60" t="n">
        <f aca="false">$I$27/DI315*(ET315-1)-EV315-EU315*(2*CZ315/DH315-$I$27/DI315)</f>
        <v>0.198812070380318</v>
      </c>
      <c r="FB315" s="60" t="n">
        <f aca="false">$J$27/DI315*(ET315-1)-EV315-EU315*(2*DA315/DH315-$J$27/DI315)</f>
        <v>0.198812070380318</v>
      </c>
      <c r="FC315" s="60" t="n">
        <f aca="false">$K$27/DI315*(ET315-1)-EV315-EU315*(2*DB315/DH315-$K$27/DI315)</f>
        <v>0.198812070380318</v>
      </c>
      <c r="FD315" s="60" t="n">
        <f aca="false">$L$27/DI315*(ET315-1)-EV315-EU315*(2*DC315/DH315-$L$27/DI315)</f>
        <v>0.198812070380318</v>
      </c>
      <c r="FE315" s="60" t="n">
        <f aca="false">$M$27/DI315*(ET315-1)-EV315-EU315*(2*DD315/DH315-$M$27/DI315)</f>
        <v>0.198812070380318</v>
      </c>
      <c r="FF315" s="60" t="n">
        <f aca="false">$N$27/DI315*(ET315-1)-EV315-EU315*(2*DE315/DH315-$N$27/DI315)</f>
        <v>0.198812070380318</v>
      </c>
      <c r="FG315" s="60" t="n">
        <f aca="false">$O$27/DI315*(ET315-1)-EV315-EU315*(2*DF315/DH315-$O$27/DI315)</f>
        <v>0.198812070380318</v>
      </c>
      <c r="FH315" s="60" t="n">
        <f aca="false">$P$27/DI315*(ET315-1)-EV315-EU315*(2*DG315/DH315-$P$27/DI315)</f>
        <v>0.198812070380318</v>
      </c>
      <c r="FI315" s="60" t="n">
        <f aca="false">DK315/ET315&gt;$C$22</f>
        <v>0</v>
      </c>
      <c r="FJ315" s="60" t="n">
        <f aca="false">$E$28*SUMPRODUCT($E$31:$P$31,CJ315:CU315,$E$28:$P$28)</f>
        <v>0.184416866619846</v>
      </c>
      <c r="FK315" s="60" t="n">
        <f aca="false">$F$28*SUMPRODUCT($E$32:$P$32,CJ315:CU315,$E$28:$P$28)</f>
        <v>0</v>
      </c>
      <c r="FL315" s="60" t="n">
        <f aca="false">$G$28*SUMPRODUCT($E$33:$P$33,CJ315:CU315,$E$28:$P$28)</f>
        <v>0</v>
      </c>
      <c r="FM315" s="60" t="n">
        <f aca="false">$H$28*SUMPRODUCT($E$34:$P$34,CJ315:CU315,$E$28:$P$28)</f>
        <v>0</v>
      </c>
      <c r="FN315" s="60" t="n">
        <f aca="false">$I$28*SUMPRODUCT($E$35:$P$35,CJ315:CU315,$E$28:$P$28)</f>
        <v>0</v>
      </c>
      <c r="FO315" s="60" t="n">
        <f aca="false">$J$28*SUMPRODUCT($E$36:$P$36,CJ315:CU315,$E$28:$P$28)</f>
        <v>0</v>
      </c>
      <c r="FP315" s="60" t="n">
        <f aca="false">$K$28*SUMPRODUCT($E$37:$P$37,CJ315:CU315,$E$28:$P$28)</f>
        <v>0</v>
      </c>
      <c r="FQ315" s="60" t="n">
        <f aca="false">$L$28*SUMPRODUCT($E$38:$P$38,CJ315:CU315,$E$28:$P$28)</f>
        <v>0</v>
      </c>
      <c r="FR315" s="60" t="n">
        <f aca="false">$M$28*SUMPRODUCT($E$39:$P$39,CJ315:CU315,$E$28:$P$28)</f>
        <v>0</v>
      </c>
      <c r="FS315" s="60" t="n">
        <f aca="false">$N$28*SUMPRODUCT($E$40:$P$40,CJ315:CU315,$E$28:$P$28)</f>
        <v>0</v>
      </c>
      <c r="FT315" s="60" t="n">
        <f aca="false">$O$28*SUMPRODUCT($E$41:$P$41,CJ315:CU315,$E$28:$P$28)</f>
        <v>0</v>
      </c>
      <c r="FU315" s="60" t="n">
        <f aca="false">$P$28*SUMPRODUCT($E$42:$P$42,CJ315:CU315,$E$28:$P$28)</f>
        <v>0</v>
      </c>
      <c r="FV315" s="60" t="n">
        <f aca="false">SUMPRODUCT(CJ315:CU315,FJ315:FU315)</f>
        <v>0.184416866619846</v>
      </c>
      <c r="FW315" s="60" t="n">
        <f aca="false">SUMPRODUCT(CJ315:CU315,$E$27:$P$27)</f>
        <v>2.67389635063809E-005</v>
      </c>
      <c r="FX315" s="60" t="n">
        <f aca="false">FV315*$C$9/($C$10*$C$8)^2</f>
        <v>0.21776909410545</v>
      </c>
      <c r="FY315" s="60" t="n">
        <f aca="false">FW315*$C$9/($C$10*$C$8)</f>
        <v>0.0918845243259994</v>
      </c>
      <c r="FZ315" s="60" t="n">
        <f aca="false">CHOOSE($C$7,-(1+FY315),-1,-(1-FY315))</f>
        <v>-0.908115475674001</v>
      </c>
      <c r="GA315" s="60" t="n">
        <f aca="false">CHOOSE($C$7,FX315,FX315-FY315-FY315^2,FX315-3*FY315^2-2*FY315)</f>
        <v>0.00867174802160559</v>
      </c>
      <c r="GB315" s="60" t="n">
        <f aca="false">CHOOSE($C$7,-FX315*FY315,-FX315*FY315,-(FX315*FY315-FY315^2-FY315^3))</f>
        <v>-0.0107910842936637</v>
      </c>
      <c r="GC315" s="60" t="n">
        <f aca="false">GA315-FZ315^2/3</f>
        <v>-0.266219491031267</v>
      </c>
      <c r="GD315" s="60" t="n">
        <f aca="false">2*FZ315^3/27-FZ315*GA315/3+GB315</f>
        <v>-0.0636400988362784</v>
      </c>
      <c r="GE315" s="60" t="n">
        <f aca="false">GD315^2/4+GC315^3/27</f>
        <v>0.000313710901361829</v>
      </c>
      <c r="GF315" s="60" t="n">
        <f aca="false">-GD315/2-IF(GD315&gt;=0,1,-1)*SQRT(MAX(GE315,0))</f>
        <v>0.0495319352963236</v>
      </c>
      <c r="GG315" s="60" t="n">
        <f aca="false">SIGN(GF315)*ABS(GF315)^(1/3)</f>
        <v>0.367249967174439</v>
      </c>
      <c r="GH315" s="60" t="n">
        <f aca="false">IF(GG315=0,0,GG315-GC315/(3*GG315))</f>
        <v>0.60888329127384</v>
      </c>
      <c r="GI315" s="60" t="n">
        <f aca="false">2*SQRT(MAX(-GC315,0)/3)</f>
        <v>0.595784626668918</v>
      </c>
      <c r="GJ315" s="60" t="n">
        <f aca="false">ACOS(IF(GI315=0,0,MAX(-1,MIN(1,3*GD315/(GC315*GI315)))))</f>
        <v>0</v>
      </c>
      <c r="GK315" s="60" t="n">
        <f aca="false">GI315*COS(GJ315/3)</f>
        <v>0.595784626668918</v>
      </c>
      <c r="GL315" s="60" t="n">
        <f aca="false">IF(GE315&lt;0,GK315,GH315)-FZ315/3</f>
        <v>0.91158844983184</v>
      </c>
      <c r="GM315" s="60" t="n">
        <f aca="false">IFERROR((((GL315+FZ315)*GL315+GA315)*GL315+GB315)/((3*GL315+2*FZ315)*GL315+GA315),0)</f>
        <v>0</v>
      </c>
      <c r="GN315" s="60" t="n">
        <f aca="false">IF(ABS(GM315)&lt;0.1*ABS(GL315),GL315-GM315,GL315)</f>
        <v>0.91158844983184</v>
      </c>
      <c r="GO315" s="60" t="n">
        <f aca="false">IFERROR((((GN315+FZ315)*GN315+GA315)*GN315+GB315)/((3*GN315+2*FZ315)*GN315+GA315),0)</f>
        <v>0</v>
      </c>
      <c r="GP315" s="60" t="n">
        <f aca="false">IF(ABS(GO315)&lt;0.1*ABS(GN315),GN315-GO315,GN315)</f>
        <v>0.91158844983184</v>
      </c>
      <c r="GQ315" s="60" t="n">
        <f aca="false">-GB315/GP315</f>
        <v>0.0118376711504565</v>
      </c>
      <c r="GR315" s="60" t="n">
        <f aca="false">(GA315-GQ315)/GP315</f>
        <v>-0.00347297415783941</v>
      </c>
      <c r="GS315" s="60" t="n">
        <f aca="false">GR315^2-4*GQ315</f>
        <v>-0.0473386230523248</v>
      </c>
      <c r="GT315" s="60" t="n">
        <f aca="false">IF(GS315&gt;=0,(GR315+IF(GR315&gt;=0,1,-1)*SQRT(GS315))/2,0)</f>
        <v>0</v>
      </c>
      <c r="GU315" s="60" t="n">
        <f aca="false">IF(AND(GS315&gt;=0,GT315&lt;&gt;0),MIN(GT315,GQ315/GT315),-1)</f>
        <v>-1</v>
      </c>
      <c r="GV315" s="60" t="n">
        <f aca="false">AND(GS315&gt;=0,GU315&gt;FY315,ABS(GP315-GU315)&gt;=0.00005*MAX(GP315,GU315))</f>
        <v>0</v>
      </c>
      <c r="GW315" s="60" t="n">
        <f aca="false">IF(GV315,IFERROR((((GU315+FZ315)*GU315+GA315)*GU315+GB315)/((3*GU315+2*FZ315)*GU315+GA315),0),0)</f>
        <v>0</v>
      </c>
      <c r="GX315" s="60" t="n">
        <f aca="false">IF(ABS(GW315)&lt;0.1*ABS(GU315),GU315-GW315,GU315)</f>
        <v>-1</v>
      </c>
      <c r="GY315" s="60" t="n">
        <f aca="false">IF(GV315,IFERROR((((GX315+FZ315)*GX315+GA315)*GX315+GB315)/((3*GX315+2*FZ315)*GX315+GA315),0),0)</f>
        <v>0</v>
      </c>
      <c r="GZ315" s="60" t="n">
        <f aca="false">IF(ABS(GY315)&lt;0.1*ABS(GX315),GX315-GY315,GX315)</f>
        <v>-1</v>
      </c>
      <c r="HA315" s="60" t="n">
        <f aca="false">IF(GV315,MAX(GP315,GZ315),GP315)</f>
        <v>0.91158844983184</v>
      </c>
      <c r="HB315" s="60" t="n">
        <f aca="false">IF(GV315,MIN(GP315,GZ315),-1)</f>
        <v>-1</v>
      </c>
      <c r="HC315" s="60" t="n">
        <f aca="false">CHOOSE($C$7,FX315/HA315,FX315/FY315*LN(1+FY315/HA315),FX315/(2*SQRT(2)*FY315)*LN((HA315+(1+SQRT(2))*FY315)/(HA315+(1-SQRT(2))*FY315)))</f>
        <v>0.218240791233887</v>
      </c>
      <c r="HD315" s="60" t="n">
        <f aca="false">HA315-1-LN(HA315-FY315)-HC315</f>
        <v>-0.107840271021729</v>
      </c>
      <c r="HE315" s="60" t="n">
        <f aca="false">IF(GV315,CHOOSE($C$7,FX315/HB315,FX315/FY315*LN(1+FY315/HB315),FX315/(2*SQRT(2)*FY315)*LN((HB315+(1+SQRT(2))*FY315)/(HB315+(1-SQRT(2))*FY315))),0)</f>
        <v>0</v>
      </c>
      <c r="HF315" s="60" t="n">
        <f aca="false">IF(GV315,HB315-1-LN(HB315-FY315)-HE315,0)</f>
        <v>0</v>
      </c>
      <c r="HG315" s="60" t="n">
        <f aca="false">AND(GV315,HF315&lt;HD315)</f>
        <v>0</v>
      </c>
      <c r="HH315" s="60" t="n">
        <f aca="false">IF(HG315,HB315,HA315)</f>
        <v>0.91158844983184</v>
      </c>
      <c r="HI315" s="60" t="n">
        <f aca="false">IF(HG315,HE315,HC315)</f>
        <v>0.218240791233887</v>
      </c>
      <c r="HJ315" s="60" t="n">
        <f aca="false">LN(HH315-FY315)</f>
        <v>-0.198812070380318</v>
      </c>
      <c r="HK315" s="60" t="n">
        <f aca="false">$E$27/FW315*(HH315-1)-HJ315-HI315*(2*FJ315/FV315-$E$27/FW315)</f>
        <v>-0.107840271021729</v>
      </c>
      <c r="HL315" s="60" t="n">
        <f aca="false">$F$27/FW315*(HH315-1)-HJ315-HI315*(2*FK315/FV315-$F$27/FW315)</f>
        <v>0.198812070380318</v>
      </c>
      <c r="HM315" s="60" t="n">
        <f aca="false">$G$27/FW315*(HH315-1)-HJ315-HI315*(2*FL315/FV315-$G$27/FW315)</f>
        <v>0.198812070380318</v>
      </c>
      <c r="HN315" s="60" t="n">
        <f aca="false">$H$27/FW315*(HH315-1)-HJ315-HI315*(2*FM315/FV315-$H$27/FW315)</f>
        <v>0.198812070380318</v>
      </c>
      <c r="HO315" s="60" t="n">
        <f aca="false">$I$27/FW315*(HH315-1)-HJ315-HI315*(2*FN315/FV315-$I$27/FW315)</f>
        <v>0.198812070380318</v>
      </c>
      <c r="HP315" s="60" t="n">
        <f aca="false">$J$27/FW315*(HH315-1)-HJ315-HI315*(2*FO315/FV315-$J$27/FW315)</f>
        <v>0.198812070380318</v>
      </c>
      <c r="HQ315" s="60" t="n">
        <f aca="false">$K$27/FW315*(HH315-1)-HJ315-HI315*(2*FP315/FV315-$K$27/FW315)</f>
        <v>0.198812070380318</v>
      </c>
      <c r="HR315" s="60" t="n">
        <f aca="false">$L$27/FW315*(HH315-1)-HJ315-HI315*(2*FQ315/FV315-$L$27/FW315)</f>
        <v>0.198812070380318</v>
      </c>
      <c r="HS315" s="60" t="n">
        <f aca="false">$M$27/FW315*(HH315-1)-HJ315-HI315*(2*FR315/FV315-$M$27/FW315)</f>
        <v>0.198812070380318</v>
      </c>
      <c r="HT315" s="60" t="n">
        <f aca="false">$N$27/FW315*(HH315-1)-HJ315-HI315*(2*FS315/FV315-$N$27/FW315)</f>
        <v>0.198812070380318</v>
      </c>
      <c r="HU315" s="60" t="n">
        <f aca="false">$O$27/FW315*(HH315-1)-HJ315-HI315*(2*FT315/FV315-$O$27/FW315)</f>
        <v>0.198812070380318</v>
      </c>
      <c r="HV315" s="60" t="n">
        <f aca="false">$P$27/FW315*(HH315-1)-HJ315-HI315*(2*FU315/FV315-$P$27/FW315)</f>
        <v>0.198812070380318</v>
      </c>
      <c r="HW315" s="60" t="n">
        <f aca="false">FY315/HH315&gt;$C$22</f>
        <v>0</v>
      </c>
      <c r="HX315" s="60" t="n">
        <f aca="false">IF($E$13&gt;0,MAX(-300,MIN(300,EW315-HK315)),0)</f>
        <v>0</v>
      </c>
      <c r="HY315" s="60" t="n">
        <f aca="false">IF($F$13&gt;0,MAX(-300,MIN(300,EX315-HL315)),0)</f>
        <v>0</v>
      </c>
      <c r="HZ315" s="60" t="n">
        <f aca="false">IF($G$13&gt;0,MAX(-300,MIN(300,EY315-HM315)),0)</f>
        <v>0</v>
      </c>
      <c r="IA315" s="60" t="n">
        <f aca="false">IF($H$13&gt;0,MAX(-300,MIN(300,EZ315-HN315)),0)</f>
        <v>0</v>
      </c>
      <c r="IB315" s="60" t="n">
        <f aca="false">IF($I$13&gt;0,MAX(-300,MIN(300,FA315-HO315)),0)</f>
        <v>0</v>
      </c>
      <c r="IC315" s="60" t="n">
        <f aca="false">IF($J$13&gt;0,MAX(-300,MIN(300,FB315-HP315)),0)</f>
        <v>0</v>
      </c>
      <c r="ID315" s="60" t="n">
        <f aca="false">IF($K$13&gt;0,MAX(-300,MIN(300,FC315-HQ315)),0)</f>
        <v>0</v>
      </c>
      <c r="IE315" s="60" t="n">
        <f aca="false">IF($L$13&gt;0,MAX(-300,MIN(300,FD315-HR315)),0)</f>
        <v>0</v>
      </c>
      <c r="IF315" s="60" t="n">
        <f aca="false">IF($M$13&gt;0,MAX(-300,MIN(300,FE315-HS315)),0)</f>
        <v>0</v>
      </c>
      <c r="IG315" s="60" t="n">
        <f aca="false">IF($N$13&gt;0,MAX(-300,MIN(300,FF315-HT315)),0)</f>
        <v>0</v>
      </c>
      <c r="IH315" s="60" t="n">
        <f aca="false">IF($O$13&gt;0,MAX(-300,MIN(300,FG315-HU315)),0)</f>
        <v>0</v>
      </c>
      <c r="II315" s="60" t="n">
        <f aca="false">IF($P$13&gt;0,MAX(-300,MIN(300,FH315-HV315)),0)</f>
        <v>0</v>
      </c>
      <c r="IJ315" s="60" t="n">
        <f aca="false">SUMXMY2(HX315:II315,B315:M315)</f>
        <v>0</v>
      </c>
      <c r="IK315" s="60" t="n">
        <f aca="false">SUMSQ(B315:M315)</f>
        <v>0</v>
      </c>
    </row>
    <row r="316" customFormat="false" ht="15" hidden="false" customHeight="false" outlineLevel="0" collapsed="false">
      <c r="A316" s="59" t="n">
        <v>19</v>
      </c>
      <c r="B316" s="60" t="n">
        <f aca="false">HX315</f>
        <v>0</v>
      </c>
      <c r="C316" s="60" t="n">
        <f aca="false">HY315</f>
        <v>0</v>
      </c>
      <c r="D316" s="60" t="n">
        <f aca="false">HZ315</f>
        <v>0</v>
      </c>
      <c r="E316" s="60" t="n">
        <f aca="false">IA315</f>
        <v>0</v>
      </c>
      <c r="F316" s="60" t="n">
        <f aca="false">IB315</f>
        <v>0</v>
      </c>
      <c r="G316" s="60" t="n">
        <f aca="false">IC315</f>
        <v>0</v>
      </c>
      <c r="H316" s="60" t="n">
        <f aca="false">ID315</f>
        <v>0</v>
      </c>
      <c r="I316" s="60" t="n">
        <f aca="false">IE315</f>
        <v>0</v>
      </c>
      <c r="J316" s="60" t="n">
        <f aca="false">IF315</f>
        <v>0</v>
      </c>
      <c r="K316" s="60" t="n">
        <f aca="false">IG315</f>
        <v>0</v>
      </c>
      <c r="L316" s="60" t="n">
        <f aca="false">IH315</f>
        <v>0</v>
      </c>
      <c r="M316" s="60" t="n">
        <f aca="false">II315</f>
        <v>0</v>
      </c>
      <c r="N316" s="60" t="n">
        <f aca="false">EXP(B316)</f>
        <v>1</v>
      </c>
      <c r="O316" s="60" t="n">
        <f aca="false">EXP(C316)</f>
        <v>1</v>
      </c>
      <c r="P316" s="60" t="n">
        <f aca="false">EXP(D316)</f>
        <v>1</v>
      </c>
      <c r="Q316" s="60" t="n">
        <f aca="false">EXP(E316)</f>
        <v>1</v>
      </c>
      <c r="R316" s="60" t="n">
        <f aca="false">EXP(F316)</f>
        <v>1</v>
      </c>
      <c r="S316" s="60" t="n">
        <f aca="false">EXP(G316)</f>
        <v>1</v>
      </c>
      <c r="T316" s="60" t="n">
        <f aca="false">EXP(H316)</f>
        <v>1</v>
      </c>
      <c r="U316" s="60" t="n">
        <f aca="false">EXP(I316)</f>
        <v>1</v>
      </c>
      <c r="V316" s="60" t="n">
        <f aca="false">EXP(J316)</f>
        <v>1</v>
      </c>
      <c r="W316" s="60" t="n">
        <f aca="false">EXP(K316)</f>
        <v>1</v>
      </c>
      <c r="X316" s="60" t="n">
        <f aca="false">EXP(L316)</f>
        <v>1</v>
      </c>
      <c r="Y316" s="60" t="n">
        <f aca="false">EXP(M316)</f>
        <v>1</v>
      </c>
      <c r="Z316" s="60" t="n">
        <f aca="false">MAX(N316:Y316)</f>
        <v>1</v>
      </c>
      <c r="AA316" s="60" t="n">
        <f aca="false">MIN(N316:Y316)</f>
        <v>1</v>
      </c>
      <c r="AB316" s="60" t="n">
        <f aca="false">AND(Z316&gt;1,AA316&lt;1)</f>
        <v>0</v>
      </c>
      <c r="AC316" s="60" t="n">
        <f aca="false">IF(AB316,1/(1-Z316),0)</f>
        <v>0</v>
      </c>
      <c r="AD316" s="60" t="n">
        <f aca="false">IF(AB316,1/(1-AA316),1)</f>
        <v>1</v>
      </c>
      <c r="AE316" s="60" t="n">
        <f aca="false">IF(AB316,MIN(MAX(BI315,AC316+0.000000001*(AD316-AC316)),AD316-0.000000001*(AD316-AC316)),IF(AA316&gt;=1,1,0))</f>
        <v>1</v>
      </c>
      <c r="AF316" s="60" t="n">
        <f aca="false">SUMPRODUCT($E$13:$P$13*(N316:Y316-1)/(1+AE316*(N316:Y316-1)))</f>
        <v>0</v>
      </c>
      <c r="AG316" s="60" t="n">
        <f aca="false">-SUMPRODUCT($E$13:$P$13*(N316:Y316-1)^2/(1+AE316*(N316:Y316-1))^2)</f>
        <v>-0</v>
      </c>
      <c r="AH316" s="60" t="n">
        <f aca="false">IF(OR(NOT(AB316),AG316=0),AE316,IF(AE316-AF316/AG316&lt;=AC316,(AE316+AC316)/2,IF(AE316-AF316/AG316&gt;=AD316,(AE316+AD316)/2,AE316-AF316/AG316)))</f>
        <v>1</v>
      </c>
      <c r="AI316" s="60" t="n">
        <f aca="false">SUMPRODUCT($E$13:$P$13*(N316:Y316-1)/(1+AH316*(N316:Y316-1)))</f>
        <v>0</v>
      </c>
      <c r="AJ316" s="60" t="n">
        <f aca="false">-SUMPRODUCT($E$13:$P$13*(N316:Y316-1)^2/(1+AH316*(N316:Y316-1))^2)</f>
        <v>-0</v>
      </c>
      <c r="AK316" s="60" t="n">
        <f aca="false">IF(OR(NOT(AB316),AJ316=0),AH316,IF(AH316-AI316/AJ316&lt;=AC316,(AH316+AC316)/2,IF(AH316-AI316/AJ316&gt;=AD316,(AH316+AD316)/2,AH316-AI316/AJ316)))</f>
        <v>1</v>
      </c>
      <c r="AL316" s="60" t="n">
        <f aca="false">SUMPRODUCT($E$13:$P$13*(N316:Y316-1)/(1+AK316*(N316:Y316-1)))</f>
        <v>0</v>
      </c>
      <c r="AM316" s="60" t="n">
        <f aca="false">-SUMPRODUCT($E$13:$P$13*(N316:Y316-1)^2/(1+AK316*(N316:Y316-1))^2)</f>
        <v>-0</v>
      </c>
      <c r="AN316" s="60" t="n">
        <f aca="false">IF(OR(NOT(AB316),AM316=0),AK316,IF(AK316-AL316/AM316&lt;=AC316,(AK316+AC316)/2,IF(AK316-AL316/AM316&gt;=AD316,(AK316+AD316)/2,AK316-AL316/AM316)))</f>
        <v>1</v>
      </c>
      <c r="AO316" s="60" t="n">
        <f aca="false">SUMPRODUCT($E$13:$P$13*(N316:Y316-1)/(1+AN316*(N316:Y316-1)))</f>
        <v>0</v>
      </c>
      <c r="AP316" s="60" t="n">
        <f aca="false">-SUMPRODUCT($E$13:$P$13*(N316:Y316-1)^2/(1+AN316*(N316:Y316-1))^2)</f>
        <v>-0</v>
      </c>
      <c r="AQ316" s="60" t="n">
        <f aca="false">IF(OR(NOT(AB316),AP316=0),AN316,IF(AN316-AO316/AP316&lt;=AC316,(AN316+AC316)/2,IF(AN316-AO316/AP316&gt;=AD316,(AN316+AD316)/2,AN316-AO316/AP316)))</f>
        <v>1</v>
      </c>
      <c r="AR316" s="60" t="n">
        <f aca="false">SUMPRODUCT($E$13:$P$13*(N316:Y316-1)/(1+AQ316*(N316:Y316-1)))</f>
        <v>0</v>
      </c>
      <c r="AS316" s="60" t="n">
        <f aca="false">-SUMPRODUCT($E$13:$P$13*(N316:Y316-1)^2/(1+AQ316*(N316:Y316-1))^2)</f>
        <v>-0</v>
      </c>
      <c r="AT316" s="60" t="n">
        <f aca="false">IF(OR(NOT(AB316),AS316=0),AQ316,IF(AQ316-AR316/AS316&lt;=AC316,(AQ316+AC316)/2,IF(AQ316-AR316/AS316&gt;=AD316,(AQ316+AD316)/2,AQ316-AR316/AS316)))</f>
        <v>1</v>
      </c>
      <c r="AU316" s="60" t="n">
        <f aca="false">SUMPRODUCT($E$13:$P$13*(N316:Y316-1)/(1+AT316*(N316:Y316-1)))</f>
        <v>0</v>
      </c>
      <c r="AV316" s="60" t="n">
        <f aca="false">-SUMPRODUCT($E$13:$P$13*(N316:Y316-1)^2/(1+AT316*(N316:Y316-1))^2)</f>
        <v>-0</v>
      </c>
      <c r="AW316" s="60" t="n">
        <f aca="false">IF(OR(NOT(AB316),AV316=0),AT316,IF(AT316-AU316/AV316&lt;=AC316,(AT316+AC316)/2,IF(AT316-AU316/AV316&gt;=AD316,(AT316+AD316)/2,AT316-AU316/AV316)))</f>
        <v>1</v>
      </c>
      <c r="AX316" s="60" t="n">
        <f aca="false">SUMPRODUCT($E$13:$P$13*(N316:Y316-1)/(1+AW316*(N316:Y316-1)))</f>
        <v>0</v>
      </c>
      <c r="AY316" s="60" t="n">
        <f aca="false">-SUMPRODUCT($E$13:$P$13*(N316:Y316-1)^2/(1+AW316*(N316:Y316-1))^2)</f>
        <v>-0</v>
      </c>
      <c r="AZ316" s="60" t="n">
        <f aca="false">IF(OR(NOT(AB316),AY316=0),AW316,IF(AW316-AX316/AY316&lt;=AC316,(AW316+AC316)/2,IF(AW316-AX316/AY316&gt;=AD316,(AW316+AD316)/2,AW316-AX316/AY316)))</f>
        <v>1</v>
      </c>
      <c r="BA316" s="60" t="n">
        <f aca="false">SUMPRODUCT($E$13:$P$13*(N316:Y316-1)/(1+AZ316*(N316:Y316-1)))</f>
        <v>0</v>
      </c>
      <c r="BB316" s="60" t="n">
        <f aca="false">-SUMPRODUCT($E$13:$P$13*(N316:Y316-1)^2/(1+AZ316*(N316:Y316-1))^2)</f>
        <v>-0</v>
      </c>
      <c r="BC316" s="60" t="n">
        <f aca="false">IF(OR(NOT(AB316),BB316=0),AZ316,IF(AZ316-BA316/BB316&lt;=AC316,(AZ316+AC316)/2,IF(AZ316-BA316/BB316&gt;=AD316,(AZ316+AD316)/2,AZ316-BA316/BB316)))</f>
        <v>1</v>
      </c>
      <c r="BD316" s="60" t="n">
        <f aca="false">SUMPRODUCT($E$13:$P$13*(N316:Y316-1)/(1+BC316*(N316:Y316-1)))</f>
        <v>0</v>
      </c>
      <c r="BE316" s="60" t="n">
        <f aca="false">-SUMPRODUCT($E$13:$P$13*(N316:Y316-1)^2/(1+BC316*(N316:Y316-1))^2)</f>
        <v>-0</v>
      </c>
      <c r="BF316" s="60" t="n">
        <f aca="false">IF(OR(NOT(AB316),BE316=0),BC316,IF(BC316-BD316/BE316&lt;=AC316,(BC316+AC316)/2,IF(BC316-BD316/BE316&gt;=AD316,(BC316+AD316)/2,BC316-BD316/BE316)))</f>
        <v>1</v>
      </c>
      <c r="BG316" s="60" t="n">
        <f aca="false">SUMPRODUCT($E$13:$P$13*(N316:Y316-1)/(1+BF316*(N316:Y316-1)))</f>
        <v>0</v>
      </c>
      <c r="BH316" s="60" t="n">
        <f aca="false">-SUMPRODUCT($E$13:$P$13*(N316:Y316-1)^2/(1+BF316*(N316:Y316-1))^2)</f>
        <v>-0</v>
      </c>
      <c r="BI316" s="60" t="n">
        <f aca="false">IF(OR(NOT(AB316),BH316=0),BF316,IF(BF316-BG316/BH316&lt;=AC316,(BF316+AC316)/2,IF(BF316-BG316/BH316&gt;=AD316,(BF316+AD316)/2,BF316-BG316/BH316)))</f>
        <v>1</v>
      </c>
      <c r="BJ316" s="60" t="n">
        <f aca="false">$E$13/(1+BI316*(N316-1))</f>
        <v>1</v>
      </c>
      <c r="BK316" s="60" t="n">
        <f aca="false">$F$13/(1+BI316*(O316-1))</f>
        <v>0</v>
      </c>
      <c r="BL316" s="60" t="n">
        <f aca="false">$G$13/(1+BI316*(P316-1))</f>
        <v>0</v>
      </c>
      <c r="BM316" s="60" t="n">
        <f aca="false">$H$13/(1+BI316*(Q316-1))</f>
        <v>0</v>
      </c>
      <c r="BN316" s="60" t="n">
        <f aca="false">$I$13/(1+BI316*(R316-1))</f>
        <v>0</v>
      </c>
      <c r="BO316" s="60" t="n">
        <f aca="false">$J$13/(1+BI316*(S316-1))</f>
        <v>0</v>
      </c>
      <c r="BP316" s="60" t="n">
        <f aca="false">$K$13/(1+BI316*(T316-1))</f>
        <v>0</v>
      </c>
      <c r="BQ316" s="60" t="n">
        <f aca="false">$L$13/(1+BI316*(U316-1))</f>
        <v>0</v>
      </c>
      <c r="BR316" s="60" t="n">
        <f aca="false">$M$13/(1+BI316*(V316-1))</f>
        <v>0</v>
      </c>
      <c r="BS316" s="60" t="n">
        <f aca="false">$N$13/(1+BI316*(W316-1))</f>
        <v>0</v>
      </c>
      <c r="BT316" s="60" t="n">
        <f aca="false">$O$13/(1+BI316*(X316-1))</f>
        <v>0</v>
      </c>
      <c r="BU316" s="60" t="n">
        <f aca="false">$P$13/(1+BI316*(Y316-1))</f>
        <v>0</v>
      </c>
      <c r="BV316" s="60" t="n">
        <f aca="false">SUM(BJ316:BU316)</f>
        <v>1</v>
      </c>
      <c r="BW316" s="60" t="n">
        <f aca="false">SUMPRODUCT(N316:Y316,BJ316:BU316)</f>
        <v>1</v>
      </c>
      <c r="BX316" s="60" t="n">
        <f aca="false">BJ316/BV316</f>
        <v>1</v>
      </c>
      <c r="BY316" s="60" t="n">
        <f aca="false">BK316/BV316</f>
        <v>0</v>
      </c>
      <c r="BZ316" s="60" t="n">
        <f aca="false">BL316/BV316</f>
        <v>0</v>
      </c>
      <c r="CA316" s="60" t="n">
        <f aca="false">BM316/BV316</f>
        <v>0</v>
      </c>
      <c r="CB316" s="60" t="n">
        <f aca="false">BN316/BV316</f>
        <v>0</v>
      </c>
      <c r="CC316" s="60" t="n">
        <f aca="false">BO316/BV316</f>
        <v>0</v>
      </c>
      <c r="CD316" s="60" t="n">
        <f aca="false">BP316/BV316</f>
        <v>0</v>
      </c>
      <c r="CE316" s="60" t="n">
        <f aca="false">BQ316/BV316</f>
        <v>0</v>
      </c>
      <c r="CF316" s="60" t="n">
        <f aca="false">BR316/BV316</f>
        <v>0</v>
      </c>
      <c r="CG316" s="60" t="n">
        <f aca="false">BS316/BV316</f>
        <v>0</v>
      </c>
      <c r="CH316" s="60" t="n">
        <f aca="false">BT316/BV316</f>
        <v>0</v>
      </c>
      <c r="CI316" s="60" t="n">
        <f aca="false">BU316/BV316</f>
        <v>0</v>
      </c>
      <c r="CJ316" s="60" t="n">
        <f aca="false">N316*BJ316/BW316</f>
        <v>1</v>
      </c>
      <c r="CK316" s="60" t="n">
        <f aca="false">O316*BK316/BW316</f>
        <v>0</v>
      </c>
      <c r="CL316" s="60" t="n">
        <f aca="false">P316*BL316/BW316</f>
        <v>0</v>
      </c>
      <c r="CM316" s="60" t="n">
        <f aca="false">Q316*BM316/BW316</f>
        <v>0</v>
      </c>
      <c r="CN316" s="60" t="n">
        <f aca="false">R316*BN316/BW316</f>
        <v>0</v>
      </c>
      <c r="CO316" s="60" t="n">
        <f aca="false">S316*BO316/BW316</f>
        <v>0</v>
      </c>
      <c r="CP316" s="60" t="n">
        <f aca="false">T316*BP316/BW316</f>
        <v>0</v>
      </c>
      <c r="CQ316" s="60" t="n">
        <f aca="false">U316*BQ316/BW316</f>
        <v>0</v>
      </c>
      <c r="CR316" s="60" t="n">
        <f aca="false">V316*BR316/BW316</f>
        <v>0</v>
      </c>
      <c r="CS316" s="60" t="n">
        <f aca="false">W316*BS316/BW316</f>
        <v>0</v>
      </c>
      <c r="CT316" s="60" t="n">
        <f aca="false">X316*BT316/BW316</f>
        <v>0</v>
      </c>
      <c r="CU316" s="60" t="n">
        <f aca="false">Y316*BU316/BW316</f>
        <v>0</v>
      </c>
      <c r="CV316" s="60" t="n">
        <f aca="false">$E$28*SUMPRODUCT($E$31:$P$31,BX316:CI316,$E$28:$P$28)</f>
        <v>0.184416866619846</v>
      </c>
      <c r="CW316" s="60" t="n">
        <f aca="false">$F$28*SUMPRODUCT($E$32:$P$32,BX316:CI316,$E$28:$P$28)</f>
        <v>0</v>
      </c>
      <c r="CX316" s="60" t="n">
        <f aca="false">$G$28*SUMPRODUCT($E$33:$P$33,BX316:CI316,$E$28:$P$28)</f>
        <v>0</v>
      </c>
      <c r="CY316" s="60" t="n">
        <f aca="false">$H$28*SUMPRODUCT($E$34:$P$34,BX316:CI316,$E$28:$P$28)</f>
        <v>0</v>
      </c>
      <c r="CZ316" s="60" t="n">
        <f aca="false">$I$28*SUMPRODUCT($E$35:$P$35,BX316:CI316,$E$28:$P$28)</f>
        <v>0</v>
      </c>
      <c r="DA316" s="60" t="n">
        <f aca="false">$J$28*SUMPRODUCT($E$36:$P$36,BX316:CI316,$E$28:$P$28)</f>
        <v>0</v>
      </c>
      <c r="DB316" s="60" t="n">
        <f aca="false">$K$28*SUMPRODUCT($E$37:$P$37,BX316:CI316,$E$28:$P$28)</f>
        <v>0</v>
      </c>
      <c r="DC316" s="60" t="n">
        <f aca="false">$L$28*SUMPRODUCT($E$38:$P$38,BX316:CI316,$E$28:$P$28)</f>
        <v>0</v>
      </c>
      <c r="DD316" s="60" t="n">
        <f aca="false">$M$28*SUMPRODUCT($E$39:$P$39,BX316:CI316,$E$28:$P$28)</f>
        <v>0</v>
      </c>
      <c r="DE316" s="60" t="n">
        <f aca="false">$N$28*SUMPRODUCT($E$40:$P$40,BX316:CI316,$E$28:$P$28)</f>
        <v>0</v>
      </c>
      <c r="DF316" s="60" t="n">
        <f aca="false">$O$28*SUMPRODUCT($E$41:$P$41,BX316:CI316,$E$28:$P$28)</f>
        <v>0</v>
      </c>
      <c r="DG316" s="60" t="n">
        <f aca="false">$P$28*SUMPRODUCT($E$42:$P$42,BX316:CI316,$E$28:$P$28)</f>
        <v>0</v>
      </c>
      <c r="DH316" s="60" t="n">
        <f aca="false">SUMPRODUCT(BX316:CI316,CV316:DG316)</f>
        <v>0.184416866619846</v>
      </c>
      <c r="DI316" s="60" t="n">
        <f aca="false">SUMPRODUCT(BX316:CI316,$E$27:$P$27)</f>
        <v>2.67389635063809E-005</v>
      </c>
      <c r="DJ316" s="60" t="n">
        <f aca="false">DH316*$C$9/($C$10*$C$8)^2</f>
        <v>0.21776909410545</v>
      </c>
      <c r="DK316" s="60" t="n">
        <f aca="false">DI316*$C$9/($C$10*$C$8)</f>
        <v>0.0918845243259994</v>
      </c>
      <c r="DL316" s="60" t="n">
        <f aca="false">CHOOSE($C$7,-(1+DK316),-1,-(1-DK316))</f>
        <v>-0.908115475674001</v>
      </c>
      <c r="DM316" s="60" t="n">
        <f aca="false">CHOOSE($C$7,DJ316,DJ316-DK316-DK316^2,DJ316-3*DK316^2-2*DK316)</f>
        <v>0.00867174802160559</v>
      </c>
      <c r="DN316" s="60" t="n">
        <f aca="false">CHOOSE($C$7,-DJ316*DK316,-DJ316*DK316,-(DJ316*DK316-DK316^2-DK316^3))</f>
        <v>-0.0107910842936637</v>
      </c>
      <c r="DO316" s="60" t="n">
        <f aca="false">DM316-DL316^2/3</f>
        <v>-0.266219491031267</v>
      </c>
      <c r="DP316" s="60" t="n">
        <f aca="false">2*DL316^3/27-DL316*DM316/3+DN316</f>
        <v>-0.0636400988362784</v>
      </c>
      <c r="DQ316" s="60" t="n">
        <f aca="false">DP316^2/4+DO316^3/27</f>
        <v>0.000313710901361829</v>
      </c>
      <c r="DR316" s="60" t="n">
        <f aca="false">-DP316/2-IF(DP316&gt;=0,1,-1)*SQRT(MAX(DQ316,0))</f>
        <v>0.0495319352963236</v>
      </c>
      <c r="DS316" s="60" t="n">
        <f aca="false">SIGN(DR316)*ABS(DR316)^(1/3)</f>
        <v>0.367249967174439</v>
      </c>
      <c r="DT316" s="60" t="n">
        <f aca="false">IF(DS316=0,0,DS316-DO316/(3*DS316))</f>
        <v>0.60888329127384</v>
      </c>
      <c r="DU316" s="60" t="n">
        <f aca="false">2*SQRT(MAX(-DO316,0)/3)</f>
        <v>0.595784626668918</v>
      </c>
      <c r="DV316" s="60" t="n">
        <f aca="false">ACOS(IF(DU316=0,0,MAX(-1,MIN(1,3*DP316/(DO316*DU316)))))</f>
        <v>0</v>
      </c>
      <c r="DW316" s="60" t="n">
        <f aca="false">DU316*COS(DV316/3)</f>
        <v>0.595784626668918</v>
      </c>
      <c r="DX316" s="60" t="n">
        <f aca="false">IF(DQ316&lt;0,DW316,DT316)-DL316/3</f>
        <v>0.91158844983184</v>
      </c>
      <c r="DY316" s="60" t="n">
        <f aca="false">IFERROR((((DX316+DL316)*DX316+DM316)*DX316+DN316)/((3*DX316+2*DL316)*DX316+DM316),0)</f>
        <v>0</v>
      </c>
      <c r="DZ316" s="60" t="n">
        <f aca="false">IF(ABS(DY316)&lt;0.1*ABS(DX316),DX316-DY316,DX316)</f>
        <v>0.91158844983184</v>
      </c>
      <c r="EA316" s="60" t="n">
        <f aca="false">IFERROR((((DZ316+DL316)*DZ316+DM316)*DZ316+DN316)/((3*DZ316+2*DL316)*DZ316+DM316),0)</f>
        <v>0</v>
      </c>
      <c r="EB316" s="60" t="n">
        <f aca="false">IF(ABS(EA316)&lt;0.1*ABS(DZ316),DZ316-EA316,DZ316)</f>
        <v>0.91158844983184</v>
      </c>
      <c r="EC316" s="60" t="n">
        <f aca="false">-DN316/EB316</f>
        <v>0.0118376711504565</v>
      </c>
      <c r="ED316" s="60" t="n">
        <f aca="false">(DM316-EC316)/EB316</f>
        <v>-0.00347297415783941</v>
      </c>
      <c r="EE316" s="60" t="n">
        <f aca="false">ED316^2-4*EC316</f>
        <v>-0.0473386230523248</v>
      </c>
      <c r="EF316" s="60" t="n">
        <f aca="false">IF(EE316&gt;=0,(ED316+IF(ED316&gt;=0,1,-1)*SQRT(EE316))/2,0)</f>
        <v>0</v>
      </c>
      <c r="EG316" s="60" t="n">
        <f aca="false">IF(AND(EE316&gt;=0,EF316&lt;&gt;0),MIN(EF316,EC316/EF316),-1)</f>
        <v>-1</v>
      </c>
      <c r="EH316" s="60" t="n">
        <f aca="false">AND(EE316&gt;=0,EG316&gt;DK316,ABS(EB316-EG316)&gt;=0.00005*MAX(EB316,EG316))</f>
        <v>0</v>
      </c>
      <c r="EI316" s="60" t="n">
        <f aca="false">IF(EH316,IFERROR((((EG316+DL316)*EG316+DM316)*EG316+DN316)/((3*EG316+2*DL316)*EG316+DM316),0),0)</f>
        <v>0</v>
      </c>
      <c r="EJ316" s="60" t="n">
        <f aca="false">IF(ABS(EI316)&lt;0.1*ABS(EG316),EG316-EI316,EG316)</f>
        <v>-1</v>
      </c>
      <c r="EK316" s="60" t="n">
        <f aca="false">IF(EH316,IFERROR((((EJ316+DL316)*EJ316+DM316)*EJ316+DN316)/((3*EJ316+2*DL316)*EJ316+DM316),0),0)</f>
        <v>0</v>
      </c>
      <c r="EL316" s="60" t="n">
        <f aca="false">IF(ABS(EK316)&lt;0.1*ABS(EJ316),EJ316-EK316,EJ316)</f>
        <v>-1</v>
      </c>
      <c r="EM316" s="60" t="n">
        <f aca="false">IF(EH316,MAX(EB316,EL316),EB316)</f>
        <v>0.91158844983184</v>
      </c>
      <c r="EN316" s="60" t="n">
        <f aca="false">IF(EH316,MIN(EB316,EL316),-1)</f>
        <v>-1</v>
      </c>
      <c r="EO316" s="60" t="n">
        <f aca="false">CHOOSE($C$7,DJ316/EM316,DJ316/DK316*LN(1+DK316/EM316),DJ316/(2*SQRT(2)*DK316)*LN((EM316+(1+SQRT(2))*DK316)/(EM316+(1-SQRT(2))*DK316)))</f>
        <v>0.218240791233887</v>
      </c>
      <c r="EP316" s="60" t="n">
        <f aca="false">EM316-1-LN(EM316-DK316)-EO316</f>
        <v>-0.107840271021729</v>
      </c>
      <c r="EQ316" s="60" t="n">
        <f aca="false">IF(EH316,CHOOSE($C$7,DJ316/EN316,DJ316/DK316*LN(1+DK316/EN316),DJ316/(2*SQRT(2)*DK316)*LN((EN316+(1+SQRT(2))*DK316)/(EN316+(1-SQRT(2))*DK316))),0)</f>
        <v>0</v>
      </c>
      <c r="ER316" s="60" t="n">
        <f aca="false">IF(EH316,EN316-1-LN(EN316-DK316)-EQ316,0)</f>
        <v>0</v>
      </c>
      <c r="ES316" s="60" t="n">
        <f aca="false">AND(EH316,ER316&lt;EP316)</f>
        <v>0</v>
      </c>
      <c r="ET316" s="60" t="n">
        <f aca="false">IF(ES316,EN316,EM316)</f>
        <v>0.91158844983184</v>
      </c>
      <c r="EU316" s="60" t="n">
        <f aca="false">IF(ES316,EQ316,EO316)</f>
        <v>0.218240791233887</v>
      </c>
      <c r="EV316" s="60" t="n">
        <f aca="false">LN(ET316-DK316)</f>
        <v>-0.198812070380318</v>
      </c>
      <c r="EW316" s="60" t="n">
        <f aca="false">$E$27/DI316*(ET316-1)-EV316-EU316*(2*CV316/DH316-$E$27/DI316)</f>
        <v>-0.107840271021729</v>
      </c>
      <c r="EX316" s="60" t="n">
        <f aca="false">$F$27/DI316*(ET316-1)-EV316-EU316*(2*CW316/DH316-$F$27/DI316)</f>
        <v>0.198812070380318</v>
      </c>
      <c r="EY316" s="60" t="n">
        <f aca="false">$G$27/DI316*(ET316-1)-EV316-EU316*(2*CX316/DH316-$G$27/DI316)</f>
        <v>0.198812070380318</v>
      </c>
      <c r="EZ316" s="60" t="n">
        <f aca="false">$H$27/DI316*(ET316-1)-EV316-EU316*(2*CY316/DH316-$H$27/DI316)</f>
        <v>0.198812070380318</v>
      </c>
      <c r="FA316" s="60" t="n">
        <f aca="false">$I$27/DI316*(ET316-1)-EV316-EU316*(2*CZ316/DH316-$I$27/DI316)</f>
        <v>0.198812070380318</v>
      </c>
      <c r="FB316" s="60" t="n">
        <f aca="false">$J$27/DI316*(ET316-1)-EV316-EU316*(2*DA316/DH316-$J$27/DI316)</f>
        <v>0.198812070380318</v>
      </c>
      <c r="FC316" s="60" t="n">
        <f aca="false">$K$27/DI316*(ET316-1)-EV316-EU316*(2*DB316/DH316-$K$27/DI316)</f>
        <v>0.198812070380318</v>
      </c>
      <c r="FD316" s="60" t="n">
        <f aca="false">$L$27/DI316*(ET316-1)-EV316-EU316*(2*DC316/DH316-$L$27/DI316)</f>
        <v>0.198812070380318</v>
      </c>
      <c r="FE316" s="60" t="n">
        <f aca="false">$M$27/DI316*(ET316-1)-EV316-EU316*(2*DD316/DH316-$M$27/DI316)</f>
        <v>0.198812070380318</v>
      </c>
      <c r="FF316" s="60" t="n">
        <f aca="false">$N$27/DI316*(ET316-1)-EV316-EU316*(2*DE316/DH316-$N$27/DI316)</f>
        <v>0.198812070380318</v>
      </c>
      <c r="FG316" s="60" t="n">
        <f aca="false">$O$27/DI316*(ET316-1)-EV316-EU316*(2*DF316/DH316-$O$27/DI316)</f>
        <v>0.198812070380318</v>
      </c>
      <c r="FH316" s="60" t="n">
        <f aca="false">$P$27/DI316*(ET316-1)-EV316-EU316*(2*DG316/DH316-$P$27/DI316)</f>
        <v>0.198812070380318</v>
      </c>
      <c r="FI316" s="60" t="n">
        <f aca="false">DK316/ET316&gt;$C$22</f>
        <v>0</v>
      </c>
      <c r="FJ316" s="60" t="n">
        <f aca="false">$E$28*SUMPRODUCT($E$31:$P$31,CJ316:CU316,$E$28:$P$28)</f>
        <v>0.184416866619846</v>
      </c>
      <c r="FK316" s="60" t="n">
        <f aca="false">$F$28*SUMPRODUCT($E$32:$P$32,CJ316:CU316,$E$28:$P$28)</f>
        <v>0</v>
      </c>
      <c r="FL316" s="60" t="n">
        <f aca="false">$G$28*SUMPRODUCT($E$33:$P$33,CJ316:CU316,$E$28:$P$28)</f>
        <v>0</v>
      </c>
      <c r="FM316" s="60" t="n">
        <f aca="false">$H$28*SUMPRODUCT($E$34:$P$34,CJ316:CU316,$E$28:$P$28)</f>
        <v>0</v>
      </c>
      <c r="FN316" s="60" t="n">
        <f aca="false">$I$28*SUMPRODUCT($E$35:$P$35,CJ316:CU316,$E$28:$P$28)</f>
        <v>0</v>
      </c>
      <c r="FO316" s="60" t="n">
        <f aca="false">$J$28*SUMPRODUCT($E$36:$P$36,CJ316:CU316,$E$28:$P$28)</f>
        <v>0</v>
      </c>
      <c r="FP316" s="60" t="n">
        <f aca="false">$K$28*SUMPRODUCT($E$37:$P$37,CJ316:CU316,$E$28:$P$28)</f>
        <v>0</v>
      </c>
      <c r="FQ316" s="60" t="n">
        <f aca="false">$L$28*SUMPRODUCT($E$38:$P$38,CJ316:CU316,$E$28:$P$28)</f>
        <v>0</v>
      </c>
      <c r="FR316" s="60" t="n">
        <f aca="false">$M$28*SUMPRODUCT($E$39:$P$39,CJ316:CU316,$E$28:$P$28)</f>
        <v>0</v>
      </c>
      <c r="FS316" s="60" t="n">
        <f aca="false">$N$28*SUMPRODUCT($E$40:$P$40,CJ316:CU316,$E$28:$P$28)</f>
        <v>0</v>
      </c>
      <c r="FT316" s="60" t="n">
        <f aca="false">$O$28*SUMPRODUCT($E$41:$P$41,CJ316:CU316,$E$28:$P$28)</f>
        <v>0</v>
      </c>
      <c r="FU316" s="60" t="n">
        <f aca="false">$P$28*SUMPRODUCT($E$42:$P$42,CJ316:CU316,$E$28:$P$28)</f>
        <v>0</v>
      </c>
      <c r="FV316" s="60" t="n">
        <f aca="false">SUMPRODUCT(CJ316:CU316,FJ316:FU316)</f>
        <v>0.184416866619846</v>
      </c>
      <c r="FW316" s="60" t="n">
        <f aca="false">SUMPRODUCT(CJ316:CU316,$E$27:$P$27)</f>
        <v>2.67389635063809E-005</v>
      </c>
      <c r="FX316" s="60" t="n">
        <f aca="false">FV316*$C$9/($C$10*$C$8)^2</f>
        <v>0.21776909410545</v>
      </c>
      <c r="FY316" s="60" t="n">
        <f aca="false">FW316*$C$9/($C$10*$C$8)</f>
        <v>0.0918845243259994</v>
      </c>
      <c r="FZ316" s="60" t="n">
        <f aca="false">CHOOSE($C$7,-(1+FY316),-1,-(1-FY316))</f>
        <v>-0.908115475674001</v>
      </c>
      <c r="GA316" s="60" t="n">
        <f aca="false">CHOOSE($C$7,FX316,FX316-FY316-FY316^2,FX316-3*FY316^2-2*FY316)</f>
        <v>0.00867174802160559</v>
      </c>
      <c r="GB316" s="60" t="n">
        <f aca="false">CHOOSE($C$7,-FX316*FY316,-FX316*FY316,-(FX316*FY316-FY316^2-FY316^3))</f>
        <v>-0.0107910842936637</v>
      </c>
      <c r="GC316" s="60" t="n">
        <f aca="false">GA316-FZ316^2/3</f>
        <v>-0.266219491031267</v>
      </c>
      <c r="GD316" s="60" t="n">
        <f aca="false">2*FZ316^3/27-FZ316*GA316/3+GB316</f>
        <v>-0.0636400988362784</v>
      </c>
      <c r="GE316" s="60" t="n">
        <f aca="false">GD316^2/4+GC316^3/27</f>
        <v>0.000313710901361829</v>
      </c>
      <c r="GF316" s="60" t="n">
        <f aca="false">-GD316/2-IF(GD316&gt;=0,1,-1)*SQRT(MAX(GE316,0))</f>
        <v>0.0495319352963236</v>
      </c>
      <c r="GG316" s="60" t="n">
        <f aca="false">SIGN(GF316)*ABS(GF316)^(1/3)</f>
        <v>0.367249967174439</v>
      </c>
      <c r="GH316" s="60" t="n">
        <f aca="false">IF(GG316=0,0,GG316-GC316/(3*GG316))</f>
        <v>0.60888329127384</v>
      </c>
      <c r="GI316" s="60" t="n">
        <f aca="false">2*SQRT(MAX(-GC316,0)/3)</f>
        <v>0.595784626668918</v>
      </c>
      <c r="GJ316" s="60" t="n">
        <f aca="false">ACOS(IF(GI316=0,0,MAX(-1,MIN(1,3*GD316/(GC316*GI316)))))</f>
        <v>0</v>
      </c>
      <c r="GK316" s="60" t="n">
        <f aca="false">GI316*COS(GJ316/3)</f>
        <v>0.595784626668918</v>
      </c>
      <c r="GL316" s="60" t="n">
        <f aca="false">IF(GE316&lt;0,GK316,GH316)-FZ316/3</f>
        <v>0.91158844983184</v>
      </c>
      <c r="GM316" s="60" t="n">
        <f aca="false">IFERROR((((GL316+FZ316)*GL316+GA316)*GL316+GB316)/((3*GL316+2*FZ316)*GL316+GA316),0)</f>
        <v>0</v>
      </c>
      <c r="GN316" s="60" t="n">
        <f aca="false">IF(ABS(GM316)&lt;0.1*ABS(GL316),GL316-GM316,GL316)</f>
        <v>0.91158844983184</v>
      </c>
      <c r="GO316" s="60" t="n">
        <f aca="false">IFERROR((((GN316+FZ316)*GN316+GA316)*GN316+GB316)/((3*GN316+2*FZ316)*GN316+GA316),0)</f>
        <v>0</v>
      </c>
      <c r="GP316" s="60" t="n">
        <f aca="false">IF(ABS(GO316)&lt;0.1*ABS(GN316),GN316-GO316,GN316)</f>
        <v>0.91158844983184</v>
      </c>
      <c r="GQ316" s="60" t="n">
        <f aca="false">-GB316/GP316</f>
        <v>0.0118376711504565</v>
      </c>
      <c r="GR316" s="60" t="n">
        <f aca="false">(GA316-GQ316)/GP316</f>
        <v>-0.00347297415783941</v>
      </c>
      <c r="GS316" s="60" t="n">
        <f aca="false">GR316^2-4*GQ316</f>
        <v>-0.0473386230523248</v>
      </c>
      <c r="GT316" s="60" t="n">
        <f aca="false">IF(GS316&gt;=0,(GR316+IF(GR316&gt;=0,1,-1)*SQRT(GS316))/2,0)</f>
        <v>0</v>
      </c>
      <c r="GU316" s="60" t="n">
        <f aca="false">IF(AND(GS316&gt;=0,GT316&lt;&gt;0),MIN(GT316,GQ316/GT316),-1)</f>
        <v>-1</v>
      </c>
      <c r="GV316" s="60" t="n">
        <f aca="false">AND(GS316&gt;=0,GU316&gt;FY316,ABS(GP316-GU316)&gt;=0.00005*MAX(GP316,GU316))</f>
        <v>0</v>
      </c>
      <c r="GW316" s="60" t="n">
        <f aca="false">IF(GV316,IFERROR((((GU316+FZ316)*GU316+GA316)*GU316+GB316)/((3*GU316+2*FZ316)*GU316+GA316),0),0)</f>
        <v>0</v>
      </c>
      <c r="GX316" s="60" t="n">
        <f aca="false">IF(ABS(GW316)&lt;0.1*ABS(GU316),GU316-GW316,GU316)</f>
        <v>-1</v>
      </c>
      <c r="GY316" s="60" t="n">
        <f aca="false">IF(GV316,IFERROR((((GX316+FZ316)*GX316+GA316)*GX316+GB316)/((3*GX316+2*FZ316)*GX316+GA316),0),0)</f>
        <v>0</v>
      </c>
      <c r="GZ316" s="60" t="n">
        <f aca="false">IF(ABS(GY316)&lt;0.1*ABS(GX316),GX316-GY316,GX316)</f>
        <v>-1</v>
      </c>
      <c r="HA316" s="60" t="n">
        <f aca="false">IF(GV316,MAX(GP316,GZ316),GP316)</f>
        <v>0.91158844983184</v>
      </c>
      <c r="HB316" s="60" t="n">
        <f aca="false">IF(GV316,MIN(GP316,GZ316),-1)</f>
        <v>-1</v>
      </c>
      <c r="HC316" s="60" t="n">
        <f aca="false">CHOOSE($C$7,FX316/HA316,FX316/FY316*LN(1+FY316/HA316),FX316/(2*SQRT(2)*FY316)*LN((HA316+(1+SQRT(2))*FY316)/(HA316+(1-SQRT(2))*FY316)))</f>
        <v>0.218240791233887</v>
      </c>
      <c r="HD316" s="60" t="n">
        <f aca="false">HA316-1-LN(HA316-FY316)-HC316</f>
        <v>-0.107840271021729</v>
      </c>
      <c r="HE316" s="60" t="n">
        <f aca="false">IF(GV316,CHOOSE($C$7,FX316/HB316,FX316/FY316*LN(1+FY316/HB316),FX316/(2*SQRT(2)*FY316)*LN((HB316+(1+SQRT(2))*FY316)/(HB316+(1-SQRT(2))*FY316))),0)</f>
        <v>0</v>
      </c>
      <c r="HF316" s="60" t="n">
        <f aca="false">IF(GV316,HB316-1-LN(HB316-FY316)-HE316,0)</f>
        <v>0</v>
      </c>
      <c r="HG316" s="60" t="n">
        <f aca="false">AND(GV316,HF316&lt;HD316)</f>
        <v>0</v>
      </c>
      <c r="HH316" s="60" t="n">
        <f aca="false">IF(HG316,HB316,HA316)</f>
        <v>0.91158844983184</v>
      </c>
      <c r="HI316" s="60" t="n">
        <f aca="false">IF(HG316,HE316,HC316)</f>
        <v>0.218240791233887</v>
      </c>
      <c r="HJ316" s="60" t="n">
        <f aca="false">LN(HH316-FY316)</f>
        <v>-0.198812070380318</v>
      </c>
      <c r="HK316" s="60" t="n">
        <f aca="false">$E$27/FW316*(HH316-1)-HJ316-HI316*(2*FJ316/FV316-$E$27/FW316)</f>
        <v>-0.107840271021729</v>
      </c>
      <c r="HL316" s="60" t="n">
        <f aca="false">$F$27/FW316*(HH316-1)-HJ316-HI316*(2*FK316/FV316-$F$27/FW316)</f>
        <v>0.198812070380318</v>
      </c>
      <c r="HM316" s="60" t="n">
        <f aca="false">$G$27/FW316*(HH316-1)-HJ316-HI316*(2*FL316/FV316-$G$27/FW316)</f>
        <v>0.198812070380318</v>
      </c>
      <c r="HN316" s="60" t="n">
        <f aca="false">$H$27/FW316*(HH316-1)-HJ316-HI316*(2*FM316/FV316-$H$27/FW316)</f>
        <v>0.198812070380318</v>
      </c>
      <c r="HO316" s="60" t="n">
        <f aca="false">$I$27/FW316*(HH316-1)-HJ316-HI316*(2*FN316/FV316-$I$27/FW316)</f>
        <v>0.198812070380318</v>
      </c>
      <c r="HP316" s="60" t="n">
        <f aca="false">$J$27/FW316*(HH316-1)-HJ316-HI316*(2*FO316/FV316-$J$27/FW316)</f>
        <v>0.198812070380318</v>
      </c>
      <c r="HQ316" s="60" t="n">
        <f aca="false">$K$27/FW316*(HH316-1)-HJ316-HI316*(2*FP316/FV316-$K$27/FW316)</f>
        <v>0.198812070380318</v>
      </c>
      <c r="HR316" s="60" t="n">
        <f aca="false">$L$27/FW316*(HH316-1)-HJ316-HI316*(2*FQ316/FV316-$L$27/FW316)</f>
        <v>0.198812070380318</v>
      </c>
      <c r="HS316" s="60" t="n">
        <f aca="false">$M$27/FW316*(HH316-1)-HJ316-HI316*(2*FR316/FV316-$M$27/FW316)</f>
        <v>0.198812070380318</v>
      </c>
      <c r="HT316" s="60" t="n">
        <f aca="false">$N$27/FW316*(HH316-1)-HJ316-HI316*(2*FS316/FV316-$N$27/FW316)</f>
        <v>0.198812070380318</v>
      </c>
      <c r="HU316" s="60" t="n">
        <f aca="false">$O$27/FW316*(HH316-1)-HJ316-HI316*(2*FT316/FV316-$O$27/FW316)</f>
        <v>0.198812070380318</v>
      </c>
      <c r="HV316" s="60" t="n">
        <f aca="false">$P$27/FW316*(HH316-1)-HJ316-HI316*(2*FU316/FV316-$P$27/FW316)</f>
        <v>0.198812070380318</v>
      </c>
      <c r="HW316" s="60" t="n">
        <f aca="false">FY316/HH316&gt;$C$22</f>
        <v>0</v>
      </c>
      <c r="HX316" s="60" t="n">
        <f aca="false">IF($E$13&gt;0,MAX(-300,MIN(300,EW316-HK316)),0)</f>
        <v>0</v>
      </c>
      <c r="HY316" s="60" t="n">
        <f aca="false">IF($F$13&gt;0,MAX(-300,MIN(300,EX316-HL316)),0)</f>
        <v>0</v>
      </c>
      <c r="HZ316" s="60" t="n">
        <f aca="false">IF($G$13&gt;0,MAX(-300,MIN(300,EY316-HM316)),0)</f>
        <v>0</v>
      </c>
      <c r="IA316" s="60" t="n">
        <f aca="false">IF($H$13&gt;0,MAX(-300,MIN(300,EZ316-HN316)),0)</f>
        <v>0</v>
      </c>
      <c r="IB316" s="60" t="n">
        <f aca="false">IF($I$13&gt;0,MAX(-300,MIN(300,FA316-HO316)),0)</f>
        <v>0</v>
      </c>
      <c r="IC316" s="60" t="n">
        <f aca="false">IF($J$13&gt;0,MAX(-300,MIN(300,FB316-HP316)),0)</f>
        <v>0</v>
      </c>
      <c r="ID316" s="60" t="n">
        <f aca="false">IF($K$13&gt;0,MAX(-300,MIN(300,FC316-HQ316)),0)</f>
        <v>0</v>
      </c>
      <c r="IE316" s="60" t="n">
        <f aca="false">IF($L$13&gt;0,MAX(-300,MIN(300,FD316-HR316)),0)</f>
        <v>0</v>
      </c>
      <c r="IF316" s="60" t="n">
        <f aca="false">IF($M$13&gt;0,MAX(-300,MIN(300,FE316-HS316)),0)</f>
        <v>0</v>
      </c>
      <c r="IG316" s="60" t="n">
        <f aca="false">IF($N$13&gt;0,MAX(-300,MIN(300,FF316-HT316)),0)</f>
        <v>0</v>
      </c>
      <c r="IH316" s="60" t="n">
        <f aca="false">IF($O$13&gt;0,MAX(-300,MIN(300,FG316-HU316)),0)</f>
        <v>0</v>
      </c>
      <c r="II316" s="60" t="n">
        <f aca="false">IF($P$13&gt;0,MAX(-300,MIN(300,FH316-HV316)),0)</f>
        <v>0</v>
      </c>
      <c r="IJ316" s="60" t="n">
        <f aca="false">SUMXMY2(HX316:II316,B316:M316)</f>
        <v>0</v>
      </c>
      <c r="IK316" s="60" t="n">
        <f aca="false">SUMSQ(B316:M316)</f>
        <v>0</v>
      </c>
    </row>
    <row r="317" customFormat="false" ht="15" hidden="false" customHeight="false" outlineLevel="0" collapsed="false">
      <c r="A317" s="59" t="n">
        <v>20</v>
      </c>
      <c r="B317" s="60" t="n">
        <f aca="false">HX316</f>
        <v>0</v>
      </c>
      <c r="C317" s="60" t="n">
        <f aca="false">HY316</f>
        <v>0</v>
      </c>
      <c r="D317" s="60" t="n">
        <f aca="false">HZ316</f>
        <v>0</v>
      </c>
      <c r="E317" s="60" t="n">
        <f aca="false">IA316</f>
        <v>0</v>
      </c>
      <c r="F317" s="60" t="n">
        <f aca="false">IB316</f>
        <v>0</v>
      </c>
      <c r="G317" s="60" t="n">
        <f aca="false">IC316</f>
        <v>0</v>
      </c>
      <c r="H317" s="60" t="n">
        <f aca="false">ID316</f>
        <v>0</v>
      </c>
      <c r="I317" s="60" t="n">
        <f aca="false">IE316</f>
        <v>0</v>
      </c>
      <c r="J317" s="60" t="n">
        <f aca="false">IF316</f>
        <v>0</v>
      </c>
      <c r="K317" s="60" t="n">
        <f aca="false">IG316</f>
        <v>0</v>
      </c>
      <c r="L317" s="60" t="n">
        <f aca="false">IH316</f>
        <v>0</v>
      </c>
      <c r="M317" s="60" t="n">
        <f aca="false">II316</f>
        <v>0</v>
      </c>
      <c r="N317" s="60" t="n">
        <f aca="false">EXP(B317)</f>
        <v>1</v>
      </c>
      <c r="O317" s="60" t="n">
        <f aca="false">EXP(C317)</f>
        <v>1</v>
      </c>
      <c r="P317" s="60" t="n">
        <f aca="false">EXP(D317)</f>
        <v>1</v>
      </c>
      <c r="Q317" s="60" t="n">
        <f aca="false">EXP(E317)</f>
        <v>1</v>
      </c>
      <c r="R317" s="60" t="n">
        <f aca="false">EXP(F317)</f>
        <v>1</v>
      </c>
      <c r="S317" s="60" t="n">
        <f aca="false">EXP(G317)</f>
        <v>1</v>
      </c>
      <c r="T317" s="60" t="n">
        <f aca="false">EXP(H317)</f>
        <v>1</v>
      </c>
      <c r="U317" s="60" t="n">
        <f aca="false">EXP(I317)</f>
        <v>1</v>
      </c>
      <c r="V317" s="60" t="n">
        <f aca="false">EXP(J317)</f>
        <v>1</v>
      </c>
      <c r="W317" s="60" t="n">
        <f aca="false">EXP(K317)</f>
        <v>1</v>
      </c>
      <c r="X317" s="60" t="n">
        <f aca="false">EXP(L317)</f>
        <v>1</v>
      </c>
      <c r="Y317" s="60" t="n">
        <f aca="false">EXP(M317)</f>
        <v>1</v>
      </c>
      <c r="Z317" s="60" t="n">
        <f aca="false">MAX(N317:Y317)</f>
        <v>1</v>
      </c>
      <c r="AA317" s="60" t="n">
        <f aca="false">MIN(N317:Y317)</f>
        <v>1</v>
      </c>
      <c r="AB317" s="60" t="n">
        <f aca="false">AND(Z317&gt;1,AA317&lt;1)</f>
        <v>0</v>
      </c>
      <c r="AC317" s="60" t="n">
        <f aca="false">IF(AB317,1/(1-Z317),0)</f>
        <v>0</v>
      </c>
      <c r="AD317" s="60" t="n">
        <f aca="false">IF(AB317,1/(1-AA317),1)</f>
        <v>1</v>
      </c>
      <c r="AE317" s="60" t="n">
        <f aca="false">IF(AB317,MIN(MAX(BI316,AC317+0.000000001*(AD317-AC317)),AD317-0.000000001*(AD317-AC317)),IF(AA317&gt;=1,1,0))</f>
        <v>1</v>
      </c>
      <c r="AF317" s="60" t="n">
        <f aca="false">SUMPRODUCT($E$13:$P$13*(N317:Y317-1)/(1+AE317*(N317:Y317-1)))</f>
        <v>0</v>
      </c>
      <c r="AG317" s="60" t="n">
        <f aca="false">-SUMPRODUCT($E$13:$P$13*(N317:Y317-1)^2/(1+AE317*(N317:Y317-1))^2)</f>
        <v>-0</v>
      </c>
      <c r="AH317" s="60" t="n">
        <f aca="false">IF(OR(NOT(AB317),AG317=0),AE317,IF(AE317-AF317/AG317&lt;=AC317,(AE317+AC317)/2,IF(AE317-AF317/AG317&gt;=AD317,(AE317+AD317)/2,AE317-AF317/AG317)))</f>
        <v>1</v>
      </c>
      <c r="AI317" s="60" t="n">
        <f aca="false">SUMPRODUCT($E$13:$P$13*(N317:Y317-1)/(1+AH317*(N317:Y317-1)))</f>
        <v>0</v>
      </c>
      <c r="AJ317" s="60" t="n">
        <f aca="false">-SUMPRODUCT($E$13:$P$13*(N317:Y317-1)^2/(1+AH317*(N317:Y317-1))^2)</f>
        <v>-0</v>
      </c>
      <c r="AK317" s="60" t="n">
        <f aca="false">IF(OR(NOT(AB317),AJ317=0),AH317,IF(AH317-AI317/AJ317&lt;=AC317,(AH317+AC317)/2,IF(AH317-AI317/AJ317&gt;=AD317,(AH317+AD317)/2,AH317-AI317/AJ317)))</f>
        <v>1</v>
      </c>
      <c r="AL317" s="60" t="n">
        <f aca="false">SUMPRODUCT($E$13:$P$13*(N317:Y317-1)/(1+AK317*(N317:Y317-1)))</f>
        <v>0</v>
      </c>
      <c r="AM317" s="60" t="n">
        <f aca="false">-SUMPRODUCT($E$13:$P$13*(N317:Y317-1)^2/(1+AK317*(N317:Y317-1))^2)</f>
        <v>-0</v>
      </c>
      <c r="AN317" s="60" t="n">
        <f aca="false">IF(OR(NOT(AB317),AM317=0),AK317,IF(AK317-AL317/AM317&lt;=AC317,(AK317+AC317)/2,IF(AK317-AL317/AM317&gt;=AD317,(AK317+AD317)/2,AK317-AL317/AM317)))</f>
        <v>1</v>
      </c>
      <c r="AO317" s="60" t="n">
        <f aca="false">SUMPRODUCT($E$13:$P$13*(N317:Y317-1)/(1+AN317*(N317:Y317-1)))</f>
        <v>0</v>
      </c>
      <c r="AP317" s="60" t="n">
        <f aca="false">-SUMPRODUCT($E$13:$P$13*(N317:Y317-1)^2/(1+AN317*(N317:Y317-1))^2)</f>
        <v>-0</v>
      </c>
      <c r="AQ317" s="60" t="n">
        <f aca="false">IF(OR(NOT(AB317),AP317=0),AN317,IF(AN317-AO317/AP317&lt;=AC317,(AN317+AC317)/2,IF(AN317-AO317/AP317&gt;=AD317,(AN317+AD317)/2,AN317-AO317/AP317)))</f>
        <v>1</v>
      </c>
      <c r="AR317" s="60" t="n">
        <f aca="false">SUMPRODUCT($E$13:$P$13*(N317:Y317-1)/(1+AQ317*(N317:Y317-1)))</f>
        <v>0</v>
      </c>
      <c r="AS317" s="60" t="n">
        <f aca="false">-SUMPRODUCT($E$13:$P$13*(N317:Y317-1)^2/(1+AQ317*(N317:Y317-1))^2)</f>
        <v>-0</v>
      </c>
      <c r="AT317" s="60" t="n">
        <f aca="false">IF(OR(NOT(AB317),AS317=0),AQ317,IF(AQ317-AR317/AS317&lt;=AC317,(AQ317+AC317)/2,IF(AQ317-AR317/AS317&gt;=AD317,(AQ317+AD317)/2,AQ317-AR317/AS317)))</f>
        <v>1</v>
      </c>
      <c r="AU317" s="60" t="n">
        <f aca="false">SUMPRODUCT($E$13:$P$13*(N317:Y317-1)/(1+AT317*(N317:Y317-1)))</f>
        <v>0</v>
      </c>
      <c r="AV317" s="60" t="n">
        <f aca="false">-SUMPRODUCT($E$13:$P$13*(N317:Y317-1)^2/(1+AT317*(N317:Y317-1))^2)</f>
        <v>-0</v>
      </c>
      <c r="AW317" s="60" t="n">
        <f aca="false">IF(OR(NOT(AB317),AV317=0),AT317,IF(AT317-AU317/AV317&lt;=AC317,(AT317+AC317)/2,IF(AT317-AU317/AV317&gt;=AD317,(AT317+AD317)/2,AT317-AU317/AV317)))</f>
        <v>1</v>
      </c>
      <c r="AX317" s="60" t="n">
        <f aca="false">SUMPRODUCT($E$13:$P$13*(N317:Y317-1)/(1+AW317*(N317:Y317-1)))</f>
        <v>0</v>
      </c>
      <c r="AY317" s="60" t="n">
        <f aca="false">-SUMPRODUCT($E$13:$P$13*(N317:Y317-1)^2/(1+AW317*(N317:Y317-1))^2)</f>
        <v>-0</v>
      </c>
      <c r="AZ317" s="60" t="n">
        <f aca="false">IF(OR(NOT(AB317),AY317=0),AW317,IF(AW317-AX317/AY317&lt;=AC317,(AW317+AC317)/2,IF(AW317-AX317/AY317&gt;=AD317,(AW317+AD317)/2,AW317-AX317/AY317)))</f>
        <v>1</v>
      </c>
      <c r="BA317" s="60" t="n">
        <f aca="false">SUMPRODUCT($E$13:$P$13*(N317:Y317-1)/(1+AZ317*(N317:Y317-1)))</f>
        <v>0</v>
      </c>
      <c r="BB317" s="60" t="n">
        <f aca="false">-SUMPRODUCT($E$13:$P$13*(N317:Y317-1)^2/(1+AZ317*(N317:Y317-1))^2)</f>
        <v>-0</v>
      </c>
      <c r="BC317" s="60" t="n">
        <f aca="false">IF(OR(NOT(AB317),BB317=0),AZ317,IF(AZ317-BA317/BB317&lt;=AC317,(AZ317+AC317)/2,IF(AZ317-BA317/BB317&gt;=AD317,(AZ317+AD317)/2,AZ317-BA317/BB317)))</f>
        <v>1</v>
      </c>
      <c r="BD317" s="60" t="n">
        <f aca="false">SUMPRODUCT($E$13:$P$13*(N317:Y317-1)/(1+BC317*(N317:Y317-1)))</f>
        <v>0</v>
      </c>
      <c r="BE317" s="60" t="n">
        <f aca="false">-SUMPRODUCT($E$13:$P$13*(N317:Y317-1)^2/(1+BC317*(N317:Y317-1))^2)</f>
        <v>-0</v>
      </c>
      <c r="BF317" s="60" t="n">
        <f aca="false">IF(OR(NOT(AB317),BE317=0),BC317,IF(BC317-BD317/BE317&lt;=AC317,(BC317+AC317)/2,IF(BC317-BD317/BE317&gt;=AD317,(BC317+AD317)/2,BC317-BD317/BE317)))</f>
        <v>1</v>
      </c>
      <c r="BG317" s="60" t="n">
        <f aca="false">SUMPRODUCT($E$13:$P$13*(N317:Y317-1)/(1+BF317*(N317:Y317-1)))</f>
        <v>0</v>
      </c>
      <c r="BH317" s="60" t="n">
        <f aca="false">-SUMPRODUCT($E$13:$P$13*(N317:Y317-1)^2/(1+BF317*(N317:Y317-1))^2)</f>
        <v>-0</v>
      </c>
      <c r="BI317" s="60" t="n">
        <f aca="false">IF(OR(NOT(AB317),BH317=0),BF317,IF(BF317-BG317/BH317&lt;=AC317,(BF317+AC317)/2,IF(BF317-BG317/BH317&gt;=AD317,(BF317+AD317)/2,BF317-BG317/BH317)))</f>
        <v>1</v>
      </c>
      <c r="BJ317" s="60" t="n">
        <f aca="false">$E$13/(1+BI317*(N317-1))</f>
        <v>1</v>
      </c>
      <c r="BK317" s="60" t="n">
        <f aca="false">$F$13/(1+BI317*(O317-1))</f>
        <v>0</v>
      </c>
      <c r="BL317" s="60" t="n">
        <f aca="false">$G$13/(1+BI317*(P317-1))</f>
        <v>0</v>
      </c>
      <c r="BM317" s="60" t="n">
        <f aca="false">$H$13/(1+BI317*(Q317-1))</f>
        <v>0</v>
      </c>
      <c r="BN317" s="60" t="n">
        <f aca="false">$I$13/(1+BI317*(R317-1))</f>
        <v>0</v>
      </c>
      <c r="BO317" s="60" t="n">
        <f aca="false">$J$13/(1+BI317*(S317-1))</f>
        <v>0</v>
      </c>
      <c r="BP317" s="60" t="n">
        <f aca="false">$K$13/(1+BI317*(T317-1))</f>
        <v>0</v>
      </c>
      <c r="BQ317" s="60" t="n">
        <f aca="false">$L$13/(1+BI317*(U317-1))</f>
        <v>0</v>
      </c>
      <c r="BR317" s="60" t="n">
        <f aca="false">$M$13/(1+BI317*(V317-1))</f>
        <v>0</v>
      </c>
      <c r="BS317" s="60" t="n">
        <f aca="false">$N$13/(1+BI317*(W317-1))</f>
        <v>0</v>
      </c>
      <c r="BT317" s="60" t="n">
        <f aca="false">$O$13/(1+BI317*(X317-1))</f>
        <v>0</v>
      </c>
      <c r="BU317" s="60" t="n">
        <f aca="false">$P$13/(1+BI317*(Y317-1))</f>
        <v>0</v>
      </c>
      <c r="BV317" s="60" t="n">
        <f aca="false">SUM(BJ317:BU317)</f>
        <v>1</v>
      </c>
      <c r="BW317" s="60" t="n">
        <f aca="false">SUMPRODUCT(N317:Y317,BJ317:BU317)</f>
        <v>1</v>
      </c>
      <c r="BX317" s="60" t="n">
        <f aca="false">BJ317/BV317</f>
        <v>1</v>
      </c>
      <c r="BY317" s="60" t="n">
        <f aca="false">BK317/BV317</f>
        <v>0</v>
      </c>
      <c r="BZ317" s="60" t="n">
        <f aca="false">BL317/BV317</f>
        <v>0</v>
      </c>
      <c r="CA317" s="60" t="n">
        <f aca="false">BM317/BV317</f>
        <v>0</v>
      </c>
      <c r="CB317" s="60" t="n">
        <f aca="false">BN317/BV317</f>
        <v>0</v>
      </c>
      <c r="CC317" s="60" t="n">
        <f aca="false">BO317/BV317</f>
        <v>0</v>
      </c>
      <c r="CD317" s="60" t="n">
        <f aca="false">BP317/BV317</f>
        <v>0</v>
      </c>
      <c r="CE317" s="60" t="n">
        <f aca="false">BQ317/BV317</f>
        <v>0</v>
      </c>
      <c r="CF317" s="60" t="n">
        <f aca="false">BR317/BV317</f>
        <v>0</v>
      </c>
      <c r="CG317" s="60" t="n">
        <f aca="false">BS317/BV317</f>
        <v>0</v>
      </c>
      <c r="CH317" s="60" t="n">
        <f aca="false">BT317/BV317</f>
        <v>0</v>
      </c>
      <c r="CI317" s="60" t="n">
        <f aca="false">BU317/BV317</f>
        <v>0</v>
      </c>
      <c r="CJ317" s="60" t="n">
        <f aca="false">N317*BJ317/BW317</f>
        <v>1</v>
      </c>
      <c r="CK317" s="60" t="n">
        <f aca="false">O317*BK317/BW317</f>
        <v>0</v>
      </c>
      <c r="CL317" s="60" t="n">
        <f aca="false">P317*BL317/BW317</f>
        <v>0</v>
      </c>
      <c r="CM317" s="60" t="n">
        <f aca="false">Q317*BM317/BW317</f>
        <v>0</v>
      </c>
      <c r="CN317" s="60" t="n">
        <f aca="false">R317*BN317/BW317</f>
        <v>0</v>
      </c>
      <c r="CO317" s="60" t="n">
        <f aca="false">S317*BO317/BW317</f>
        <v>0</v>
      </c>
      <c r="CP317" s="60" t="n">
        <f aca="false">T317*BP317/BW317</f>
        <v>0</v>
      </c>
      <c r="CQ317" s="60" t="n">
        <f aca="false">U317*BQ317/BW317</f>
        <v>0</v>
      </c>
      <c r="CR317" s="60" t="n">
        <f aca="false">V317*BR317/BW317</f>
        <v>0</v>
      </c>
      <c r="CS317" s="60" t="n">
        <f aca="false">W317*BS317/BW317</f>
        <v>0</v>
      </c>
      <c r="CT317" s="60" t="n">
        <f aca="false">X317*BT317/BW317</f>
        <v>0</v>
      </c>
      <c r="CU317" s="60" t="n">
        <f aca="false">Y317*BU317/BW317</f>
        <v>0</v>
      </c>
      <c r="CV317" s="60" t="n">
        <f aca="false">$E$28*SUMPRODUCT($E$31:$P$31,BX317:CI317,$E$28:$P$28)</f>
        <v>0.184416866619846</v>
      </c>
      <c r="CW317" s="60" t="n">
        <f aca="false">$F$28*SUMPRODUCT($E$32:$P$32,BX317:CI317,$E$28:$P$28)</f>
        <v>0</v>
      </c>
      <c r="CX317" s="60" t="n">
        <f aca="false">$G$28*SUMPRODUCT($E$33:$P$33,BX317:CI317,$E$28:$P$28)</f>
        <v>0</v>
      </c>
      <c r="CY317" s="60" t="n">
        <f aca="false">$H$28*SUMPRODUCT($E$34:$P$34,BX317:CI317,$E$28:$P$28)</f>
        <v>0</v>
      </c>
      <c r="CZ317" s="60" t="n">
        <f aca="false">$I$28*SUMPRODUCT($E$35:$P$35,BX317:CI317,$E$28:$P$28)</f>
        <v>0</v>
      </c>
      <c r="DA317" s="60" t="n">
        <f aca="false">$J$28*SUMPRODUCT($E$36:$P$36,BX317:CI317,$E$28:$P$28)</f>
        <v>0</v>
      </c>
      <c r="DB317" s="60" t="n">
        <f aca="false">$K$28*SUMPRODUCT($E$37:$P$37,BX317:CI317,$E$28:$P$28)</f>
        <v>0</v>
      </c>
      <c r="DC317" s="60" t="n">
        <f aca="false">$L$28*SUMPRODUCT($E$38:$P$38,BX317:CI317,$E$28:$P$28)</f>
        <v>0</v>
      </c>
      <c r="DD317" s="60" t="n">
        <f aca="false">$M$28*SUMPRODUCT($E$39:$P$39,BX317:CI317,$E$28:$P$28)</f>
        <v>0</v>
      </c>
      <c r="DE317" s="60" t="n">
        <f aca="false">$N$28*SUMPRODUCT($E$40:$P$40,BX317:CI317,$E$28:$P$28)</f>
        <v>0</v>
      </c>
      <c r="DF317" s="60" t="n">
        <f aca="false">$O$28*SUMPRODUCT($E$41:$P$41,BX317:CI317,$E$28:$P$28)</f>
        <v>0</v>
      </c>
      <c r="DG317" s="60" t="n">
        <f aca="false">$P$28*SUMPRODUCT($E$42:$P$42,BX317:CI317,$E$28:$P$28)</f>
        <v>0</v>
      </c>
      <c r="DH317" s="60" t="n">
        <f aca="false">SUMPRODUCT(BX317:CI317,CV317:DG317)</f>
        <v>0.184416866619846</v>
      </c>
      <c r="DI317" s="60" t="n">
        <f aca="false">SUMPRODUCT(BX317:CI317,$E$27:$P$27)</f>
        <v>2.67389635063809E-005</v>
      </c>
      <c r="DJ317" s="60" t="n">
        <f aca="false">DH317*$C$9/($C$10*$C$8)^2</f>
        <v>0.21776909410545</v>
      </c>
      <c r="DK317" s="60" t="n">
        <f aca="false">DI317*$C$9/($C$10*$C$8)</f>
        <v>0.0918845243259994</v>
      </c>
      <c r="DL317" s="60" t="n">
        <f aca="false">CHOOSE($C$7,-(1+DK317),-1,-(1-DK317))</f>
        <v>-0.908115475674001</v>
      </c>
      <c r="DM317" s="60" t="n">
        <f aca="false">CHOOSE($C$7,DJ317,DJ317-DK317-DK317^2,DJ317-3*DK317^2-2*DK317)</f>
        <v>0.00867174802160559</v>
      </c>
      <c r="DN317" s="60" t="n">
        <f aca="false">CHOOSE($C$7,-DJ317*DK317,-DJ317*DK317,-(DJ317*DK317-DK317^2-DK317^3))</f>
        <v>-0.0107910842936637</v>
      </c>
      <c r="DO317" s="60" t="n">
        <f aca="false">DM317-DL317^2/3</f>
        <v>-0.266219491031267</v>
      </c>
      <c r="DP317" s="60" t="n">
        <f aca="false">2*DL317^3/27-DL317*DM317/3+DN317</f>
        <v>-0.0636400988362784</v>
      </c>
      <c r="DQ317" s="60" t="n">
        <f aca="false">DP317^2/4+DO317^3/27</f>
        <v>0.000313710901361829</v>
      </c>
      <c r="DR317" s="60" t="n">
        <f aca="false">-DP317/2-IF(DP317&gt;=0,1,-1)*SQRT(MAX(DQ317,0))</f>
        <v>0.0495319352963236</v>
      </c>
      <c r="DS317" s="60" t="n">
        <f aca="false">SIGN(DR317)*ABS(DR317)^(1/3)</f>
        <v>0.367249967174439</v>
      </c>
      <c r="DT317" s="60" t="n">
        <f aca="false">IF(DS317=0,0,DS317-DO317/(3*DS317))</f>
        <v>0.60888329127384</v>
      </c>
      <c r="DU317" s="60" t="n">
        <f aca="false">2*SQRT(MAX(-DO317,0)/3)</f>
        <v>0.595784626668918</v>
      </c>
      <c r="DV317" s="60" t="n">
        <f aca="false">ACOS(IF(DU317=0,0,MAX(-1,MIN(1,3*DP317/(DO317*DU317)))))</f>
        <v>0</v>
      </c>
      <c r="DW317" s="60" t="n">
        <f aca="false">DU317*COS(DV317/3)</f>
        <v>0.595784626668918</v>
      </c>
      <c r="DX317" s="60" t="n">
        <f aca="false">IF(DQ317&lt;0,DW317,DT317)-DL317/3</f>
        <v>0.91158844983184</v>
      </c>
      <c r="DY317" s="60" t="n">
        <f aca="false">IFERROR((((DX317+DL317)*DX317+DM317)*DX317+DN317)/((3*DX317+2*DL317)*DX317+DM317),0)</f>
        <v>0</v>
      </c>
      <c r="DZ317" s="60" t="n">
        <f aca="false">IF(ABS(DY317)&lt;0.1*ABS(DX317),DX317-DY317,DX317)</f>
        <v>0.91158844983184</v>
      </c>
      <c r="EA317" s="60" t="n">
        <f aca="false">IFERROR((((DZ317+DL317)*DZ317+DM317)*DZ317+DN317)/((3*DZ317+2*DL317)*DZ317+DM317),0)</f>
        <v>0</v>
      </c>
      <c r="EB317" s="60" t="n">
        <f aca="false">IF(ABS(EA317)&lt;0.1*ABS(DZ317),DZ317-EA317,DZ317)</f>
        <v>0.91158844983184</v>
      </c>
      <c r="EC317" s="60" t="n">
        <f aca="false">-DN317/EB317</f>
        <v>0.0118376711504565</v>
      </c>
      <c r="ED317" s="60" t="n">
        <f aca="false">(DM317-EC317)/EB317</f>
        <v>-0.00347297415783941</v>
      </c>
      <c r="EE317" s="60" t="n">
        <f aca="false">ED317^2-4*EC317</f>
        <v>-0.0473386230523248</v>
      </c>
      <c r="EF317" s="60" t="n">
        <f aca="false">IF(EE317&gt;=0,(ED317+IF(ED317&gt;=0,1,-1)*SQRT(EE317))/2,0)</f>
        <v>0</v>
      </c>
      <c r="EG317" s="60" t="n">
        <f aca="false">IF(AND(EE317&gt;=0,EF317&lt;&gt;0),MIN(EF317,EC317/EF317),-1)</f>
        <v>-1</v>
      </c>
      <c r="EH317" s="60" t="n">
        <f aca="false">AND(EE317&gt;=0,EG317&gt;DK317,ABS(EB317-EG317)&gt;=0.00005*MAX(EB317,EG317))</f>
        <v>0</v>
      </c>
      <c r="EI317" s="60" t="n">
        <f aca="false">IF(EH317,IFERROR((((EG317+DL317)*EG317+DM317)*EG317+DN317)/((3*EG317+2*DL317)*EG317+DM317),0),0)</f>
        <v>0</v>
      </c>
      <c r="EJ317" s="60" t="n">
        <f aca="false">IF(ABS(EI317)&lt;0.1*ABS(EG317),EG317-EI317,EG317)</f>
        <v>-1</v>
      </c>
      <c r="EK317" s="60" t="n">
        <f aca="false">IF(EH317,IFERROR((((EJ317+DL317)*EJ317+DM317)*EJ317+DN317)/((3*EJ317+2*DL317)*EJ317+DM317),0),0)</f>
        <v>0</v>
      </c>
      <c r="EL317" s="60" t="n">
        <f aca="false">IF(ABS(EK317)&lt;0.1*ABS(EJ317),EJ317-EK317,EJ317)</f>
        <v>-1</v>
      </c>
      <c r="EM317" s="60" t="n">
        <f aca="false">IF(EH317,MAX(EB317,EL317),EB317)</f>
        <v>0.91158844983184</v>
      </c>
      <c r="EN317" s="60" t="n">
        <f aca="false">IF(EH317,MIN(EB317,EL317),-1)</f>
        <v>-1</v>
      </c>
      <c r="EO317" s="60" t="n">
        <f aca="false">CHOOSE($C$7,DJ317/EM317,DJ317/DK317*LN(1+DK317/EM317),DJ317/(2*SQRT(2)*DK317)*LN((EM317+(1+SQRT(2))*DK317)/(EM317+(1-SQRT(2))*DK317)))</f>
        <v>0.218240791233887</v>
      </c>
      <c r="EP317" s="60" t="n">
        <f aca="false">EM317-1-LN(EM317-DK317)-EO317</f>
        <v>-0.107840271021729</v>
      </c>
      <c r="EQ317" s="60" t="n">
        <f aca="false">IF(EH317,CHOOSE($C$7,DJ317/EN317,DJ317/DK317*LN(1+DK317/EN317),DJ317/(2*SQRT(2)*DK317)*LN((EN317+(1+SQRT(2))*DK317)/(EN317+(1-SQRT(2))*DK317))),0)</f>
        <v>0</v>
      </c>
      <c r="ER317" s="60" t="n">
        <f aca="false">IF(EH317,EN317-1-LN(EN317-DK317)-EQ317,0)</f>
        <v>0</v>
      </c>
      <c r="ES317" s="60" t="n">
        <f aca="false">AND(EH317,ER317&lt;EP317)</f>
        <v>0</v>
      </c>
      <c r="ET317" s="60" t="n">
        <f aca="false">IF(ES317,EN317,EM317)</f>
        <v>0.91158844983184</v>
      </c>
      <c r="EU317" s="60" t="n">
        <f aca="false">IF(ES317,EQ317,EO317)</f>
        <v>0.218240791233887</v>
      </c>
      <c r="EV317" s="60" t="n">
        <f aca="false">LN(ET317-DK317)</f>
        <v>-0.198812070380318</v>
      </c>
      <c r="EW317" s="60" t="n">
        <f aca="false">$E$27/DI317*(ET317-1)-EV317-EU317*(2*CV317/DH317-$E$27/DI317)</f>
        <v>-0.107840271021729</v>
      </c>
      <c r="EX317" s="60" t="n">
        <f aca="false">$F$27/DI317*(ET317-1)-EV317-EU317*(2*CW317/DH317-$F$27/DI317)</f>
        <v>0.198812070380318</v>
      </c>
      <c r="EY317" s="60" t="n">
        <f aca="false">$G$27/DI317*(ET317-1)-EV317-EU317*(2*CX317/DH317-$G$27/DI317)</f>
        <v>0.198812070380318</v>
      </c>
      <c r="EZ317" s="60" t="n">
        <f aca="false">$H$27/DI317*(ET317-1)-EV317-EU317*(2*CY317/DH317-$H$27/DI317)</f>
        <v>0.198812070380318</v>
      </c>
      <c r="FA317" s="60" t="n">
        <f aca="false">$I$27/DI317*(ET317-1)-EV317-EU317*(2*CZ317/DH317-$I$27/DI317)</f>
        <v>0.198812070380318</v>
      </c>
      <c r="FB317" s="60" t="n">
        <f aca="false">$J$27/DI317*(ET317-1)-EV317-EU317*(2*DA317/DH317-$J$27/DI317)</f>
        <v>0.198812070380318</v>
      </c>
      <c r="FC317" s="60" t="n">
        <f aca="false">$K$27/DI317*(ET317-1)-EV317-EU317*(2*DB317/DH317-$K$27/DI317)</f>
        <v>0.198812070380318</v>
      </c>
      <c r="FD317" s="60" t="n">
        <f aca="false">$L$27/DI317*(ET317-1)-EV317-EU317*(2*DC317/DH317-$L$27/DI317)</f>
        <v>0.198812070380318</v>
      </c>
      <c r="FE317" s="60" t="n">
        <f aca="false">$M$27/DI317*(ET317-1)-EV317-EU317*(2*DD317/DH317-$M$27/DI317)</f>
        <v>0.198812070380318</v>
      </c>
      <c r="FF317" s="60" t="n">
        <f aca="false">$N$27/DI317*(ET317-1)-EV317-EU317*(2*DE317/DH317-$N$27/DI317)</f>
        <v>0.198812070380318</v>
      </c>
      <c r="FG317" s="60" t="n">
        <f aca="false">$O$27/DI317*(ET317-1)-EV317-EU317*(2*DF317/DH317-$O$27/DI317)</f>
        <v>0.198812070380318</v>
      </c>
      <c r="FH317" s="60" t="n">
        <f aca="false">$P$27/DI317*(ET317-1)-EV317-EU317*(2*DG317/DH317-$P$27/DI317)</f>
        <v>0.198812070380318</v>
      </c>
      <c r="FI317" s="60" t="n">
        <f aca="false">DK317/ET317&gt;$C$22</f>
        <v>0</v>
      </c>
      <c r="FJ317" s="60" t="n">
        <f aca="false">$E$28*SUMPRODUCT($E$31:$P$31,CJ317:CU317,$E$28:$P$28)</f>
        <v>0.184416866619846</v>
      </c>
      <c r="FK317" s="60" t="n">
        <f aca="false">$F$28*SUMPRODUCT($E$32:$P$32,CJ317:CU317,$E$28:$P$28)</f>
        <v>0</v>
      </c>
      <c r="FL317" s="60" t="n">
        <f aca="false">$G$28*SUMPRODUCT($E$33:$P$33,CJ317:CU317,$E$28:$P$28)</f>
        <v>0</v>
      </c>
      <c r="FM317" s="60" t="n">
        <f aca="false">$H$28*SUMPRODUCT($E$34:$P$34,CJ317:CU317,$E$28:$P$28)</f>
        <v>0</v>
      </c>
      <c r="FN317" s="60" t="n">
        <f aca="false">$I$28*SUMPRODUCT($E$35:$P$35,CJ317:CU317,$E$28:$P$28)</f>
        <v>0</v>
      </c>
      <c r="FO317" s="60" t="n">
        <f aca="false">$J$28*SUMPRODUCT($E$36:$P$36,CJ317:CU317,$E$28:$P$28)</f>
        <v>0</v>
      </c>
      <c r="FP317" s="60" t="n">
        <f aca="false">$K$28*SUMPRODUCT($E$37:$P$37,CJ317:CU317,$E$28:$P$28)</f>
        <v>0</v>
      </c>
      <c r="FQ317" s="60" t="n">
        <f aca="false">$L$28*SUMPRODUCT($E$38:$P$38,CJ317:CU317,$E$28:$P$28)</f>
        <v>0</v>
      </c>
      <c r="FR317" s="60" t="n">
        <f aca="false">$M$28*SUMPRODUCT($E$39:$P$39,CJ317:CU317,$E$28:$P$28)</f>
        <v>0</v>
      </c>
      <c r="FS317" s="60" t="n">
        <f aca="false">$N$28*SUMPRODUCT($E$40:$P$40,CJ317:CU317,$E$28:$P$28)</f>
        <v>0</v>
      </c>
      <c r="FT317" s="60" t="n">
        <f aca="false">$O$28*SUMPRODUCT($E$41:$P$41,CJ317:CU317,$E$28:$P$28)</f>
        <v>0</v>
      </c>
      <c r="FU317" s="60" t="n">
        <f aca="false">$P$28*SUMPRODUCT($E$42:$P$42,CJ317:CU317,$E$28:$P$28)</f>
        <v>0</v>
      </c>
      <c r="FV317" s="60" t="n">
        <f aca="false">SUMPRODUCT(CJ317:CU317,FJ317:FU317)</f>
        <v>0.184416866619846</v>
      </c>
      <c r="FW317" s="60" t="n">
        <f aca="false">SUMPRODUCT(CJ317:CU317,$E$27:$P$27)</f>
        <v>2.67389635063809E-005</v>
      </c>
      <c r="FX317" s="60" t="n">
        <f aca="false">FV317*$C$9/($C$10*$C$8)^2</f>
        <v>0.21776909410545</v>
      </c>
      <c r="FY317" s="60" t="n">
        <f aca="false">FW317*$C$9/($C$10*$C$8)</f>
        <v>0.0918845243259994</v>
      </c>
      <c r="FZ317" s="60" t="n">
        <f aca="false">CHOOSE($C$7,-(1+FY317),-1,-(1-FY317))</f>
        <v>-0.908115475674001</v>
      </c>
      <c r="GA317" s="60" t="n">
        <f aca="false">CHOOSE($C$7,FX317,FX317-FY317-FY317^2,FX317-3*FY317^2-2*FY317)</f>
        <v>0.00867174802160559</v>
      </c>
      <c r="GB317" s="60" t="n">
        <f aca="false">CHOOSE($C$7,-FX317*FY317,-FX317*FY317,-(FX317*FY317-FY317^2-FY317^3))</f>
        <v>-0.0107910842936637</v>
      </c>
      <c r="GC317" s="60" t="n">
        <f aca="false">GA317-FZ317^2/3</f>
        <v>-0.266219491031267</v>
      </c>
      <c r="GD317" s="60" t="n">
        <f aca="false">2*FZ317^3/27-FZ317*GA317/3+GB317</f>
        <v>-0.0636400988362784</v>
      </c>
      <c r="GE317" s="60" t="n">
        <f aca="false">GD317^2/4+GC317^3/27</f>
        <v>0.000313710901361829</v>
      </c>
      <c r="GF317" s="60" t="n">
        <f aca="false">-GD317/2-IF(GD317&gt;=0,1,-1)*SQRT(MAX(GE317,0))</f>
        <v>0.0495319352963236</v>
      </c>
      <c r="GG317" s="60" t="n">
        <f aca="false">SIGN(GF317)*ABS(GF317)^(1/3)</f>
        <v>0.367249967174439</v>
      </c>
      <c r="GH317" s="60" t="n">
        <f aca="false">IF(GG317=0,0,GG317-GC317/(3*GG317))</f>
        <v>0.60888329127384</v>
      </c>
      <c r="GI317" s="60" t="n">
        <f aca="false">2*SQRT(MAX(-GC317,0)/3)</f>
        <v>0.595784626668918</v>
      </c>
      <c r="GJ317" s="60" t="n">
        <f aca="false">ACOS(IF(GI317=0,0,MAX(-1,MIN(1,3*GD317/(GC317*GI317)))))</f>
        <v>0</v>
      </c>
      <c r="GK317" s="60" t="n">
        <f aca="false">GI317*COS(GJ317/3)</f>
        <v>0.595784626668918</v>
      </c>
      <c r="GL317" s="60" t="n">
        <f aca="false">IF(GE317&lt;0,GK317,GH317)-FZ317/3</f>
        <v>0.91158844983184</v>
      </c>
      <c r="GM317" s="60" t="n">
        <f aca="false">IFERROR((((GL317+FZ317)*GL317+GA317)*GL317+GB317)/((3*GL317+2*FZ317)*GL317+GA317),0)</f>
        <v>0</v>
      </c>
      <c r="GN317" s="60" t="n">
        <f aca="false">IF(ABS(GM317)&lt;0.1*ABS(GL317),GL317-GM317,GL317)</f>
        <v>0.91158844983184</v>
      </c>
      <c r="GO317" s="60" t="n">
        <f aca="false">IFERROR((((GN317+FZ317)*GN317+GA317)*GN317+GB317)/((3*GN317+2*FZ317)*GN317+GA317),0)</f>
        <v>0</v>
      </c>
      <c r="GP317" s="60" t="n">
        <f aca="false">IF(ABS(GO317)&lt;0.1*ABS(GN317),GN317-GO317,GN317)</f>
        <v>0.91158844983184</v>
      </c>
      <c r="GQ317" s="60" t="n">
        <f aca="false">-GB317/GP317</f>
        <v>0.0118376711504565</v>
      </c>
      <c r="GR317" s="60" t="n">
        <f aca="false">(GA317-GQ317)/GP317</f>
        <v>-0.00347297415783941</v>
      </c>
      <c r="GS317" s="60" t="n">
        <f aca="false">GR317^2-4*GQ317</f>
        <v>-0.0473386230523248</v>
      </c>
      <c r="GT317" s="60" t="n">
        <f aca="false">IF(GS317&gt;=0,(GR317+IF(GR317&gt;=0,1,-1)*SQRT(GS317))/2,0)</f>
        <v>0</v>
      </c>
      <c r="GU317" s="60" t="n">
        <f aca="false">IF(AND(GS317&gt;=0,GT317&lt;&gt;0),MIN(GT317,GQ317/GT317),-1)</f>
        <v>-1</v>
      </c>
      <c r="GV317" s="60" t="n">
        <f aca="false">AND(GS317&gt;=0,GU317&gt;FY317,ABS(GP317-GU317)&gt;=0.00005*MAX(GP317,GU317))</f>
        <v>0</v>
      </c>
      <c r="GW317" s="60" t="n">
        <f aca="false">IF(GV317,IFERROR((((GU317+FZ317)*GU317+GA317)*GU317+GB317)/((3*GU317+2*FZ317)*GU317+GA317),0),0)</f>
        <v>0</v>
      </c>
      <c r="GX317" s="60" t="n">
        <f aca="false">IF(ABS(GW317)&lt;0.1*ABS(GU317),GU317-GW317,GU317)</f>
        <v>-1</v>
      </c>
      <c r="GY317" s="60" t="n">
        <f aca="false">IF(GV317,IFERROR((((GX317+FZ317)*GX317+GA317)*GX317+GB317)/((3*GX317+2*FZ317)*GX317+GA317),0),0)</f>
        <v>0</v>
      </c>
      <c r="GZ317" s="60" t="n">
        <f aca="false">IF(ABS(GY317)&lt;0.1*ABS(GX317),GX317-GY317,GX317)</f>
        <v>-1</v>
      </c>
      <c r="HA317" s="60" t="n">
        <f aca="false">IF(GV317,MAX(GP317,GZ317),GP317)</f>
        <v>0.91158844983184</v>
      </c>
      <c r="HB317" s="60" t="n">
        <f aca="false">IF(GV317,MIN(GP317,GZ317),-1)</f>
        <v>-1</v>
      </c>
      <c r="HC317" s="60" t="n">
        <f aca="false">CHOOSE($C$7,FX317/HA317,FX317/FY317*LN(1+FY317/HA317),FX317/(2*SQRT(2)*FY317)*LN((HA317+(1+SQRT(2))*FY317)/(HA317+(1-SQRT(2))*FY317)))</f>
        <v>0.218240791233887</v>
      </c>
      <c r="HD317" s="60" t="n">
        <f aca="false">HA317-1-LN(HA317-FY317)-HC317</f>
        <v>-0.107840271021729</v>
      </c>
      <c r="HE317" s="60" t="n">
        <f aca="false">IF(GV317,CHOOSE($C$7,FX317/HB317,FX317/FY317*LN(1+FY317/HB317),FX317/(2*SQRT(2)*FY317)*LN((HB317+(1+SQRT(2))*FY317)/(HB317+(1-SQRT(2))*FY317))),0)</f>
        <v>0</v>
      </c>
      <c r="HF317" s="60" t="n">
        <f aca="false">IF(GV317,HB317-1-LN(HB317-FY317)-HE317,0)</f>
        <v>0</v>
      </c>
      <c r="HG317" s="60" t="n">
        <f aca="false">AND(GV317,HF317&lt;HD317)</f>
        <v>0</v>
      </c>
      <c r="HH317" s="60" t="n">
        <f aca="false">IF(HG317,HB317,HA317)</f>
        <v>0.91158844983184</v>
      </c>
      <c r="HI317" s="60" t="n">
        <f aca="false">IF(HG317,HE317,HC317)</f>
        <v>0.218240791233887</v>
      </c>
      <c r="HJ317" s="60" t="n">
        <f aca="false">LN(HH317-FY317)</f>
        <v>-0.198812070380318</v>
      </c>
      <c r="HK317" s="60" t="n">
        <f aca="false">$E$27/FW317*(HH317-1)-HJ317-HI317*(2*FJ317/FV317-$E$27/FW317)</f>
        <v>-0.107840271021729</v>
      </c>
      <c r="HL317" s="60" t="n">
        <f aca="false">$F$27/FW317*(HH317-1)-HJ317-HI317*(2*FK317/FV317-$F$27/FW317)</f>
        <v>0.198812070380318</v>
      </c>
      <c r="HM317" s="60" t="n">
        <f aca="false">$G$27/FW317*(HH317-1)-HJ317-HI317*(2*FL317/FV317-$G$27/FW317)</f>
        <v>0.198812070380318</v>
      </c>
      <c r="HN317" s="60" t="n">
        <f aca="false">$H$27/FW317*(HH317-1)-HJ317-HI317*(2*FM317/FV317-$H$27/FW317)</f>
        <v>0.198812070380318</v>
      </c>
      <c r="HO317" s="60" t="n">
        <f aca="false">$I$27/FW317*(HH317-1)-HJ317-HI317*(2*FN317/FV317-$I$27/FW317)</f>
        <v>0.198812070380318</v>
      </c>
      <c r="HP317" s="60" t="n">
        <f aca="false">$J$27/FW317*(HH317-1)-HJ317-HI317*(2*FO317/FV317-$J$27/FW317)</f>
        <v>0.198812070380318</v>
      </c>
      <c r="HQ317" s="60" t="n">
        <f aca="false">$K$27/FW317*(HH317-1)-HJ317-HI317*(2*FP317/FV317-$K$27/FW317)</f>
        <v>0.198812070380318</v>
      </c>
      <c r="HR317" s="60" t="n">
        <f aca="false">$L$27/FW317*(HH317-1)-HJ317-HI317*(2*FQ317/FV317-$L$27/FW317)</f>
        <v>0.198812070380318</v>
      </c>
      <c r="HS317" s="60" t="n">
        <f aca="false">$M$27/FW317*(HH317-1)-HJ317-HI317*(2*FR317/FV317-$M$27/FW317)</f>
        <v>0.198812070380318</v>
      </c>
      <c r="HT317" s="60" t="n">
        <f aca="false">$N$27/FW317*(HH317-1)-HJ317-HI317*(2*FS317/FV317-$N$27/FW317)</f>
        <v>0.198812070380318</v>
      </c>
      <c r="HU317" s="60" t="n">
        <f aca="false">$O$27/FW317*(HH317-1)-HJ317-HI317*(2*FT317/FV317-$O$27/FW317)</f>
        <v>0.198812070380318</v>
      </c>
      <c r="HV317" s="60" t="n">
        <f aca="false">$P$27/FW317*(HH317-1)-HJ317-HI317*(2*FU317/FV317-$P$27/FW317)</f>
        <v>0.198812070380318</v>
      </c>
      <c r="HW317" s="60" t="n">
        <f aca="false">FY317/HH317&gt;$C$22</f>
        <v>0</v>
      </c>
      <c r="HX317" s="60" t="n">
        <f aca="false">IF($E$13&gt;0,MAX(-300,MIN(300,EW317-HK317)),0)</f>
        <v>0</v>
      </c>
      <c r="HY317" s="60" t="n">
        <f aca="false">IF($F$13&gt;0,MAX(-300,MIN(300,EX317-HL317)),0)</f>
        <v>0</v>
      </c>
      <c r="HZ317" s="60" t="n">
        <f aca="false">IF($G$13&gt;0,MAX(-300,MIN(300,EY317-HM317)),0)</f>
        <v>0</v>
      </c>
      <c r="IA317" s="60" t="n">
        <f aca="false">IF($H$13&gt;0,MAX(-300,MIN(300,EZ317-HN317)),0)</f>
        <v>0</v>
      </c>
      <c r="IB317" s="60" t="n">
        <f aca="false">IF($I$13&gt;0,MAX(-300,MIN(300,FA317-HO317)),0)</f>
        <v>0</v>
      </c>
      <c r="IC317" s="60" t="n">
        <f aca="false">IF($J$13&gt;0,MAX(-300,MIN(300,FB317-HP317)),0)</f>
        <v>0</v>
      </c>
      <c r="ID317" s="60" t="n">
        <f aca="false">IF($K$13&gt;0,MAX(-300,MIN(300,FC317-HQ317)),0)</f>
        <v>0</v>
      </c>
      <c r="IE317" s="60" t="n">
        <f aca="false">IF($L$13&gt;0,MAX(-300,MIN(300,FD317-HR317)),0)</f>
        <v>0</v>
      </c>
      <c r="IF317" s="60" t="n">
        <f aca="false">IF($M$13&gt;0,MAX(-300,MIN(300,FE317-HS317)),0)</f>
        <v>0</v>
      </c>
      <c r="IG317" s="60" t="n">
        <f aca="false">IF($N$13&gt;0,MAX(-300,MIN(300,FF317-HT317)),0)</f>
        <v>0</v>
      </c>
      <c r="IH317" s="60" t="n">
        <f aca="false">IF($O$13&gt;0,MAX(-300,MIN(300,FG317-HU317)),0)</f>
        <v>0</v>
      </c>
      <c r="II317" s="60" t="n">
        <f aca="false">IF($P$13&gt;0,MAX(-300,MIN(300,FH317-HV317)),0)</f>
        <v>0</v>
      </c>
      <c r="IJ317" s="60" t="n">
        <f aca="false">SUMXMY2(HX317:II317,B317:M317)</f>
        <v>0</v>
      </c>
      <c r="IK317" s="60" t="n">
        <f aca="false">SUMSQ(B317:M317)</f>
        <v>0</v>
      </c>
    </row>
    <row r="318" customFormat="false" ht="15" hidden="false" customHeight="false" outlineLevel="0" collapsed="false">
      <c r="A318" s="59" t="n">
        <v>21</v>
      </c>
      <c r="B318" s="60" t="n">
        <f aca="false">HX317</f>
        <v>0</v>
      </c>
      <c r="C318" s="60" t="n">
        <f aca="false">HY317</f>
        <v>0</v>
      </c>
      <c r="D318" s="60" t="n">
        <f aca="false">HZ317</f>
        <v>0</v>
      </c>
      <c r="E318" s="60" t="n">
        <f aca="false">IA317</f>
        <v>0</v>
      </c>
      <c r="F318" s="60" t="n">
        <f aca="false">IB317</f>
        <v>0</v>
      </c>
      <c r="G318" s="60" t="n">
        <f aca="false">IC317</f>
        <v>0</v>
      </c>
      <c r="H318" s="60" t="n">
        <f aca="false">ID317</f>
        <v>0</v>
      </c>
      <c r="I318" s="60" t="n">
        <f aca="false">IE317</f>
        <v>0</v>
      </c>
      <c r="J318" s="60" t="n">
        <f aca="false">IF317</f>
        <v>0</v>
      </c>
      <c r="K318" s="60" t="n">
        <f aca="false">IG317</f>
        <v>0</v>
      </c>
      <c r="L318" s="60" t="n">
        <f aca="false">IH317</f>
        <v>0</v>
      </c>
      <c r="M318" s="60" t="n">
        <f aca="false">II317</f>
        <v>0</v>
      </c>
      <c r="N318" s="60" t="n">
        <f aca="false">EXP(B318)</f>
        <v>1</v>
      </c>
      <c r="O318" s="60" t="n">
        <f aca="false">EXP(C318)</f>
        <v>1</v>
      </c>
      <c r="P318" s="60" t="n">
        <f aca="false">EXP(D318)</f>
        <v>1</v>
      </c>
      <c r="Q318" s="60" t="n">
        <f aca="false">EXP(E318)</f>
        <v>1</v>
      </c>
      <c r="R318" s="60" t="n">
        <f aca="false">EXP(F318)</f>
        <v>1</v>
      </c>
      <c r="S318" s="60" t="n">
        <f aca="false">EXP(G318)</f>
        <v>1</v>
      </c>
      <c r="T318" s="60" t="n">
        <f aca="false">EXP(H318)</f>
        <v>1</v>
      </c>
      <c r="U318" s="60" t="n">
        <f aca="false">EXP(I318)</f>
        <v>1</v>
      </c>
      <c r="V318" s="60" t="n">
        <f aca="false">EXP(J318)</f>
        <v>1</v>
      </c>
      <c r="W318" s="60" t="n">
        <f aca="false">EXP(K318)</f>
        <v>1</v>
      </c>
      <c r="X318" s="60" t="n">
        <f aca="false">EXP(L318)</f>
        <v>1</v>
      </c>
      <c r="Y318" s="60" t="n">
        <f aca="false">EXP(M318)</f>
        <v>1</v>
      </c>
      <c r="Z318" s="60" t="n">
        <f aca="false">MAX(N318:Y318)</f>
        <v>1</v>
      </c>
      <c r="AA318" s="60" t="n">
        <f aca="false">MIN(N318:Y318)</f>
        <v>1</v>
      </c>
      <c r="AB318" s="60" t="n">
        <f aca="false">AND(Z318&gt;1,AA318&lt;1)</f>
        <v>0</v>
      </c>
      <c r="AC318" s="60" t="n">
        <f aca="false">IF(AB318,1/(1-Z318),0)</f>
        <v>0</v>
      </c>
      <c r="AD318" s="60" t="n">
        <f aca="false">IF(AB318,1/(1-AA318),1)</f>
        <v>1</v>
      </c>
      <c r="AE318" s="60" t="n">
        <f aca="false">IF(AB318,MIN(MAX(BI317,AC318+0.000000001*(AD318-AC318)),AD318-0.000000001*(AD318-AC318)),IF(AA318&gt;=1,1,0))</f>
        <v>1</v>
      </c>
      <c r="AF318" s="60" t="n">
        <f aca="false">SUMPRODUCT($E$13:$P$13*(N318:Y318-1)/(1+AE318*(N318:Y318-1)))</f>
        <v>0</v>
      </c>
      <c r="AG318" s="60" t="n">
        <f aca="false">-SUMPRODUCT($E$13:$P$13*(N318:Y318-1)^2/(1+AE318*(N318:Y318-1))^2)</f>
        <v>-0</v>
      </c>
      <c r="AH318" s="60" t="n">
        <f aca="false">IF(OR(NOT(AB318),AG318=0),AE318,IF(AE318-AF318/AG318&lt;=AC318,(AE318+AC318)/2,IF(AE318-AF318/AG318&gt;=AD318,(AE318+AD318)/2,AE318-AF318/AG318)))</f>
        <v>1</v>
      </c>
      <c r="AI318" s="60" t="n">
        <f aca="false">SUMPRODUCT($E$13:$P$13*(N318:Y318-1)/(1+AH318*(N318:Y318-1)))</f>
        <v>0</v>
      </c>
      <c r="AJ318" s="60" t="n">
        <f aca="false">-SUMPRODUCT($E$13:$P$13*(N318:Y318-1)^2/(1+AH318*(N318:Y318-1))^2)</f>
        <v>-0</v>
      </c>
      <c r="AK318" s="60" t="n">
        <f aca="false">IF(OR(NOT(AB318),AJ318=0),AH318,IF(AH318-AI318/AJ318&lt;=AC318,(AH318+AC318)/2,IF(AH318-AI318/AJ318&gt;=AD318,(AH318+AD318)/2,AH318-AI318/AJ318)))</f>
        <v>1</v>
      </c>
      <c r="AL318" s="60" t="n">
        <f aca="false">SUMPRODUCT($E$13:$P$13*(N318:Y318-1)/(1+AK318*(N318:Y318-1)))</f>
        <v>0</v>
      </c>
      <c r="AM318" s="60" t="n">
        <f aca="false">-SUMPRODUCT($E$13:$P$13*(N318:Y318-1)^2/(1+AK318*(N318:Y318-1))^2)</f>
        <v>-0</v>
      </c>
      <c r="AN318" s="60" t="n">
        <f aca="false">IF(OR(NOT(AB318),AM318=0),AK318,IF(AK318-AL318/AM318&lt;=AC318,(AK318+AC318)/2,IF(AK318-AL318/AM318&gt;=AD318,(AK318+AD318)/2,AK318-AL318/AM318)))</f>
        <v>1</v>
      </c>
      <c r="AO318" s="60" t="n">
        <f aca="false">SUMPRODUCT($E$13:$P$13*(N318:Y318-1)/(1+AN318*(N318:Y318-1)))</f>
        <v>0</v>
      </c>
      <c r="AP318" s="60" t="n">
        <f aca="false">-SUMPRODUCT($E$13:$P$13*(N318:Y318-1)^2/(1+AN318*(N318:Y318-1))^2)</f>
        <v>-0</v>
      </c>
      <c r="AQ318" s="60" t="n">
        <f aca="false">IF(OR(NOT(AB318),AP318=0),AN318,IF(AN318-AO318/AP318&lt;=AC318,(AN318+AC318)/2,IF(AN318-AO318/AP318&gt;=AD318,(AN318+AD318)/2,AN318-AO318/AP318)))</f>
        <v>1</v>
      </c>
      <c r="AR318" s="60" t="n">
        <f aca="false">SUMPRODUCT($E$13:$P$13*(N318:Y318-1)/(1+AQ318*(N318:Y318-1)))</f>
        <v>0</v>
      </c>
      <c r="AS318" s="60" t="n">
        <f aca="false">-SUMPRODUCT($E$13:$P$13*(N318:Y318-1)^2/(1+AQ318*(N318:Y318-1))^2)</f>
        <v>-0</v>
      </c>
      <c r="AT318" s="60" t="n">
        <f aca="false">IF(OR(NOT(AB318),AS318=0),AQ318,IF(AQ318-AR318/AS318&lt;=AC318,(AQ318+AC318)/2,IF(AQ318-AR318/AS318&gt;=AD318,(AQ318+AD318)/2,AQ318-AR318/AS318)))</f>
        <v>1</v>
      </c>
      <c r="AU318" s="60" t="n">
        <f aca="false">SUMPRODUCT($E$13:$P$13*(N318:Y318-1)/(1+AT318*(N318:Y318-1)))</f>
        <v>0</v>
      </c>
      <c r="AV318" s="60" t="n">
        <f aca="false">-SUMPRODUCT($E$13:$P$13*(N318:Y318-1)^2/(1+AT318*(N318:Y318-1))^2)</f>
        <v>-0</v>
      </c>
      <c r="AW318" s="60" t="n">
        <f aca="false">IF(OR(NOT(AB318),AV318=0),AT318,IF(AT318-AU318/AV318&lt;=AC318,(AT318+AC318)/2,IF(AT318-AU318/AV318&gt;=AD318,(AT318+AD318)/2,AT318-AU318/AV318)))</f>
        <v>1</v>
      </c>
      <c r="AX318" s="60" t="n">
        <f aca="false">SUMPRODUCT($E$13:$P$13*(N318:Y318-1)/(1+AW318*(N318:Y318-1)))</f>
        <v>0</v>
      </c>
      <c r="AY318" s="60" t="n">
        <f aca="false">-SUMPRODUCT($E$13:$P$13*(N318:Y318-1)^2/(1+AW318*(N318:Y318-1))^2)</f>
        <v>-0</v>
      </c>
      <c r="AZ318" s="60" t="n">
        <f aca="false">IF(OR(NOT(AB318),AY318=0),AW318,IF(AW318-AX318/AY318&lt;=AC318,(AW318+AC318)/2,IF(AW318-AX318/AY318&gt;=AD318,(AW318+AD318)/2,AW318-AX318/AY318)))</f>
        <v>1</v>
      </c>
      <c r="BA318" s="60" t="n">
        <f aca="false">SUMPRODUCT($E$13:$P$13*(N318:Y318-1)/(1+AZ318*(N318:Y318-1)))</f>
        <v>0</v>
      </c>
      <c r="BB318" s="60" t="n">
        <f aca="false">-SUMPRODUCT($E$13:$P$13*(N318:Y318-1)^2/(1+AZ318*(N318:Y318-1))^2)</f>
        <v>-0</v>
      </c>
      <c r="BC318" s="60" t="n">
        <f aca="false">IF(OR(NOT(AB318),BB318=0),AZ318,IF(AZ318-BA318/BB318&lt;=AC318,(AZ318+AC318)/2,IF(AZ318-BA318/BB318&gt;=AD318,(AZ318+AD318)/2,AZ318-BA318/BB318)))</f>
        <v>1</v>
      </c>
      <c r="BD318" s="60" t="n">
        <f aca="false">SUMPRODUCT($E$13:$P$13*(N318:Y318-1)/(1+BC318*(N318:Y318-1)))</f>
        <v>0</v>
      </c>
      <c r="BE318" s="60" t="n">
        <f aca="false">-SUMPRODUCT($E$13:$P$13*(N318:Y318-1)^2/(1+BC318*(N318:Y318-1))^2)</f>
        <v>-0</v>
      </c>
      <c r="BF318" s="60" t="n">
        <f aca="false">IF(OR(NOT(AB318),BE318=0),BC318,IF(BC318-BD318/BE318&lt;=AC318,(BC318+AC318)/2,IF(BC318-BD318/BE318&gt;=AD318,(BC318+AD318)/2,BC318-BD318/BE318)))</f>
        <v>1</v>
      </c>
      <c r="BG318" s="60" t="n">
        <f aca="false">SUMPRODUCT($E$13:$P$13*(N318:Y318-1)/(1+BF318*(N318:Y318-1)))</f>
        <v>0</v>
      </c>
      <c r="BH318" s="60" t="n">
        <f aca="false">-SUMPRODUCT($E$13:$P$13*(N318:Y318-1)^2/(1+BF318*(N318:Y318-1))^2)</f>
        <v>-0</v>
      </c>
      <c r="BI318" s="60" t="n">
        <f aca="false">IF(OR(NOT(AB318),BH318=0),BF318,IF(BF318-BG318/BH318&lt;=AC318,(BF318+AC318)/2,IF(BF318-BG318/BH318&gt;=AD318,(BF318+AD318)/2,BF318-BG318/BH318)))</f>
        <v>1</v>
      </c>
      <c r="BJ318" s="60" t="n">
        <f aca="false">$E$13/(1+BI318*(N318-1))</f>
        <v>1</v>
      </c>
      <c r="BK318" s="60" t="n">
        <f aca="false">$F$13/(1+BI318*(O318-1))</f>
        <v>0</v>
      </c>
      <c r="BL318" s="60" t="n">
        <f aca="false">$G$13/(1+BI318*(P318-1))</f>
        <v>0</v>
      </c>
      <c r="BM318" s="60" t="n">
        <f aca="false">$H$13/(1+BI318*(Q318-1))</f>
        <v>0</v>
      </c>
      <c r="BN318" s="60" t="n">
        <f aca="false">$I$13/(1+BI318*(R318-1))</f>
        <v>0</v>
      </c>
      <c r="BO318" s="60" t="n">
        <f aca="false">$J$13/(1+BI318*(S318-1))</f>
        <v>0</v>
      </c>
      <c r="BP318" s="60" t="n">
        <f aca="false">$K$13/(1+BI318*(T318-1))</f>
        <v>0</v>
      </c>
      <c r="BQ318" s="60" t="n">
        <f aca="false">$L$13/(1+BI318*(U318-1))</f>
        <v>0</v>
      </c>
      <c r="BR318" s="60" t="n">
        <f aca="false">$M$13/(1+BI318*(V318-1))</f>
        <v>0</v>
      </c>
      <c r="BS318" s="60" t="n">
        <f aca="false">$N$13/(1+BI318*(W318-1))</f>
        <v>0</v>
      </c>
      <c r="BT318" s="60" t="n">
        <f aca="false">$O$13/(1+BI318*(X318-1))</f>
        <v>0</v>
      </c>
      <c r="BU318" s="60" t="n">
        <f aca="false">$P$13/(1+BI318*(Y318-1))</f>
        <v>0</v>
      </c>
      <c r="BV318" s="60" t="n">
        <f aca="false">SUM(BJ318:BU318)</f>
        <v>1</v>
      </c>
      <c r="BW318" s="60" t="n">
        <f aca="false">SUMPRODUCT(N318:Y318,BJ318:BU318)</f>
        <v>1</v>
      </c>
      <c r="BX318" s="60" t="n">
        <f aca="false">BJ318/BV318</f>
        <v>1</v>
      </c>
      <c r="BY318" s="60" t="n">
        <f aca="false">BK318/BV318</f>
        <v>0</v>
      </c>
      <c r="BZ318" s="60" t="n">
        <f aca="false">BL318/BV318</f>
        <v>0</v>
      </c>
      <c r="CA318" s="60" t="n">
        <f aca="false">BM318/BV318</f>
        <v>0</v>
      </c>
      <c r="CB318" s="60" t="n">
        <f aca="false">BN318/BV318</f>
        <v>0</v>
      </c>
      <c r="CC318" s="60" t="n">
        <f aca="false">BO318/BV318</f>
        <v>0</v>
      </c>
      <c r="CD318" s="60" t="n">
        <f aca="false">BP318/BV318</f>
        <v>0</v>
      </c>
      <c r="CE318" s="60" t="n">
        <f aca="false">BQ318/BV318</f>
        <v>0</v>
      </c>
      <c r="CF318" s="60" t="n">
        <f aca="false">BR318/BV318</f>
        <v>0</v>
      </c>
      <c r="CG318" s="60" t="n">
        <f aca="false">BS318/BV318</f>
        <v>0</v>
      </c>
      <c r="CH318" s="60" t="n">
        <f aca="false">BT318/BV318</f>
        <v>0</v>
      </c>
      <c r="CI318" s="60" t="n">
        <f aca="false">BU318/BV318</f>
        <v>0</v>
      </c>
      <c r="CJ318" s="60" t="n">
        <f aca="false">N318*BJ318/BW318</f>
        <v>1</v>
      </c>
      <c r="CK318" s="60" t="n">
        <f aca="false">O318*BK318/BW318</f>
        <v>0</v>
      </c>
      <c r="CL318" s="60" t="n">
        <f aca="false">P318*BL318/BW318</f>
        <v>0</v>
      </c>
      <c r="CM318" s="60" t="n">
        <f aca="false">Q318*BM318/BW318</f>
        <v>0</v>
      </c>
      <c r="CN318" s="60" t="n">
        <f aca="false">R318*BN318/BW318</f>
        <v>0</v>
      </c>
      <c r="CO318" s="60" t="n">
        <f aca="false">S318*BO318/BW318</f>
        <v>0</v>
      </c>
      <c r="CP318" s="60" t="n">
        <f aca="false">T318*BP318/BW318</f>
        <v>0</v>
      </c>
      <c r="CQ318" s="60" t="n">
        <f aca="false">U318*BQ318/BW318</f>
        <v>0</v>
      </c>
      <c r="CR318" s="60" t="n">
        <f aca="false">V318*BR318/BW318</f>
        <v>0</v>
      </c>
      <c r="CS318" s="60" t="n">
        <f aca="false">W318*BS318/BW318</f>
        <v>0</v>
      </c>
      <c r="CT318" s="60" t="n">
        <f aca="false">X318*BT318/BW318</f>
        <v>0</v>
      </c>
      <c r="CU318" s="60" t="n">
        <f aca="false">Y318*BU318/BW318</f>
        <v>0</v>
      </c>
      <c r="CV318" s="60" t="n">
        <f aca="false">$E$28*SUMPRODUCT($E$31:$P$31,BX318:CI318,$E$28:$P$28)</f>
        <v>0.184416866619846</v>
      </c>
      <c r="CW318" s="60" t="n">
        <f aca="false">$F$28*SUMPRODUCT($E$32:$P$32,BX318:CI318,$E$28:$P$28)</f>
        <v>0</v>
      </c>
      <c r="CX318" s="60" t="n">
        <f aca="false">$G$28*SUMPRODUCT($E$33:$P$33,BX318:CI318,$E$28:$P$28)</f>
        <v>0</v>
      </c>
      <c r="CY318" s="60" t="n">
        <f aca="false">$H$28*SUMPRODUCT($E$34:$P$34,BX318:CI318,$E$28:$P$28)</f>
        <v>0</v>
      </c>
      <c r="CZ318" s="60" t="n">
        <f aca="false">$I$28*SUMPRODUCT($E$35:$P$35,BX318:CI318,$E$28:$P$28)</f>
        <v>0</v>
      </c>
      <c r="DA318" s="60" t="n">
        <f aca="false">$J$28*SUMPRODUCT($E$36:$P$36,BX318:CI318,$E$28:$P$28)</f>
        <v>0</v>
      </c>
      <c r="DB318" s="60" t="n">
        <f aca="false">$K$28*SUMPRODUCT($E$37:$P$37,BX318:CI318,$E$28:$P$28)</f>
        <v>0</v>
      </c>
      <c r="DC318" s="60" t="n">
        <f aca="false">$L$28*SUMPRODUCT($E$38:$P$38,BX318:CI318,$E$28:$P$28)</f>
        <v>0</v>
      </c>
      <c r="DD318" s="60" t="n">
        <f aca="false">$M$28*SUMPRODUCT($E$39:$P$39,BX318:CI318,$E$28:$P$28)</f>
        <v>0</v>
      </c>
      <c r="DE318" s="60" t="n">
        <f aca="false">$N$28*SUMPRODUCT($E$40:$P$40,BX318:CI318,$E$28:$P$28)</f>
        <v>0</v>
      </c>
      <c r="DF318" s="60" t="n">
        <f aca="false">$O$28*SUMPRODUCT($E$41:$P$41,BX318:CI318,$E$28:$P$28)</f>
        <v>0</v>
      </c>
      <c r="DG318" s="60" t="n">
        <f aca="false">$P$28*SUMPRODUCT($E$42:$P$42,BX318:CI318,$E$28:$P$28)</f>
        <v>0</v>
      </c>
      <c r="DH318" s="60" t="n">
        <f aca="false">SUMPRODUCT(BX318:CI318,CV318:DG318)</f>
        <v>0.184416866619846</v>
      </c>
      <c r="DI318" s="60" t="n">
        <f aca="false">SUMPRODUCT(BX318:CI318,$E$27:$P$27)</f>
        <v>2.67389635063809E-005</v>
      </c>
      <c r="DJ318" s="60" t="n">
        <f aca="false">DH318*$C$9/($C$10*$C$8)^2</f>
        <v>0.21776909410545</v>
      </c>
      <c r="DK318" s="60" t="n">
        <f aca="false">DI318*$C$9/($C$10*$C$8)</f>
        <v>0.0918845243259994</v>
      </c>
      <c r="DL318" s="60" t="n">
        <f aca="false">CHOOSE($C$7,-(1+DK318),-1,-(1-DK318))</f>
        <v>-0.908115475674001</v>
      </c>
      <c r="DM318" s="60" t="n">
        <f aca="false">CHOOSE($C$7,DJ318,DJ318-DK318-DK318^2,DJ318-3*DK318^2-2*DK318)</f>
        <v>0.00867174802160559</v>
      </c>
      <c r="DN318" s="60" t="n">
        <f aca="false">CHOOSE($C$7,-DJ318*DK318,-DJ318*DK318,-(DJ318*DK318-DK318^2-DK318^3))</f>
        <v>-0.0107910842936637</v>
      </c>
      <c r="DO318" s="60" t="n">
        <f aca="false">DM318-DL318^2/3</f>
        <v>-0.266219491031267</v>
      </c>
      <c r="DP318" s="60" t="n">
        <f aca="false">2*DL318^3/27-DL318*DM318/3+DN318</f>
        <v>-0.0636400988362784</v>
      </c>
      <c r="DQ318" s="60" t="n">
        <f aca="false">DP318^2/4+DO318^3/27</f>
        <v>0.000313710901361829</v>
      </c>
      <c r="DR318" s="60" t="n">
        <f aca="false">-DP318/2-IF(DP318&gt;=0,1,-1)*SQRT(MAX(DQ318,0))</f>
        <v>0.0495319352963236</v>
      </c>
      <c r="DS318" s="60" t="n">
        <f aca="false">SIGN(DR318)*ABS(DR318)^(1/3)</f>
        <v>0.367249967174439</v>
      </c>
      <c r="DT318" s="60" t="n">
        <f aca="false">IF(DS318=0,0,DS318-DO318/(3*DS318))</f>
        <v>0.60888329127384</v>
      </c>
      <c r="DU318" s="60" t="n">
        <f aca="false">2*SQRT(MAX(-DO318,0)/3)</f>
        <v>0.595784626668918</v>
      </c>
      <c r="DV318" s="60" t="n">
        <f aca="false">ACOS(IF(DU318=0,0,MAX(-1,MIN(1,3*DP318/(DO318*DU318)))))</f>
        <v>0</v>
      </c>
      <c r="DW318" s="60" t="n">
        <f aca="false">DU318*COS(DV318/3)</f>
        <v>0.595784626668918</v>
      </c>
      <c r="DX318" s="60" t="n">
        <f aca="false">IF(DQ318&lt;0,DW318,DT318)-DL318/3</f>
        <v>0.91158844983184</v>
      </c>
      <c r="DY318" s="60" t="n">
        <f aca="false">IFERROR((((DX318+DL318)*DX318+DM318)*DX318+DN318)/((3*DX318+2*DL318)*DX318+DM318),0)</f>
        <v>0</v>
      </c>
      <c r="DZ318" s="60" t="n">
        <f aca="false">IF(ABS(DY318)&lt;0.1*ABS(DX318),DX318-DY318,DX318)</f>
        <v>0.91158844983184</v>
      </c>
      <c r="EA318" s="60" t="n">
        <f aca="false">IFERROR((((DZ318+DL318)*DZ318+DM318)*DZ318+DN318)/((3*DZ318+2*DL318)*DZ318+DM318),0)</f>
        <v>0</v>
      </c>
      <c r="EB318" s="60" t="n">
        <f aca="false">IF(ABS(EA318)&lt;0.1*ABS(DZ318),DZ318-EA318,DZ318)</f>
        <v>0.91158844983184</v>
      </c>
      <c r="EC318" s="60" t="n">
        <f aca="false">-DN318/EB318</f>
        <v>0.0118376711504565</v>
      </c>
      <c r="ED318" s="60" t="n">
        <f aca="false">(DM318-EC318)/EB318</f>
        <v>-0.00347297415783941</v>
      </c>
      <c r="EE318" s="60" t="n">
        <f aca="false">ED318^2-4*EC318</f>
        <v>-0.0473386230523248</v>
      </c>
      <c r="EF318" s="60" t="n">
        <f aca="false">IF(EE318&gt;=0,(ED318+IF(ED318&gt;=0,1,-1)*SQRT(EE318))/2,0)</f>
        <v>0</v>
      </c>
      <c r="EG318" s="60" t="n">
        <f aca="false">IF(AND(EE318&gt;=0,EF318&lt;&gt;0),MIN(EF318,EC318/EF318),-1)</f>
        <v>-1</v>
      </c>
      <c r="EH318" s="60" t="n">
        <f aca="false">AND(EE318&gt;=0,EG318&gt;DK318,ABS(EB318-EG318)&gt;=0.00005*MAX(EB318,EG318))</f>
        <v>0</v>
      </c>
      <c r="EI318" s="60" t="n">
        <f aca="false">IF(EH318,IFERROR((((EG318+DL318)*EG318+DM318)*EG318+DN318)/((3*EG318+2*DL318)*EG318+DM318),0),0)</f>
        <v>0</v>
      </c>
      <c r="EJ318" s="60" t="n">
        <f aca="false">IF(ABS(EI318)&lt;0.1*ABS(EG318),EG318-EI318,EG318)</f>
        <v>-1</v>
      </c>
      <c r="EK318" s="60" t="n">
        <f aca="false">IF(EH318,IFERROR((((EJ318+DL318)*EJ318+DM318)*EJ318+DN318)/((3*EJ318+2*DL318)*EJ318+DM318),0),0)</f>
        <v>0</v>
      </c>
      <c r="EL318" s="60" t="n">
        <f aca="false">IF(ABS(EK318)&lt;0.1*ABS(EJ318),EJ318-EK318,EJ318)</f>
        <v>-1</v>
      </c>
      <c r="EM318" s="60" t="n">
        <f aca="false">IF(EH318,MAX(EB318,EL318),EB318)</f>
        <v>0.91158844983184</v>
      </c>
      <c r="EN318" s="60" t="n">
        <f aca="false">IF(EH318,MIN(EB318,EL318),-1)</f>
        <v>-1</v>
      </c>
      <c r="EO318" s="60" t="n">
        <f aca="false">CHOOSE($C$7,DJ318/EM318,DJ318/DK318*LN(1+DK318/EM318),DJ318/(2*SQRT(2)*DK318)*LN((EM318+(1+SQRT(2))*DK318)/(EM318+(1-SQRT(2))*DK318)))</f>
        <v>0.218240791233887</v>
      </c>
      <c r="EP318" s="60" t="n">
        <f aca="false">EM318-1-LN(EM318-DK318)-EO318</f>
        <v>-0.107840271021729</v>
      </c>
      <c r="EQ318" s="60" t="n">
        <f aca="false">IF(EH318,CHOOSE($C$7,DJ318/EN318,DJ318/DK318*LN(1+DK318/EN318),DJ318/(2*SQRT(2)*DK318)*LN((EN318+(1+SQRT(2))*DK318)/(EN318+(1-SQRT(2))*DK318))),0)</f>
        <v>0</v>
      </c>
      <c r="ER318" s="60" t="n">
        <f aca="false">IF(EH318,EN318-1-LN(EN318-DK318)-EQ318,0)</f>
        <v>0</v>
      </c>
      <c r="ES318" s="60" t="n">
        <f aca="false">AND(EH318,ER318&lt;EP318)</f>
        <v>0</v>
      </c>
      <c r="ET318" s="60" t="n">
        <f aca="false">IF(ES318,EN318,EM318)</f>
        <v>0.91158844983184</v>
      </c>
      <c r="EU318" s="60" t="n">
        <f aca="false">IF(ES318,EQ318,EO318)</f>
        <v>0.218240791233887</v>
      </c>
      <c r="EV318" s="60" t="n">
        <f aca="false">LN(ET318-DK318)</f>
        <v>-0.198812070380318</v>
      </c>
      <c r="EW318" s="60" t="n">
        <f aca="false">$E$27/DI318*(ET318-1)-EV318-EU318*(2*CV318/DH318-$E$27/DI318)</f>
        <v>-0.107840271021729</v>
      </c>
      <c r="EX318" s="60" t="n">
        <f aca="false">$F$27/DI318*(ET318-1)-EV318-EU318*(2*CW318/DH318-$F$27/DI318)</f>
        <v>0.198812070380318</v>
      </c>
      <c r="EY318" s="60" t="n">
        <f aca="false">$G$27/DI318*(ET318-1)-EV318-EU318*(2*CX318/DH318-$G$27/DI318)</f>
        <v>0.198812070380318</v>
      </c>
      <c r="EZ318" s="60" t="n">
        <f aca="false">$H$27/DI318*(ET318-1)-EV318-EU318*(2*CY318/DH318-$H$27/DI318)</f>
        <v>0.198812070380318</v>
      </c>
      <c r="FA318" s="60" t="n">
        <f aca="false">$I$27/DI318*(ET318-1)-EV318-EU318*(2*CZ318/DH318-$I$27/DI318)</f>
        <v>0.198812070380318</v>
      </c>
      <c r="FB318" s="60" t="n">
        <f aca="false">$J$27/DI318*(ET318-1)-EV318-EU318*(2*DA318/DH318-$J$27/DI318)</f>
        <v>0.198812070380318</v>
      </c>
      <c r="FC318" s="60" t="n">
        <f aca="false">$K$27/DI318*(ET318-1)-EV318-EU318*(2*DB318/DH318-$K$27/DI318)</f>
        <v>0.198812070380318</v>
      </c>
      <c r="FD318" s="60" t="n">
        <f aca="false">$L$27/DI318*(ET318-1)-EV318-EU318*(2*DC318/DH318-$L$27/DI318)</f>
        <v>0.198812070380318</v>
      </c>
      <c r="FE318" s="60" t="n">
        <f aca="false">$M$27/DI318*(ET318-1)-EV318-EU318*(2*DD318/DH318-$M$27/DI318)</f>
        <v>0.198812070380318</v>
      </c>
      <c r="FF318" s="60" t="n">
        <f aca="false">$N$27/DI318*(ET318-1)-EV318-EU318*(2*DE318/DH318-$N$27/DI318)</f>
        <v>0.198812070380318</v>
      </c>
      <c r="FG318" s="60" t="n">
        <f aca="false">$O$27/DI318*(ET318-1)-EV318-EU318*(2*DF318/DH318-$O$27/DI318)</f>
        <v>0.198812070380318</v>
      </c>
      <c r="FH318" s="60" t="n">
        <f aca="false">$P$27/DI318*(ET318-1)-EV318-EU318*(2*DG318/DH318-$P$27/DI318)</f>
        <v>0.198812070380318</v>
      </c>
      <c r="FI318" s="60" t="n">
        <f aca="false">DK318/ET318&gt;$C$22</f>
        <v>0</v>
      </c>
      <c r="FJ318" s="60" t="n">
        <f aca="false">$E$28*SUMPRODUCT($E$31:$P$31,CJ318:CU318,$E$28:$P$28)</f>
        <v>0.184416866619846</v>
      </c>
      <c r="FK318" s="60" t="n">
        <f aca="false">$F$28*SUMPRODUCT($E$32:$P$32,CJ318:CU318,$E$28:$P$28)</f>
        <v>0</v>
      </c>
      <c r="FL318" s="60" t="n">
        <f aca="false">$G$28*SUMPRODUCT($E$33:$P$33,CJ318:CU318,$E$28:$P$28)</f>
        <v>0</v>
      </c>
      <c r="FM318" s="60" t="n">
        <f aca="false">$H$28*SUMPRODUCT($E$34:$P$34,CJ318:CU318,$E$28:$P$28)</f>
        <v>0</v>
      </c>
      <c r="FN318" s="60" t="n">
        <f aca="false">$I$28*SUMPRODUCT($E$35:$P$35,CJ318:CU318,$E$28:$P$28)</f>
        <v>0</v>
      </c>
      <c r="FO318" s="60" t="n">
        <f aca="false">$J$28*SUMPRODUCT($E$36:$P$36,CJ318:CU318,$E$28:$P$28)</f>
        <v>0</v>
      </c>
      <c r="FP318" s="60" t="n">
        <f aca="false">$K$28*SUMPRODUCT($E$37:$P$37,CJ318:CU318,$E$28:$P$28)</f>
        <v>0</v>
      </c>
      <c r="FQ318" s="60" t="n">
        <f aca="false">$L$28*SUMPRODUCT($E$38:$P$38,CJ318:CU318,$E$28:$P$28)</f>
        <v>0</v>
      </c>
      <c r="FR318" s="60" t="n">
        <f aca="false">$M$28*SUMPRODUCT($E$39:$P$39,CJ318:CU318,$E$28:$P$28)</f>
        <v>0</v>
      </c>
      <c r="FS318" s="60" t="n">
        <f aca="false">$N$28*SUMPRODUCT($E$40:$P$40,CJ318:CU318,$E$28:$P$28)</f>
        <v>0</v>
      </c>
      <c r="FT318" s="60" t="n">
        <f aca="false">$O$28*SUMPRODUCT($E$41:$P$41,CJ318:CU318,$E$28:$P$28)</f>
        <v>0</v>
      </c>
      <c r="FU318" s="60" t="n">
        <f aca="false">$P$28*SUMPRODUCT($E$42:$P$42,CJ318:CU318,$E$28:$P$28)</f>
        <v>0</v>
      </c>
      <c r="FV318" s="60" t="n">
        <f aca="false">SUMPRODUCT(CJ318:CU318,FJ318:FU318)</f>
        <v>0.184416866619846</v>
      </c>
      <c r="FW318" s="60" t="n">
        <f aca="false">SUMPRODUCT(CJ318:CU318,$E$27:$P$27)</f>
        <v>2.67389635063809E-005</v>
      </c>
      <c r="FX318" s="60" t="n">
        <f aca="false">FV318*$C$9/($C$10*$C$8)^2</f>
        <v>0.21776909410545</v>
      </c>
      <c r="FY318" s="60" t="n">
        <f aca="false">FW318*$C$9/($C$10*$C$8)</f>
        <v>0.0918845243259994</v>
      </c>
      <c r="FZ318" s="60" t="n">
        <f aca="false">CHOOSE($C$7,-(1+FY318),-1,-(1-FY318))</f>
        <v>-0.908115475674001</v>
      </c>
      <c r="GA318" s="60" t="n">
        <f aca="false">CHOOSE($C$7,FX318,FX318-FY318-FY318^2,FX318-3*FY318^2-2*FY318)</f>
        <v>0.00867174802160559</v>
      </c>
      <c r="GB318" s="60" t="n">
        <f aca="false">CHOOSE($C$7,-FX318*FY318,-FX318*FY318,-(FX318*FY318-FY318^2-FY318^3))</f>
        <v>-0.0107910842936637</v>
      </c>
      <c r="GC318" s="60" t="n">
        <f aca="false">GA318-FZ318^2/3</f>
        <v>-0.266219491031267</v>
      </c>
      <c r="GD318" s="60" t="n">
        <f aca="false">2*FZ318^3/27-FZ318*GA318/3+GB318</f>
        <v>-0.0636400988362784</v>
      </c>
      <c r="GE318" s="60" t="n">
        <f aca="false">GD318^2/4+GC318^3/27</f>
        <v>0.000313710901361829</v>
      </c>
      <c r="GF318" s="60" t="n">
        <f aca="false">-GD318/2-IF(GD318&gt;=0,1,-1)*SQRT(MAX(GE318,0))</f>
        <v>0.0495319352963236</v>
      </c>
      <c r="GG318" s="60" t="n">
        <f aca="false">SIGN(GF318)*ABS(GF318)^(1/3)</f>
        <v>0.367249967174439</v>
      </c>
      <c r="GH318" s="60" t="n">
        <f aca="false">IF(GG318=0,0,GG318-GC318/(3*GG318))</f>
        <v>0.60888329127384</v>
      </c>
      <c r="GI318" s="60" t="n">
        <f aca="false">2*SQRT(MAX(-GC318,0)/3)</f>
        <v>0.595784626668918</v>
      </c>
      <c r="GJ318" s="60" t="n">
        <f aca="false">ACOS(IF(GI318=0,0,MAX(-1,MIN(1,3*GD318/(GC318*GI318)))))</f>
        <v>0</v>
      </c>
      <c r="GK318" s="60" t="n">
        <f aca="false">GI318*COS(GJ318/3)</f>
        <v>0.595784626668918</v>
      </c>
      <c r="GL318" s="60" t="n">
        <f aca="false">IF(GE318&lt;0,GK318,GH318)-FZ318/3</f>
        <v>0.91158844983184</v>
      </c>
      <c r="GM318" s="60" t="n">
        <f aca="false">IFERROR((((GL318+FZ318)*GL318+GA318)*GL318+GB318)/((3*GL318+2*FZ318)*GL318+GA318),0)</f>
        <v>0</v>
      </c>
      <c r="GN318" s="60" t="n">
        <f aca="false">IF(ABS(GM318)&lt;0.1*ABS(GL318),GL318-GM318,GL318)</f>
        <v>0.91158844983184</v>
      </c>
      <c r="GO318" s="60" t="n">
        <f aca="false">IFERROR((((GN318+FZ318)*GN318+GA318)*GN318+GB318)/((3*GN318+2*FZ318)*GN318+GA318),0)</f>
        <v>0</v>
      </c>
      <c r="GP318" s="60" t="n">
        <f aca="false">IF(ABS(GO318)&lt;0.1*ABS(GN318),GN318-GO318,GN318)</f>
        <v>0.91158844983184</v>
      </c>
      <c r="GQ318" s="60" t="n">
        <f aca="false">-GB318/GP318</f>
        <v>0.0118376711504565</v>
      </c>
      <c r="GR318" s="60" t="n">
        <f aca="false">(GA318-GQ318)/GP318</f>
        <v>-0.00347297415783941</v>
      </c>
      <c r="GS318" s="60" t="n">
        <f aca="false">GR318^2-4*GQ318</f>
        <v>-0.0473386230523248</v>
      </c>
      <c r="GT318" s="60" t="n">
        <f aca="false">IF(GS318&gt;=0,(GR318+IF(GR318&gt;=0,1,-1)*SQRT(GS318))/2,0)</f>
        <v>0</v>
      </c>
      <c r="GU318" s="60" t="n">
        <f aca="false">IF(AND(GS318&gt;=0,GT318&lt;&gt;0),MIN(GT318,GQ318/GT318),-1)</f>
        <v>-1</v>
      </c>
      <c r="GV318" s="60" t="n">
        <f aca="false">AND(GS318&gt;=0,GU318&gt;FY318,ABS(GP318-GU318)&gt;=0.00005*MAX(GP318,GU318))</f>
        <v>0</v>
      </c>
      <c r="GW318" s="60" t="n">
        <f aca="false">IF(GV318,IFERROR((((GU318+FZ318)*GU318+GA318)*GU318+GB318)/((3*GU318+2*FZ318)*GU318+GA318),0),0)</f>
        <v>0</v>
      </c>
      <c r="GX318" s="60" t="n">
        <f aca="false">IF(ABS(GW318)&lt;0.1*ABS(GU318),GU318-GW318,GU318)</f>
        <v>-1</v>
      </c>
      <c r="GY318" s="60" t="n">
        <f aca="false">IF(GV318,IFERROR((((GX318+FZ318)*GX318+GA318)*GX318+GB318)/((3*GX318+2*FZ318)*GX318+GA318),0),0)</f>
        <v>0</v>
      </c>
      <c r="GZ318" s="60" t="n">
        <f aca="false">IF(ABS(GY318)&lt;0.1*ABS(GX318),GX318-GY318,GX318)</f>
        <v>-1</v>
      </c>
      <c r="HA318" s="60" t="n">
        <f aca="false">IF(GV318,MAX(GP318,GZ318),GP318)</f>
        <v>0.91158844983184</v>
      </c>
      <c r="HB318" s="60" t="n">
        <f aca="false">IF(GV318,MIN(GP318,GZ318),-1)</f>
        <v>-1</v>
      </c>
      <c r="HC318" s="60" t="n">
        <f aca="false">CHOOSE($C$7,FX318/HA318,FX318/FY318*LN(1+FY318/HA318),FX318/(2*SQRT(2)*FY318)*LN((HA318+(1+SQRT(2))*FY318)/(HA318+(1-SQRT(2))*FY318)))</f>
        <v>0.218240791233887</v>
      </c>
      <c r="HD318" s="60" t="n">
        <f aca="false">HA318-1-LN(HA318-FY318)-HC318</f>
        <v>-0.107840271021729</v>
      </c>
      <c r="HE318" s="60" t="n">
        <f aca="false">IF(GV318,CHOOSE($C$7,FX318/HB318,FX318/FY318*LN(1+FY318/HB318),FX318/(2*SQRT(2)*FY318)*LN((HB318+(1+SQRT(2))*FY318)/(HB318+(1-SQRT(2))*FY318))),0)</f>
        <v>0</v>
      </c>
      <c r="HF318" s="60" t="n">
        <f aca="false">IF(GV318,HB318-1-LN(HB318-FY318)-HE318,0)</f>
        <v>0</v>
      </c>
      <c r="HG318" s="60" t="n">
        <f aca="false">AND(GV318,HF318&lt;HD318)</f>
        <v>0</v>
      </c>
      <c r="HH318" s="60" t="n">
        <f aca="false">IF(HG318,HB318,HA318)</f>
        <v>0.91158844983184</v>
      </c>
      <c r="HI318" s="60" t="n">
        <f aca="false">IF(HG318,HE318,HC318)</f>
        <v>0.218240791233887</v>
      </c>
      <c r="HJ318" s="60" t="n">
        <f aca="false">LN(HH318-FY318)</f>
        <v>-0.198812070380318</v>
      </c>
      <c r="HK318" s="60" t="n">
        <f aca="false">$E$27/FW318*(HH318-1)-HJ318-HI318*(2*FJ318/FV318-$E$27/FW318)</f>
        <v>-0.107840271021729</v>
      </c>
      <c r="HL318" s="60" t="n">
        <f aca="false">$F$27/FW318*(HH318-1)-HJ318-HI318*(2*FK318/FV318-$F$27/FW318)</f>
        <v>0.198812070380318</v>
      </c>
      <c r="HM318" s="60" t="n">
        <f aca="false">$G$27/FW318*(HH318-1)-HJ318-HI318*(2*FL318/FV318-$G$27/FW318)</f>
        <v>0.198812070380318</v>
      </c>
      <c r="HN318" s="60" t="n">
        <f aca="false">$H$27/FW318*(HH318-1)-HJ318-HI318*(2*FM318/FV318-$H$27/FW318)</f>
        <v>0.198812070380318</v>
      </c>
      <c r="HO318" s="60" t="n">
        <f aca="false">$I$27/FW318*(HH318-1)-HJ318-HI318*(2*FN318/FV318-$I$27/FW318)</f>
        <v>0.198812070380318</v>
      </c>
      <c r="HP318" s="60" t="n">
        <f aca="false">$J$27/FW318*(HH318-1)-HJ318-HI318*(2*FO318/FV318-$J$27/FW318)</f>
        <v>0.198812070380318</v>
      </c>
      <c r="HQ318" s="60" t="n">
        <f aca="false">$K$27/FW318*(HH318-1)-HJ318-HI318*(2*FP318/FV318-$K$27/FW318)</f>
        <v>0.198812070380318</v>
      </c>
      <c r="HR318" s="60" t="n">
        <f aca="false">$L$27/FW318*(HH318-1)-HJ318-HI318*(2*FQ318/FV318-$L$27/FW318)</f>
        <v>0.198812070380318</v>
      </c>
      <c r="HS318" s="60" t="n">
        <f aca="false">$M$27/FW318*(HH318-1)-HJ318-HI318*(2*FR318/FV318-$M$27/FW318)</f>
        <v>0.198812070380318</v>
      </c>
      <c r="HT318" s="60" t="n">
        <f aca="false">$N$27/FW318*(HH318-1)-HJ318-HI318*(2*FS318/FV318-$N$27/FW318)</f>
        <v>0.198812070380318</v>
      </c>
      <c r="HU318" s="60" t="n">
        <f aca="false">$O$27/FW318*(HH318-1)-HJ318-HI318*(2*FT318/FV318-$O$27/FW318)</f>
        <v>0.198812070380318</v>
      </c>
      <c r="HV318" s="60" t="n">
        <f aca="false">$P$27/FW318*(HH318-1)-HJ318-HI318*(2*FU318/FV318-$P$27/FW318)</f>
        <v>0.198812070380318</v>
      </c>
      <c r="HW318" s="60" t="n">
        <f aca="false">FY318/HH318&gt;$C$22</f>
        <v>0</v>
      </c>
      <c r="HX318" s="60" t="n">
        <f aca="false">IF($E$13&gt;0,MAX(-300,MIN(300,EW318-HK318)),0)</f>
        <v>0</v>
      </c>
      <c r="HY318" s="60" t="n">
        <f aca="false">IF($F$13&gt;0,MAX(-300,MIN(300,EX318-HL318)),0)</f>
        <v>0</v>
      </c>
      <c r="HZ318" s="60" t="n">
        <f aca="false">IF($G$13&gt;0,MAX(-300,MIN(300,EY318-HM318)),0)</f>
        <v>0</v>
      </c>
      <c r="IA318" s="60" t="n">
        <f aca="false">IF($H$13&gt;0,MAX(-300,MIN(300,EZ318-HN318)),0)</f>
        <v>0</v>
      </c>
      <c r="IB318" s="60" t="n">
        <f aca="false">IF($I$13&gt;0,MAX(-300,MIN(300,FA318-HO318)),0)</f>
        <v>0</v>
      </c>
      <c r="IC318" s="60" t="n">
        <f aca="false">IF($J$13&gt;0,MAX(-300,MIN(300,FB318-HP318)),0)</f>
        <v>0</v>
      </c>
      <c r="ID318" s="60" t="n">
        <f aca="false">IF($K$13&gt;0,MAX(-300,MIN(300,FC318-HQ318)),0)</f>
        <v>0</v>
      </c>
      <c r="IE318" s="60" t="n">
        <f aca="false">IF($L$13&gt;0,MAX(-300,MIN(300,FD318-HR318)),0)</f>
        <v>0</v>
      </c>
      <c r="IF318" s="60" t="n">
        <f aca="false">IF($M$13&gt;0,MAX(-300,MIN(300,FE318-HS318)),0)</f>
        <v>0</v>
      </c>
      <c r="IG318" s="60" t="n">
        <f aca="false">IF($N$13&gt;0,MAX(-300,MIN(300,FF318-HT318)),0)</f>
        <v>0</v>
      </c>
      <c r="IH318" s="60" t="n">
        <f aca="false">IF($O$13&gt;0,MAX(-300,MIN(300,FG318-HU318)),0)</f>
        <v>0</v>
      </c>
      <c r="II318" s="60" t="n">
        <f aca="false">IF($P$13&gt;0,MAX(-300,MIN(300,FH318-HV318)),0)</f>
        <v>0</v>
      </c>
      <c r="IJ318" s="60" t="n">
        <f aca="false">SUMXMY2(HX318:II318,B318:M318)</f>
        <v>0</v>
      </c>
      <c r="IK318" s="60" t="n">
        <f aca="false">SUMSQ(B318:M318)</f>
        <v>0</v>
      </c>
    </row>
    <row r="319" customFormat="false" ht="15" hidden="false" customHeight="false" outlineLevel="0" collapsed="false">
      <c r="A319" s="59" t="n">
        <v>22</v>
      </c>
      <c r="B319" s="60" t="n">
        <f aca="false">HX318</f>
        <v>0</v>
      </c>
      <c r="C319" s="60" t="n">
        <f aca="false">HY318</f>
        <v>0</v>
      </c>
      <c r="D319" s="60" t="n">
        <f aca="false">HZ318</f>
        <v>0</v>
      </c>
      <c r="E319" s="60" t="n">
        <f aca="false">IA318</f>
        <v>0</v>
      </c>
      <c r="F319" s="60" t="n">
        <f aca="false">IB318</f>
        <v>0</v>
      </c>
      <c r="G319" s="60" t="n">
        <f aca="false">IC318</f>
        <v>0</v>
      </c>
      <c r="H319" s="60" t="n">
        <f aca="false">ID318</f>
        <v>0</v>
      </c>
      <c r="I319" s="60" t="n">
        <f aca="false">IE318</f>
        <v>0</v>
      </c>
      <c r="J319" s="60" t="n">
        <f aca="false">IF318</f>
        <v>0</v>
      </c>
      <c r="K319" s="60" t="n">
        <f aca="false">IG318</f>
        <v>0</v>
      </c>
      <c r="L319" s="60" t="n">
        <f aca="false">IH318</f>
        <v>0</v>
      </c>
      <c r="M319" s="60" t="n">
        <f aca="false">II318</f>
        <v>0</v>
      </c>
      <c r="N319" s="60" t="n">
        <f aca="false">EXP(B319)</f>
        <v>1</v>
      </c>
      <c r="O319" s="60" t="n">
        <f aca="false">EXP(C319)</f>
        <v>1</v>
      </c>
      <c r="P319" s="60" t="n">
        <f aca="false">EXP(D319)</f>
        <v>1</v>
      </c>
      <c r="Q319" s="60" t="n">
        <f aca="false">EXP(E319)</f>
        <v>1</v>
      </c>
      <c r="R319" s="60" t="n">
        <f aca="false">EXP(F319)</f>
        <v>1</v>
      </c>
      <c r="S319" s="60" t="n">
        <f aca="false">EXP(G319)</f>
        <v>1</v>
      </c>
      <c r="T319" s="60" t="n">
        <f aca="false">EXP(H319)</f>
        <v>1</v>
      </c>
      <c r="U319" s="60" t="n">
        <f aca="false">EXP(I319)</f>
        <v>1</v>
      </c>
      <c r="V319" s="60" t="n">
        <f aca="false">EXP(J319)</f>
        <v>1</v>
      </c>
      <c r="W319" s="60" t="n">
        <f aca="false">EXP(K319)</f>
        <v>1</v>
      </c>
      <c r="X319" s="60" t="n">
        <f aca="false">EXP(L319)</f>
        <v>1</v>
      </c>
      <c r="Y319" s="60" t="n">
        <f aca="false">EXP(M319)</f>
        <v>1</v>
      </c>
      <c r="Z319" s="60" t="n">
        <f aca="false">MAX(N319:Y319)</f>
        <v>1</v>
      </c>
      <c r="AA319" s="60" t="n">
        <f aca="false">MIN(N319:Y319)</f>
        <v>1</v>
      </c>
      <c r="AB319" s="60" t="n">
        <f aca="false">AND(Z319&gt;1,AA319&lt;1)</f>
        <v>0</v>
      </c>
      <c r="AC319" s="60" t="n">
        <f aca="false">IF(AB319,1/(1-Z319),0)</f>
        <v>0</v>
      </c>
      <c r="AD319" s="60" t="n">
        <f aca="false">IF(AB319,1/(1-AA319),1)</f>
        <v>1</v>
      </c>
      <c r="AE319" s="60" t="n">
        <f aca="false">IF(AB319,MIN(MAX(BI318,AC319+0.000000001*(AD319-AC319)),AD319-0.000000001*(AD319-AC319)),IF(AA319&gt;=1,1,0))</f>
        <v>1</v>
      </c>
      <c r="AF319" s="60" t="n">
        <f aca="false">SUMPRODUCT($E$13:$P$13*(N319:Y319-1)/(1+AE319*(N319:Y319-1)))</f>
        <v>0</v>
      </c>
      <c r="AG319" s="60" t="n">
        <f aca="false">-SUMPRODUCT($E$13:$P$13*(N319:Y319-1)^2/(1+AE319*(N319:Y319-1))^2)</f>
        <v>-0</v>
      </c>
      <c r="AH319" s="60" t="n">
        <f aca="false">IF(OR(NOT(AB319),AG319=0),AE319,IF(AE319-AF319/AG319&lt;=AC319,(AE319+AC319)/2,IF(AE319-AF319/AG319&gt;=AD319,(AE319+AD319)/2,AE319-AF319/AG319)))</f>
        <v>1</v>
      </c>
      <c r="AI319" s="60" t="n">
        <f aca="false">SUMPRODUCT($E$13:$P$13*(N319:Y319-1)/(1+AH319*(N319:Y319-1)))</f>
        <v>0</v>
      </c>
      <c r="AJ319" s="60" t="n">
        <f aca="false">-SUMPRODUCT($E$13:$P$13*(N319:Y319-1)^2/(1+AH319*(N319:Y319-1))^2)</f>
        <v>-0</v>
      </c>
      <c r="AK319" s="60" t="n">
        <f aca="false">IF(OR(NOT(AB319),AJ319=0),AH319,IF(AH319-AI319/AJ319&lt;=AC319,(AH319+AC319)/2,IF(AH319-AI319/AJ319&gt;=AD319,(AH319+AD319)/2,AH319-AI319/AJ319)))</f>
        <v>1</v>
      </c>
      <c r="AL319" s="60" t="n">
        <f aca="false">SUMPRODUCT($E$13:$P$13*(N319:Y319-1)/(1+AK319*(N319:Y319-1)))</f>
        <v>0</v>
      </c>
      <c r="AM319" s="60" t="n">
        <f aca="false">-SUMPRODUCT($E$13:$P$13*(N319:Y319-1)^2/(1+AK319*(N319:Y319-1))^2)</f>
        <v>-0</v>
      </c>
      <c r="AN319" s="60" t="n">
        <f aca="false">IF(OR(NOT(AB319),AM319=0),AK319,IF(AK319-AL319/AM319&lt;=AC319,(AK319+AC319)/2,IF(AK319-AL319/AM319&gt;=AD319,(AK319+AD319)/2,AK319-AL319/AM319)))</f>
        <v>1</v>
      </c>
      <c r="AO319" s="60" t="n">
        <f aca="false">SUMPRODUCT($E$13:$P$13*(N319:Y319-1)/(1+AN319*(N319:Y319-1)))</f>
        <v>0</v>
      </c>
      <c r="AP319" s="60" t="n">
        <f aca="false">-SUMPRODUCT($E$13:$P$13*(N319:Y319-1)^2/(1+AN319*(N319:Y319-1))^2)</f>
        <v>-0</v>
      </c>
      <c r="AQ319" s="60" t="n">
        <f aca="false">IF(OR(NOT(AB319),AP319=0),AN319,IF(AN319-AO319/AP319&lt;=AC319,(AN319+AC319)/2,IF(AN319-AO319/AP319&gt;=AD319,(AN319+AD319)/2,AN319-AO319/AP319)))</f>
        <v>1</v>
      </c>
      <c r="AR319" s="60" t="n">
        <f aca="false">SUMPRODUCT($E$13:$P$13*(N319:Y319-1)/(1+AQ319*(N319:Y319-1)))</f>
        <v>0</v>
      </c>
      <c r="AS319" s="60" t="n">
        <f aca="false">-SUMPRODUCT($E$13:$P$13*(N319:Y319-1)^2/(1+AQ319*(N319:Y319-1))^2)</f>
        <v>-0</v>
      </c>
      <c r="AT319" s="60" t="n">
        <f aca="false">IF(OR(NOT(AB319),AS319=0),AQ319,IF(AQ319-AR319/AS319&lt;=AC319,(AQ319+AC319)/2,IF(AQ319-AR319/AS319&gt;=AD319,(AQ319+AD319)/2,AQ319-AR319/AS319)))</f>
        <v>1</v>
      </c>
      <c r="AU319" s="60" t="n">
        <f aca="false">SUMPRODUCT($E$13:$P$13*(N319:Y319-1)/(1+AT319*(N319:Y319-1)))</f>
        <v>0</v>
      </c>
      <c r="AV319" s="60" t="n">
        <f aca="false">-SUMPRODUCT($E$13:$P$13*(N319:Y319-1)^2/(1+AT319*(N319:Y319-1))^2)</f>
        <v>-0</v>
      </c>
      <c r="AW319" s="60" t="n">
        <f aca="false">IF(OR(NOT(AB319),AV319=0),AT319,IF(AT319-AU319/AV319&lt;=AC319,(AT319+AC319)/2,IF(AT319-AU319/AV319&gt;=AD319,(AT319+AD319)/2,AT319-AU319/AV319)))</f>
        <v>1</v>
      </c>
      <c r="AX319" s="60" t="n">
        <f aca="false">SUMPRODUCT($E$13:$P$13*(N319:Y319-1)/(1+AW319*(N319:Y319-1)))</f>
        <v>0</v>
      </c>
      <c r="AY319" s="60" t="n">
        <f aca="false">-SUMPRODUCT($E$13:$P$13*(N319:Y319-1)^2/(1+AW319*(N319:Y319-1))^2)</f>
        <v>-0</v>
      </c>
      <c r="AZ319" s="60" t="n">
        <f aca="false">IF(OR(NOT(AB319),AY319=0),AW319,IF(AW319-AX319/AY319&lt;=AC319,(AW319+AC319)/2,IF(AW319-AX319/AY319&gt;=AD319,(AW319+AD319)/2,AW319-AX319/AY319)))</f>
        <v>1</v>
      </c>
      <c r="BA319" s="60" t="n">
        <f aca="false">SUMPRODUCT($E$13:$P$13*(N319:Y319-1)/(1+AZ319*(N319:Y319-1)))</f>
        <v>0</v>
      </c>
      <c r="BB319" s="60" t="n">
        <f aca="false">-SUMPRODUCT($E$13:$P$13*(N319:Y319-1)^2/(1+AZ319*(N319:Y319-1))^2)</f>
        <v>-0</v>
      </c>
      <c r="BC319" s="60" t="n">
        <f aca="false">IF(OR(NOT(AB319),BB319=0),AZ319,IF(AZ319-BA319/BB319&lt;=AC319,(AZ319+AC319)/2,IF(AZ319-BA319/BB319&gt;=AD319,(AZ319+AD319)/2,AZ319-BA319/BB319)))</f>
        <v>1</v>
      </c>
      <c r="BD319" s="60" t="n">
        <f aca="false">SUMPRODUCT($E$13:$P$13*(N319:Y319-1)/(1+BC319*(N319:Y319-1)))</f>
        <v>0</v>
      </c>
      <c r="BE319" s="60" t="n">
        <f aca="false">-SUMPRODUCT($E$13:$P$13*(N319:Y319-1)^2/(1+BC319*(N319:Y319-1))^2)</f>
        <v>-0</v>
      </c>
      <c r="BF319" s="60" t="n">
        <f aca="false">IF(OR(NOT(AB319),BE319=0),BC319,IF(BC319-BD319/BE319&lt;=AC319,(BC319+AC319)/2,IF(BC319-BD319/BE319&gt;=AD319,(BC319+AD319)/2,BC319-BD319/BE319)))</f>
        <v>1</v>
      </c>
      <c r="BG319" s="60" t="n">
        <f aca="false">SUMPRODUCT($E$13:$P$13*(N319:Y319-1)/(1+BF319*(N319:Y319-1)))</f>
        <v>0</v>
      </c>
      <c r="BH319" s="60" t="n">
        <f aca="false">-SUMPRODUCT($E$13:$P$13*(N319:Y319-1)^2/(1+BF319*(N319:Y319-1))^2)</f>
        <v>-0</v>
      </c>
      <c r="BI319" s="60" t="n">
        <f aca="false">IF(OR(NOT(AB319),BH319=0),BF319,IF(BF319-BG319/BH319&lt;=AC319,(BF319+AC319)/2,IF(BF319-BG319/BH319&gt;=AD319,(BF319+AD319)/2,BF319-BG319/BH319)))</f>
        <v>1</v>
      </c>
      <c r="BJ319" s="60" t="n">
        <f aca="false">$E$13/(1+BI319*(N319-1))</f>
        <v>1</v>
      </c>
      <c r="BK319" s="60" t="n">
        <f aca="false">$F$13/(1+BI319*(O319-1))</f>
        <v>0</v>
      </c>
      <c r="BL319" s="60" t="n">
        <f aca="false">$G$13/(1+BI319*(P319-1))</f>
        <v>0</v>
      </c>
      <c r="BM319" s="60" t="n">
        <f aca="false">$H$13/(1+BI319*(Q319-1))</f>
        <v>0</v>
      </c>
      <c r="BN319" s="60" t="n">
        <f aca="false">$I$13/(1+BI319*(R319-1))</f>
        <v>0</v>
      </c>
      <c r="BO319" s="60" t="n">
        <f aca="false">$J$13/(1+BI319*(S319-1))</f>
        <v>0</v>
      </c>
      <c r="BP319" s="60" t="n">
        <f aca="false">$K$13/(1+BI319*(T319-1))</f>
        <v>0</v>
      </c>
      <c r="BQ319" s="60" t="n">
        <f aca="false">$L$13/(1+BI319*(U319-1))</f>
        <v>0</v>
      </c>
      <c r="BR319" s="60" t="n">
        <f aca="false">$M$13/(1+BI319*(V319-1))</f>
        <v>0</v>
      </c>
      <c r="BS319" s="60" t="n">
        <f aca="false">$N$13/(1+BI319*(W319-1))</f>
        <v>0</v>
      </c>
      <c r="BT319" s="60" t="n">
        <f aca="false">$O$13/(1+BI319*(X319-1))</f>
        <v>0</v>
      </c>
      <c r="BU319" s="60" t="n">
        <f aca="false">$P$13/(1+BI319*(Y319-1))</f>
        <v>0</v>
      </c>
      <c r="BV319" s="60" t="n">
        <f aca="false">SUM(BJ319:BU319)</f>
        <v>1</v>
      </c>
      <c r="BW319" s="60" t="n">
        <f aca="false">SUMPRODUCT(N319:Y319,BJ319:BU319)</f>
        <v>1</v>
      </c>
      <c r="BX319" s="60" t="n">
        <f aca="false">BJ319/BV319</f>
        <v>1</v>
      </c>
      <c r="BY319" s="60" t="n">
        <f aca="false">BK319/BV319</f>
        <v>0</v>
      </c>
      <c r="BZ319" s="60" t="n">
        <f aca="false">BL319/BV319</f>
        <v>0</v>
      </c>
      <c r="CA319" s="60" t="n">
        <f aca="false">BM319/BV319</f>
        <v>0</v>
      </c>
      <c r="CB319" s="60" t="n">
        <f aca="false">BN319/BV319</f>
        <v>0</v>
      </c>
      <c r="CC319" s="60" t="n">
        <f aca="false">BO319/BV319</f>
        <v>0</v>
      </c>
      <c r="CD319" s="60" t="n">
        <f aca="false">BP319/BV319</f>
        <v>0</v>
      </c>
      <c r="CE319" s="60" t="n">
        <f aca="false">BQ319/BV319</f>
        <v>0</v>
      </c>
      <c r="CF319" s="60" t="n">
        <f aca="false">BR319/BV319</f>
        <v>0</v>
      </c>
      <c r="CG319" s="60" t="n">
        <f aca="false">BS319/BV319</f>
        <v>0</v>
      </c>
      <c r="CH319" s="60" t="n">
        <f aca="false">BT319/BV319</f>
        <v>0</v>
      </c>
      <c r="CI319" s="60" t="n">
        <f aca="false">BU319/BV319</f>
        <v>0</v>
      </c>
      <c r="CJ319" s="60" t="n">
        <f aca="false">N319*BJ319/BW319</f>
        <v>1</v>
      </c>
      <c r="CK319" s="60" t="n">
        <f aca="false">O319*BK319/BW319</f>
        <v>0</v>
      </c>
      <c r="CL319" s="60" t="n">
        <f aca="false">P319*BL319/BW319</f>
        <v>0</v>
      </c>
      <c r="CM319" s="60" t="n">
        <f aca="false">Q319*BM319/BW319</f>
        <v>0</v>
      </c>
      <c r="CN319" s="60" t="n">
        <f aca="false">R319*BN319/BW319</f>
        <v>0</v>
      </c>
      <c r="CO319" s="60" t="n">
        <f aca="false">S319*BO319/BW319</f>
        <v>0</v>
      </c>
      <c r="CP319" s="60" t="n">
        <f aca="false">T319*BP319/BW319</f>
        <v>0</v>
      </c>
      <c r="CQ319" s="60" t="n">
        <f aca="false">U319*BQ319/BW319</f>
        <v>0</v>
      </c>
      <c r="CR319" s="60" t="n">
        <f aca="false">V319*BR319/BW319</f>
        <v>0</v>
      </c>
      <c r="CS319" s="60" t="n">
        <f aca="false">W319*BS319/BW319</f>
        <v>0</v>
      </c>
      <c r="CT319" s="60" t="n">
        <f aca="false">X319*BT319/BW319</f>
        <v>0</v>
      </c>
      <c r="CU319" s="60" t="n">
        <f aca="false">Y319*BU319/BW319</f>
        <v>0</v>
      </c>
      <c r="CV319" s="60" t="n">
        <f aca="false">$E$28*SUMPRODUCT($E$31:$P$31,BX319:CI319,$E$28:$P$28)</f>
        <v>0.184416866619846</v>
      </c>
      <c r="CW319" s="60" t="n">
        <f aca="false">$F$28*SUMPRODUCT($E$32:$P$32,BX319:CI319,$E$28:$P$28)</f>
        <v>0</v>
      </c>
      <c r="CX319" s="60" t="n">
        <f aca="false">$G$28*SUMPRODUCT($E$33:$P$33,BX319:CI319,$E$28:$P$28)</f>
        <v>0</v>
      </c>
      <c r="CY319" s="60" t="n">
        <f aca="false">$H$28*SUMPRODUCT($E$34:$P$34,BX319:CI319,$E$28:$P$28)</f>
        <v>0</v>
      </c>
      <c r="CZ319" s="60" t="n">
        <f aca="false">$I$28*SUMPRODUCT($E$35:$P$35,BX319:CI319,$E$28:$P$28)</f>
        <v>0</v>
      </c>
      <c r="DA319" s="60" t="n">
        <f aca="false">$J$28*SUMPRODUCT($E$36:$P$36,BX319:CI319,$E$28:$P$28)</f>
        <v>0</v>
      </c>
      <c r="DB319" s="60" t="n">
        <f aca="false">$K$28*SUMPRODUCT($E$37:$P$37,BX319:CI319,$E$28:$P$28)</f>
        <v>0</v>
      </c>
      <c r="DC319" s="60" t="n">
        <f aca="false">$L$28*SUMPRODUCT($E$38:$P$38,BX319:CI319,$E$28:$P$28)</f>
        <v>0</v>
      </c>
      <c r="DD319" s="60" t="n">
        <f aca="false">$M$28*SUMPRODUCT($E$39:$P$39,BX319:CI319,$E$28:$P$28)</f>
        <v>0</v>
      </c>
      <c r="DE319" s="60" t="n">
        <f aca="false">$N$28*SUMPRODUCT($E$40:$P$40,BX319:CI319,$E$28:$P$28)</f>
        <v>0</v>
      </c>
      <c r="DF319" s="60" t="n">
        <f aca="false">$O$28*SUMPRODUCT($E$41:$P$41,BX319:CI319,$E$28:$P$28)</f>
        <v>0</v>
      </c>
      <c r="DG319" s="60" t="n">
        <f aca="false">$P$28*SUMPRODUCT($E$42:$P$42,BX319:CI319,$E$28:$P$28)</f>
        <v>0</v>
      </c>
      <c r="DH319" s="60" t="n">
        <f aca="false">SUMPRODUCT(BX319:CI319,CV319:DG319)</f>
        <v>0.184416866619846</v>
      </c>
      <c r="DI319" s="60" t="n">
        <f aca="false">SUMPRODUCT(BX319:CI319,$E$27:$P$27)</f>
        <v>2.67389635063809E-005</v>
      </c>
      <c r="DJ319" s="60" t="n">
        <f aca="false">DH319*$C$9/($C$10*$C$8)^2</f>
        <v>0.21776909410545</v>
      </c>
      <c r="DK319" s="60" t="n">
        <f aca="false">DI319*$C$9/($C$10*$C$8)</f>
        <v>0.0918845243259994</v>
      </c>
      <c r="DL319" s="60" t="n">
        <f aca="false">CHOOSE($C$7,-(1+DK319),-1,-(1-DK319))</f>
        <v>-0.908115475674001</v>
      </c>
      <c r="DM319" s="60" t="n">
        <f aca="false">CHOOSE($C$7,DJ319,DJ319-DK319-DK319^2,DJ319-3*DK319^2-2*DK319)</f>
        <v>0.00867174802160559</v>
      </c>
      <c r="DN319" s="60" t="n">
        <f aca="false">CHOOSE($C$7,-DJ319*DK319,-DJ319*DK319,-(DJ319*DK319-DK319^2-DK319^3))</f>
        <v>-0.0107910842936637</v>
      </c>
      <c r="DO319" s="60" t="n">
        <f aca="false">DM319-DL319^2/3</f>
        <v>-0.266219491031267</v>
      </c>
      <c r="DP319" s="60" t="n">
        <f aca="false">2*DL319^3/27-DL319*DM319/3+DN319</f>
        <v>-0.0636400988362784</v>
      </c>
      <c r="DQ319" s="60" t="n">
        <f aca="false">DP319^2/4+DO319^3/27</f>
        <v>0.000313710901361829</v>
      </c>
      <c r="DR319" s="60" t="n">
        <f aca="false">-DP319/2-IF(DP319&gt;=0,1,-1)*SQRT(MAX(DQ319,0))</f>
        <v>0.0495319352963236</v>
      </c>
      <c r="DS319" s="60" t="n">
        <f aca="false">SIGN(DR319)*ABS(DR319)^(1/3)</f>
        <v>0.367249967174439</v>
      </c>
      <c r="DT319" s="60" t="n">
        <f aca="false">IF(DS319=0,0,DS319-DO319/(3*DS319))</f>
        <v>0.60888329127384</v>
      </c>
      <c r="DU319" s="60" t="n">
        <f aca="false">2*SQRT(MAX(-DO319,0)/3)</f>
        <v>0.595784626668918</v>
      </c>
      <c r="DV319" s="60" t="n">
        <f aca="false">ACOS(IF(DU319=0,0,MAX(-1,MIN(1,3*DP319/(DO319*DU319)))))</f>
        <v>0</v>
      </c>
      <c r="DW319" s="60" t="n">
        <f aca="false">DU319*COS(DV319/3)</f>
        <v>0.595784626668918</v>
      </c>
      <c r="DX319" s="60" t="n">
        <f aca="false">IF(DQ319&lt;0,DW319,DT319)-DL319/3</f>
        <v>0.91158844983184</v>
      </c>
      <c r="DY319" s="60" t="n">
        <f aca="false">IFERROR((((DX319+DL319)*DX319+DM319)*DX319+DN319)/((3*DX319+2*DL319)*DX319+DM319),0)</f>
        <v>0</v>
      </c>
      <c r="DZ319" s="60" t="n">
        <f aca="false">IF(ABS(DY319)&lt;0.1*ABS(DX319),DX319-DY319,DX319)</f>
        <v>0.91158844983184</v>
      </c>
      <c r="EA319" s="60" t="n">
        <f aca="false">IFERROR((((DZ319+DL319)*DZ319+DM319)*DZ319+DN319)/((3*DZ319+2*DL319)*DZ319+DM319),0)</f>
        <v>0</v>
      </c>
      <c r="EB319" s="60" t="n">
        <f aca="false">IF(ABS(EA319)&lt;0.1*ABS(DZ319),DZ319-EA319,DZ319)</f>
        <v>0.91158844983184</v>
      </c>
      <c r="EC319" s="60" t="n">
        <f aca="false">-DN319/EB319</f>
        <v>0.0118376711504565</v>
      </c>
      <c r="ED319" s="60" t="n">
        <f aca="false">(DM319-EC319)/EB319</f>
        <v>-0.00347297415783941</v>
      </c>
      <c r="EE319" s="60" t="n">
        <f aca="false">ED319^2-4*EC319</f>
        <v>-0.0473386230523248</v>
      </c>
      <c r="EF319" s="60" t="n">
        <f aca="false">IF(EE319&gt;=0,(ED319+IF(ED319&gt;=0,1,-1)*SQRT(EE319))/2,0)</f>
        <v>0</v>
      </c>
      <c r="EG319" s="60" t="n">
        <f aca="false">IF(AND(EE319&gt;=0,EF319&lt;&gt;0),MIN(EF319,EC319/EF319),-1)</f>
        <v>-1</v>
      </c>
      <c r="EH319" s="60" t="n">
        <f aca="false">AND(EE319&gt;=0,EG319&gt;DK319,ABS(EB319-EG319)&gt;=0.00005*MAX(EB319,EG319))</f>
        <v>0</v>
      </c>
      <c r="EI319" s="60" t="n">
        <f aca="false">IF(EH319,IFERROR((((EG319+DL319)*EG319+DM319)*EG319+DN319)/((3*EG319+2*DL319)*EG319+DM319),0),0)</f>
        <v>0</v>
      </c>
      <c r="EJ319" s="60" t="n">
        <f aca="false">IF(ABS(EI319)&lt;0.1*ABS(EG319),EG319-EI319,EG319)</f>
        <v>-1</v>
      </c>
      <c r="EK319" s="60" t="n">
        <f aca="false">IF(EH319,IFERROR((((EJ319+DL319)*EJ319+DM319)*EJ319+DN319)/((3*EJ319+2*DL319)*EJ319+DM319),0),0)</f>
        <v>0</v>
      </c>
      <c r="EL319" s="60" t="n">
        <f aca="false">IF(ABS(EK319)&lt;0.1*ABS(EJ319),EJ319-EK319,EJ319)</f>
        <v>-1</v>
      </c>
      <c r="EM319" s="60" t="n">
        <f aca="false">IF(EH319,MAX(EB319,EL319),EB319)</f>
        <v>0.91158844983184</v>
      </c>
      <c r="EN319" s="60" t="n">
        <f aca="false">IF(EH319,MIN(EB319,EL319),-1)</f>
        <v>-1</v>
      </c>
      <c r="EO319" s="60" t="n">
        <f aca="false">CHOOSE($C$7,DJ319/EM319,DJ319/DK319*LN(1+DK319/EM319),DJ319/(2*SQRT(2)*DK319)*LN((EM319+(1+SQRT(2))*DK319)/(EM319+(1-SQRT(2))*DK319)))</f>
        <v>0.218240791233887</v>
      </c>
      <c r="EP319" s="60" t="n">
        <f aca="false">EM319-1-LN(EM319-DK319)-EO319</f>
        <v>-0.107840271021729</v>
      </c>
      <c r="EQ319" s="60" t="n">
        <f aca="false">IF(EH319,CHOOSE($C$7,DJ319/EN319,DJ319/DK319*LN(1+DK319/EN319),DJ319/(2*SQRT(2)*DK319)*LN((EN319+(1+SQRT(2))*DK319)/(EN319+(1-SQRT(2))*DK319))),0)</f>
        <v>0</v>
      </c>
      <c r="ER319" s="60" t="n">
        <f aca="false">IF(EH319,EN319-1-LN(EN319-DK319)-EQ319,0)</f>
        <v>0</v>
      </c>
      <c r="ES319" s="60" t="n">
        <f aca="false">AND(EH319,ER319&lt;EP319)</f>
        <v>0</v>
      </c>
      <c r="ET319" s="60" t="n">
        <f aca="false">IF(ES319,EN319,EM319)</f>
        <v>0.91158844983184</v>
      </c>
      <c r="EU319" s="60" t="n">
        <f aca="false">IF(ES319,EQ319,EO319)</f>
        <v>0.218240791233887</v>
      </c>
      <c r="EV319" s="60" t="n">
        <f aca="false">LN(ET319-DK319)</f>
        <v>-0.198812070380318</v>
      </c>
      <c r="EW319" s="60" t="n">
        <f aca="false">$E$27/DI319*(ET319-1)-EV319-EU319*(2*CV319/DH319-$E$27/DI319)</f>
        <v>-0.107840271021729</v>
      </c>
      <c r="EX319" s="60" t="n">
        <f aca="false">$F$27/DI319*(ET319-1)-EV319-EU319*(2*CW319/DH319-$F$27/DI319)</f>
        <v>0.198812070380318</v>
      </c>
      <c r="EY319" s="60" t="n">
        <f aca="false">$G$27/DI319*(ET319-1)-EV319-EU319*(2*CX319/DH319-$G$27/DI319)</f>
        <v>0.198812070380318</v>
      </c>
      <c r="EZ319" s="60" t="n">
        <f aca="false">$H$27/DI319*(ET319-1)-EV319-EU319*(2*CY319/DH319-$H$27/DI319)</f>
        <v>0.198812070380318</v>
      </c>
      <c r="FA319" s="60" t="n">
        <f aca="false">$I$27/DI319*(ET319-1)-EV319-EU319*(2*CZ319/DH319-$I$27/DI319)</f>
        <v>0.198812070380318</v>
      </c>
      <c r="FB319" s="60" t="n">
        <f aca="false">$J$27/DI319*(ET319-1)-EV319-EU319*(2*DA319/DH319-$J$27/DI319)</f>
        <v>0.198812070380318</v>
      </c>
      <c r="FC319" s="60" t="n">
        <f aca="false">$K$27/DI319*(ET319-1)-EV319-EU319*(2*DB319/DH319-$K$27/DI319)</f>
        <v>0.198812070380318</v>
      </c>
      <c r="FD319" s="60" t="n">
        <f aca="false">$L$27/DI319*(ET319-1)-EV319-EU319*(2*DC319/DH319-$L$27/DI319)</f>
        <v>0.198812070380318</v>
      </c>
      <c r="FE319" s="60" t="n">
        <f aca="false">$M$27/DI319*(ET319-1)-EV319-EU319*(2*DD319/DH319-$M$27/DI319)</f>
        <v>0.198812070380318</v>
      </c>
      <c r="FF319" s="60" t="n">
        <f aca="false">$N$27/DI319*(ET319-1)-EV319-EU319*(2*DE319/DH319-$N$27/DI319)</f>
        <v>0.198812070380318</v>
      </c>
      <c r="FG319" s="60" t="n">
        <f aca="false">$O$27/DI319*(ET319-1)-EV319-EU319*(2*DF319/DH319-$O$27/DI319)</f>
        <v>0.198812070380318</v>
      </c>
      <c r="FH319" s="60" t="n">
        <f aca="false">$P$27/DI319*(ET319-1)-EV319-EU319*(2*DG319/DH319-$P$27/DI319)</f>
        <v>0.198812070380318</v>
      </c>
      <c r="FI319" s="60" t="n">
        <f aca="false">DK319/ET319&gt;$C$22</f>
        <v>0</v>
      </c>
      <c r="FJ319" s="60" t="n">
        <f aca="false">$E$28*SUMPRODUCT($E$31:$P$31,CJ319:CU319,$E$28:$P$28)</f>
        <v>0.184416866619846</v>
      </c>
      <c r="FK319" s="60" t="n">
        <f aca="false">$F$28*SUMPRODUCT($E$32:$P$32,CJ319:CU319,$E$28:$P$28)</f>
        <v>0</v>
      </c>
      <c r="FL319" s="60" t="n">
        <f aca="false">$G$28*SUMPRODUCT($E$33:$P$33,CJ319:CU319,$E$28:$P$28)</f>
        <v>0</v>
      </c>
      <c r="FM319" s="60" t="n">
        <f aca="false">$H$28*SUMPRODUCT($E$34:$P$34,CJ319:CU319,$E$28:$P$28)</f>
        <v>0</v>
      </c>
      <c r="FN319" s="60" t="n">
        <f aca="false">$I$28*SUMPRODUCT($E$35:$P$35,CJ319:CU319,$E$28:$P$28)</f>
        <v>0</v>
      </c>
      <c r="FO319" s="60" t="n">
        <f aca="false">$J$28*SUMPRODUCT($E$36:$P$36,CJ319:CU319,$E$28:$P$28)</f>
        <v>0</v>
      </c>
      <c r="FP319" s="60" t="n">
        <f aca="false">$K$28*SUMPRODUCT($E$37:$P$37,CJ319:CU319,$E$28:$P$28)</f>
        <v>0</v>
      </c>
      <c r="FQ319" s="60" t="n">
        <f aca="false">$L$28*SUMPRODUCT($E$38:$P$38,CJ319:CU319,$E$28:$P$28)</f>
        <v>0</v>
      </c>
      <c r="FR319" s="60" t="n">
        <f aca="false">$M$28*SUMPRODUCT($E$39:$P$39,CJ319:CU319,$E$28:$P$28)</f>
        <v>0</v>
      </c>
      <c r="FS319" s="60" t="n">
        <f aca="false">$N$28*SUMPRODUCT($E$40:$P$40,CJ319:CU319,$E$28:$P$28)</f>
        <v>0</v>
      </c>
      <c r="FT319" s="60" t="n">
        <f aca="false">$O$28*SUMPRODUCT($E$41:$P$41,CJ319:CU319,$E$28:$P$28)</f>
        <v>0</v>
      </c>
      <c r="FU319" s="60" t="n">
        <f aca="false">$P$28*SUMPRODUCT($E$42:$P$42,CJ319:CU319,$E$28:$P$28)</f>
        <v>0</v>
      </c>
      <c r="FV319" s="60" t="n">
        <f aca="false">SUMPRODUCT(CJ319:CU319,FJ319:FU319)</f>
        <v>0.184416866619846</v>
      </c>
      <c r="FW319" s="60" t="n">
        <f aca="false">SUMPRODUCT(CJ319:CU319,$E$27:$P$27)</f>
        <v>2.67389635063809E-005</v>
      </c>
      <c r="FX319" s="60" t="n">
        <f aca="false">FV319*$C$9/($C$10*$C$8)^2</f>
        <v>0.21776909410545</v>
      </c>
      <c r="FY319" s="60" t="n">
        <f aca="false">FW319*$C$9/($C$10*$C$8)</f>
        <v>0.0918845243259994</v>
      </c>
      <c r="FZ319" s="60" t="n">
        <f aca="false">CHOOSE($C$7,-(1+FY319),-1,-(1-FY319))</f>
        <v>-0.908115475674001</v>
      </c>
      <c r="GA319" s="60" t="n">
        <f aca="false">CHOOSE($C$7,FX319,FX319-FY319-FY319^2,FX319-3*FY319^2-2*FY319)</f>
        <v>0.00867174802160559</v>
      </c>
      <c r="GB319" s="60" t="n">
        <f aca="false">CHOOSE($C$7,-FX319*FY319,-FX319*FY319,-(FX319*FY319-FY319^2-FY319^3))</f>
        <v>-0.0107910842936637</v>
      </c>
      <c r="GC319" s="60" t="n">
        <f aca="false">GA319-FZ319^2/3</f>
        <v>-0.266219491031267</v>
      </c>
      <c r="GD319" s="60" t="n">
        <f aca="false">2*FZ319^3/27-FZ319*GA319/3+GB319</f>
        <v>-0.0636400988362784</v>
      </c>
      <c r="GE319" s="60" t="n">
        <f aca="false">GD319^2/4+GC319^3/27</f>
        <v>0.000313710901361829</v>
      </c>
      <c r="GF319" s="60" t="n">
        <f aca="false">-GD319/2-IF(GD319&gt;=0,1,-1)*SQRT(MAX(GE319,0))</f>
        <v>0.0495319352963236</v>
      </c>
      <c r="GG319" s="60" t="n">
        <f aca="false">SIGN(GF319)*ABS(GF319)^(1/3)</f>
        <v>0.367249967174439</v>
      </c>
      <c r="GH319" s="60" t="n">
        <f aca="false">IF(GG319=0,0,GG319-GC319/(3*GG319))</f>
        <v>0.60888329127384</v>
      </c>
      <c r="GI319" s="60" t="n">
        <f aca="false">2*SQRT(MAX(-GC319,0)/3)</f>
        <v>0.595784626668918</v>
      </c>
      <c r="GJ319" s="60" t="n">
        <f aca="false">ACOS(IF(GI319=0,0,MAX(-1,MIN(1,3*GD319/(GC319*GI319)))))</f>
        <v>0</v>
      </c>
      <c r="GK319" s="60" t="n">
        <f aca="false">GI319*COS(GJ319/3)</f>
        <v>0.595784626668918</v>
      </c>
      <c r="GL319" s="60" t="n">
        <f aca="false">IF(GE319&lt;0,GK319,GH319)-FZ319/3</f>
        <v>0.91158844983184</v>
      </c>
      <c r="GM319" s="60" t="n">
        <f aca="false">IFERROR((((GL319+FZ319)*GL319+GA319)*GL319+GB319)/((3*GL319+2*FZ319)*GL319+GA319),0)</f>
        <v>0</v>
      </c>
      <c r="GN319" s="60" t="n">
        <f aca="false">IF(ABS(GM319)&lt;0.1*ABS(GL319),GL319-GM319,GL319)</f>
        <v>0.91158844983184</v>
      </c>
      <c r="GO319" s="60" t="n">
        <f aca="false">IFERROR((((GN319+FZ319)*GN319+GA319)*GN319+GB319)/((3*GN319+2*FZ319)*GN319+GA319),0)</f>
        <v>0</v>
      </c>
      <c r="GP319" s="60" t="n">
        <f aca="false">IF(ABS(GO319)&lt;0.1*ABS(GN319),GN319-GO319,GN319)</f>
        <v>0.91158844983184</v>
      </c>
      <c r="GQ319" s="60" t="n">
        <f aca="false">-GB319/GP319</f>
        <v>0.0118376711504565</v>
      </c>
      <c r="GR319" s="60" t="n">
        <f aca="false">(GA319-GQ319)/GP319</f>
        <v>-0.00347297415783941</v>
      </c>
      <c r="GS319" s="60" t="n">
        <f aca="false">GR319^2-4*GQ319</f>
        <v>-0.0473386230523248</v>
      </c>
      <c r="GT319" s="60" t="n">
        <f aca="false">IF(GS319&gt;=0,(GR319+IF(GR319&gt;=0,1,-1)*SQRT(GS319))/2,0)</f>
        <v>0</v>
      </c>
      <c r="GU319" s="60" t="n">
        <f aca="false">IF(AND(GS319&gt;=0,GT319&lt;&gt;0),MIN(GT319,GQ319/GT319),-1)</f>
        <v>-1</v>
      </c>
      <c r="GV319" s="60" t="n">
        <f aca="false">AND(GS319&gt;=0,GU319&gt;FY319,ABS(GP319-GU319)&gt;=0.00005*MAX(GP319,GU319))</f>
        <v>0</v>
      </c>
      <c r="GW319" s="60" t="n">
        <f aca="false">IF(GV319,IFERROR((((GU319+FZ319)*GU319+GA319)*GU319+GB319)/((3*GU319+2*FZ319)*GU319+GA319),0),0)</f>
        <v>0</v>
      </c>
      <c r="GX319" s="60" t="n">
        <f aca="false">IF(ABS(GW319)&lt;0.1*ABS(GU319),GU319-GW319,GU319)</f>
        <v>-1</v>
      </c>
      <c r="GY319" s="60" t="n">
        <f aca="false">IF(GV319,IFERROR((((GX319+FZ319)*GX319+GA319)*GX319+GB319)/((3*GX319+2*FZ319)*GX319+GA319),0),0)</f>
        <v>0</v>
      </c>
      <c r="GZ319" s="60" t="n">
        <f aca="false">IF(ABS(GY319)&lt;0.1*ABS(GX319),GX319-GY319,GX319)</f>
        <v>-1</v>
      </c>
      <c r="HA319" s="60" t="n">
        <f aca="false">IF(GV319,MAX(GP319,GZ319),GP319)</f>
        <v>0.91158844983184</v>
      </c>
      <c r="HB319" s="60" t="n">
        <f aca="false">IF(GV319,MIN(GP319,GZ319),-1)</f>
        <v>-1</v>
      </c>
      <c r="HC319" s="60" t="n">
        <f aca="false">CHOOSE($C$7,FX319/HA319,FX319/FY319*LN(1+FY319/HA319),FX319/(2*SQRT(2)*FY319)*LN((HA319+(1+SQRT(2))*FY319)/(HA319+(1-SQRT(2))*FY319)))</f>
        <v>0.218240791233887</v>
      </c>
      <c r="HD319" s="60" t="n">
        <f aca="false">HA319-1-LN(HA319-FY319)-HC319</f>
        <v>-0.107840271021729</v>
      </c>
      <c r="HE319" s="60" t="n">
        <f aca="false">IF(GV319,CHOOSE($C$7,FX319/HB319,FX319/FY319*LN(1+FY319/HB319),FX319/(2*SQRT(2)*FY319)*LN((HB319+(1+SQRT(2))*FY319)/(HB319+(1-SQRT(2))*FY319))),0)</f>
        <v>0</v>
      </c>
      <c r="HF319" s="60" t="n">
        <f aca="false">IF(GV319,HB319-1-LN(HB319-FY319)-HE319,0)</f>
        <v>0</v>
      </c>
      <c r="HG319" s="60" t="n">
        <f aca="false">AND(GV319,HF319&lt;HD319)</f>
        <v>0</v>
      </c>
      <c r="HH319" s="60" t="n">
        <f aca="false">IF(HG319,HB319,HA319)</f>
        <v>0.91158844983184</v>
      </c>
      <c r="HI319" s="60" t="n">
        <f aca="false">IF(HG319,HE319,HC319)</f>
        <v>0.218240791233887</v>
      </c>
      <c r="HJ319" s="60" t="n">
        <f aca="false">LN(HH319-FY319)</f>
        <v>-0.198812070380318</v>
      </c>
      <c r="HK319" s="60" t="n">
        <f aca="false">$E$27/FW319*(HH319-1)-HJ319-HI319*(2*FJ319/FV319-$E$27/FW319)</f>
        <v>-0.107840271021729</v>
      </c>
      <c r="HL319" s="60" t="n">
        <f aca="false">$F$27/FW319*(HH319-1)-HJ319-HI319*(2*FK319/FV319-$F$27/FW319)</f>
        <v>0.198812070380318</v>
      </c>
      <c r="HM319" s="60" t="n">
        <f aca="false">$G$27/FW319*(HH319-1)-HJ319-HI319*(2*FL319/FV319-$G$27/FW319)</f>
        <v>0.198812070380318</v>
      </c>
      <c r="HN319" s="60" t="n">
        <f aca="false">$H$27/FW319*(HH319-1)-HJ319-HI319*(2*FM319/FV319-$H$27/FW319)</f>
        <v>0.198812070380318</v>
      </c>
      <c r="HO319" s="60" t="n">
        <f aca="false">$I$27/FW319*(HH319-1)-HJ319-HI319*(2*FN319/FV319-$I$27/FW319)</f>
        <v>0.198812070380318</v>
      </c>
      <c r="HP319" s="60" t="n">
        <f aca="false">$J$27/FW319*(HH319-1)-HJ319-HI319*(2*FO319/FV319-$J$27/FW319)</f>
        <v>0.198812070380318</v>
      </c>
      <c r="HQ319" s="60" t="n">
        <f aca="false">$K$27/FW319*(HH319-1)-HJ319-HI319*(2*FP319/FV319-$K$27/FW319)</f>
        <v>0.198812070380318</v>
      </c>
      <c r="HR319" s="60" t="n">
        <f aca="false">$L$27/FW319*(HH319-1)-HJ319-HI319*(2*FQ319/FV319-$L$27/FW319)</f>
        <v>0.198812070380318</v>
      </c>
      <c r="HS319" s="60" t="n">
        <f aca="false">$M$27/FW319*(HH319-1)-HJ319-HI319*(2*FR319/FV319-$M$27/FW319)</f>
        <v>0.198812070380318</v>
      </c>
      <c r="HT319" s="60" t="n">
        <f aca="false">$N$27/FW319*(HH319-1)-HJ319-HI319*(2*FS319/FV319-$N$27/FW319)</f>
        <v>0.198812070380318</v>
      </c>
      <c r="HU319" s="60" t="n">
        <f aca="false">$O$27/FW319*(HH319-1)-HJ319-HI319*(2*FT319/FV319-$O$27/FW319)</f>
        <v>0.198812070380318</v>
      </c>
      <c r="HV319" s="60" t="n">
        <f aca="false">$P$27/FW319*(HH319-1)-HJ319-HI319*(2*FU319/FV319-$P$27/FW319)</f>
        <v>0.198812070380318</v>
      </c>
      <c r="HW319" s="60" t="n">
        <f aca="false">FY319/HH319&gt;$C$22</f>
        <v>0</v>
      </c>
      <c r="HX319" s="60" t="n">
        <f aca="false">IF($E$13&gt;0,MAX(-300,MIN(300,EW319-HK319)),0)</f>
        <v>0</v>
      </c>
      <c r="HY319" s="60" t="n">
        <f aca="false">IF($F$13&gt;0,MAX(-300,MIN(300,EX319-HL319)),0)</f>
        <v>0</v>
      </c>
      <c r="HZ319" s="60" t="n">
        <f aca="false">IF($G$13&gt;0,MAX(-300,MIN(300,EY319-HM319)),0)</f>
        <v>0</v>
      </c>
      <c r="IA319" s="60" t="n">
        <f aca="false">IF($H$13&gt;0,MAX(-300,MIN(300,EZ319-HN319)),0)</f>
        <v>0</v>
      </c>
      <c r="IB319" s="60" t="n">
        <f aca="false">IF($I$13&gt;0,MAX(-300,MIN(300,FA319-HO319)),0)</f>
        <v>0</v>
      </c>
      <c r="IC319" s="60" t="n">
        <f aca="false">IF($J$13&gt;0,MAX(-300,MIN(300,FB319-HP319)),0)</f>
        <v>0</v>
      </c>
      <c r="ID319" s="60" t="n">
        <f aca="false">IF($K$13&gt;0,MAX(-300,MIN(300,FC319-HQ319)),0)</f>
        <v>0</v>
      </c>
      <c r="IE319" s="60" t="n">
        <f aca="false">IF($L$13&gt;0,MAX(-300,MIN(300,FD319-HR319)),0)</f>
        <v>0</v>
      </c>
      <c r="IF319" s="60" t="n">
        <f aca="false">IF($M$13&gt;0,MAX(-300,MIN(300,FE319-HS319)),0)</f>
        <v>0</v>
      </c>
      <c r="IG319" s="60" t="n">
        <f aca="false">IF($N$13&gt;0,MAX(-300,MIN(300,FF319-HT319)),0)</f>
        <v>0</v>
      </c>
      <c r="IH319" s="60" t="n">
        <f aca="false">IF($O$13&gt;0,MAX(-300,MIN(300,FG319-HU319)),0)</f>
        <v>0</v>
      </c>
      <c r="II319" s="60" t="n">
        <f aca="false">IF($P$13&gt;0,MAX(-300,MIN(300,FH319-HV319)),0)</f>
        <v>0</v>
      </c>
      <c r="IJ319" s="60" t="n">
        <f aca="false">SUMXMY2(HX319:II319,B319:M319)</f>
        <v>0</v>
      </c>
      <c r="IK319" s="60" t="n">
        <f aca="false">SUMSQ(B319:M319)</f>
        <v>0</v>
      </c>
    </row>
    <row r="320" customFormat="false" ht="15" hidden="false" customHeight="false" outlineLevel="0" collapsed="false">
      <c r="A320" s="59" t="n">
        <v>23</v>
      </c>
      <c r="B320" s="60" t="n">
        <f aca="false">HX319</f>
        <v>0</v>
      </c>
      <c r="C320" s="60" t="n">
        <f aca="false">HY319</f>
        <v>0</v>
      </c>
      <c r="D320" s="60" t="n">
        <f aca="false">HZ319</f>
        <v>0</v>
      </c>
      <c r="E320" s="60" t="n">
        <f aca="false">IA319</f>
        <v>0</v>
      </c>
      <c r="F320" s="60" t="n">
        <f aca="false">IB319</f>
        <v>0</v>
      </c>
      <c r="G320" s="60" t="n">
        <f aca="false">IC319</f>
        <v>0</v>
      </c>
      <c r="H320" s="60" t="n">
        <f aca="false">ID319</f>
        <v>0</v>
      </c>
      <c r="I320" s="60" t="n">
        <f aca="false">IE319</f>
        <v>0</v>
      </c>
      <c r="J320" s="60" t="n">
        <f aca="false">IF319</f>
        <v>0</v>
      </c>
      <c r="K320" s="60" t="n">
        <f aca="false">IG319</f>
        <v>0</v>
      </c>
      <c r="L320" s="60" t="n">
        <f aca="false">IH319</f>
        <v>0</v>
      </c>
      <c r="M320" s="60" t="n">
        <f aca="false">II319</f>
        <v>0</v>
      </c>
      <c r="N320" s="60" t="n">
        <f aca="false">EXP(B320)</f>
        <v>1</v>
      </c>
      <c r="O320" s="60" t="n">
        <f aca="false">EXP(C320)</f>
        <v>1</v>
      </c>
      <c r="P320" s="60" t="n">
        <f aca="false">EXP(D320)</f>
        <v>1</v>
      </c>
      <c r="Q320" s="60" t="n">
        <f aca="false">EXP(E320)</f>
        <v>1</v>
      </c>
      <c r="R320" s="60" t="n">
        <f aca="false">EXP(F320)</f>
        <v>1</v>
      </c>
      <c r="S320" s="60" t="n">
        <f aca="false">EXP(G320)</f>
        <v>1</v>
      </c>
      <c r="T320" s="60" t="n">
        <f aca="false">EXP(H320)</f>
        <v>1</v>
      </c>
      <c r="U320" s="60" t="n">
        <f aca="false">EXP(I320)</f>
        <v>1</v>
      </c>
      <c r="V320" s="60" t="n">
        <f aca="false">EXP(J320)</f>
        <v>1</v>
      </c>
      <c r="W320" s="60" t="n">
        <f aca="false">EXP(K320)</f>
        <v>1</v>
      </c>
      <c r="X320" s="60" t="n">
        <f aca="false">EXP(L320)</f>
        <v>1</v>
      </c>
      <c r="Y320" s="60" t="n">
        <f aca="false">EXP(M320)</f>
        <v>1</v>
      </c>
      <c r="Z320" s="60" t="n">
        <f aca="false">MAX(N320:Y320)</f>
        <v>1</v>
      </c>
      <c r="AA320" s="60" t="n">
        <f aca="false">MIN(N320:Y320)</f>
        <v>1</v>
      </c>
      <c r="AB320" s="60" t="n">
        <f aca="false">AND(Z320&gt;1,AA320&lt;1)</f>
        <v>0</v>
      </c>
      <c r="AC320" s="60" t="n">
        <f aca="false">IF(AB320,1/(1-Z320),0)</f>
        <v>0</v>
      </c>
      <c r="AD320" s="60" t="n">
        <f aca="false">IF(AB320,1/(1-AA320),1)</f>
        <v>1</v>
      </c>
      <c r="AE320" s="60" t="n">
        <f aca="false">IF(AB320,MIN(MAX(BI319,AC320+0.000000001*(AD320-AC320)),AD320-0.000000001*(AD320-AC320)),IF(AA320&gt;=1,1,0))</f>
        <v>1</v>
      </c>
      <c r="AF320" s="60" t="n">
        <f aca="false">SUMPRODUCT($E$13:$P$13*(N320:Y320-1)/(1+AE320*(N320:Y320-1)))</f>
        <v>0</v>
      </c>
      <c r="AG320" s="60" t="n">
        <f aca="false">-SUMPRODUCT($E$13:$P$13*(N320:Y320-1)^2/(1+AE320*(N320:Y320-1))^2)</f>
        <v>-0</v>
      </c>
      <c r="AH320" s="60" t="n">
        <f aca="false">IF(OR(NOT(AB320),AG320=0),AE320,IF(AE320-AF320/AG320&lt;=AC320,(AE320+AC320)/2,IF(AE320-AF320/AG320&gt;=AD320,(AE320+AD320)/2,AE320-AF320/AG320)))</f>
        <v>1</v>
      </c>
      <c r="AI320" s="60" t="n">
        <f aca="false">SUMPRODUCT($E$13:$P$13*(N320:Y320-1)/(1+AH320*(N320:Y320-1)))</f>
        <v>0</v>
      </c>
      <c r="AJ320" s="60" t="n">
        <f aca="false">-SUMPRODUCT($E$13:$P$13*(N320:Y320-1)^2/(1+AH320*(N320:Y320-1))^2)</f>
        <v>-0</v>
      </c>
      <c r="AK320" s="60" t="n">
        <f aca="false">IF(OR(NOT(AB320),AJ320=0),AH320,IF(AH320-AI320/AJ320&lt;=AC320,(AH320+AC320)/2,IF(AH320-AI320/AJ320&gt;=AD320,(AH320+AD320)/2,AH320-AI320/AJ320)))</f>
        <v>1</v>
      </c>
      <c r="AL320" s="60" t="n">
        <f aca="false">SUMPRODUCT($E$13:$P$13*(N320:Y320-1)/(1+AK320*(N320:Y320-1)))</f>
        <v>0</v>
      </c>
      <c r="AM320" s="60" t="n">
        <f aca="false">-SUMPRODUCT($E$13:$P$13*(N320:Y320-1)^2/(1+AK320*(N320:Y320-1))^2)</f>
        <v>-0</v>
      </c>
      <c r="AN320" s="60" t="n">
        <f aca="false">IF(OR(NOT(AB320),AM320=0),AK320,IF(AK320-AL320/AM320&lt;=AC320,(AK320+AC320)/2,IF(AK320-AL320/AM320&gt;=AD320,(AK320+AD320)/2,AK320-AL320/AM320)))</f>
        <v>1</v>
      </c>
      <c r="AO320" s="60" t="n">
        <f aca="false">SUMPRODUCT($E$13:$P$13*(N320:Y320-1)/(1+AN320*(N320:Y320-1)))</f>
        <v>0</v>
      </c>
      <c r="AP320" s="60" t="n">
        <f aca="false">-SUMPRODUCT($E$13:$P$13*(N320:Y320-1)^2/(1+AN320*(N320:Y320-1))^2)</f>
        <v>-0</v>
      </c>
      <c r="AQ320" s="60" t="n">
        <f aca="false">IF(OR(NOT(AB320),AP320=0),AN320,IF(AN320-AO320/AP320&lt;=AC320,(AN320+AC320)/2,IF(AN320-AO320/AP320&gt;=AD320,(AN320+AD320)/2,AN320-AO320/AP320)))</f>
        <v>1</v>
      </c>
      <c r="AR320" s="60" t="n">
        <f aca="false">SUMPRODUCT($E$13:$P$13*(N320:Y320-1)/(1+AQ320*(N320:Y320-1)))</f>
        <v>0</v>
      </c>
      <c r="AS320" s="60" t="n">
        <f aca="false">-SUMPRODUCT($E$13:$P$13*(N320:Y320-1)^2/(1+AQ320*(N320:Y320-1))^2)</f>
        <v>-0</v>
      </c>
      <c r="AT320" s="60" t="n">
        <f aca="false">IF(OR(NOT(AB320),AS320=0),AQ320,IF(AQ320-AR320/AS320&lt;=AC320,(AQ320+AC320)/2,IF(AQ320-AR320/AS320&gt;=AD320,(AQ320+AD320)/2,AQ320-AR320/AS320)))</f>
        <v>1</v>
      </c>
      <c r="AU320" s="60" t="n">
        <f aca="false">SUMPRODUCT($E$13:$P$13*(N320:Y320-1)/(1+AT320*(N320:Y320-1)))</f>
        <v>0</v>
      </c>
      <c r="AV320" s="60" t="n">
        <f aca="false">-SUMPRODUCT($E$13:$P$13*(N320:Y320-1)^2/(1+AT320*(N320:Y320-1))^2)</f>
        <v>-0</v>
      </c>
      <c r="AW320" s="60" t="n">
        <f aca="false">IF(OR(NOT(AB320),AV320=0),AT320,IF(AT320-AU320/AV320&lt;=AC320,(AT320+AC320)/2,IF(AT320-AU320/AV320&gt;=AD320,(AT320+AD320)/2,AT320-AU320/AV320)))</f>
        <v>1</v>
      </c>
      <c r="AX320" s="60" t="n">
        <f aca="false">SUMPRODUCT($E$13:$P$13*(N320:Y320-1)/(1+AW320*(N320:Y320-1)))</f>
        <v>0</v>
      </c>
      <c r="AY320" s="60" t="n">
        <f aca="false">-SUMPRODUCT($E$13:$P$13*(N320:Y320-1)^2/(1+AW320*(N320:Y320-1))^2)</f>
        <v>-0</v>
      </c>
      <c r="AZ320" s="60" t="n">
        <f aca="false">IF(OR(NOT(AB320),AY320=0),AW320,IF(AW320-AX320/AY320&lt;=AC320,(AW320+AC320)/2,IF(AW320-AX320/AY320&gt;=AD320,(AW320+AD320)/2,AW320-AX320/AY320)))</f>
        <v>1</v>
      </c>
      <c r="BA320" s="60" t="n">
        <f aca="false">SUMPRODUCT($E$13:$P$13*(N320:Y320-1)/(1+AZ320*(N320:Y320-1)))</f>
        <v>0</v>
      </c>
      <c r="BB320" s="60" t="n">
        <f aca="false">-SUMPRODUCT($E$13:$P$13*(N320:Y320-1)^2/(1+AZ320*(N320:Y320-1))^2)</f>
        <v>-0</v>
      </c>
      <c r="BC320" s="60" t="n">
        <f aca="false">IF(OR(NOT(AB320),BB320=0),AZ320,IF(AZ320-BA320/BB320&lt;=AC320,(AZ320+AC320)/2,IF(AZ320-BA320/BB320&gt;=AD320,(AZ320+AD320)/2,AZ320-BA320/BB320)))</f>
        <v>1</v>
      </c>
      <c r="BD320" s="60" t="n">
        <f aca="false">SUMPRODUCT($E$13:$P$13*(N320:Y320-1)/(1+BC320*(N320:Y320-1)))</f>
        <v>0</v>
      </c>
      <c r="BE320" s="60" t="n">
        <f aca="false">-SUMPRODUCT($E$13:$P$13*(N320:Y320-1)^2/(1+BC320*(N320:Y320-1))^2)</f>
        <v>-0</v>
      </c>
      <c r="BF320" s="60" t="n">
        <f aca="false">IF(OR(NOT(AB320),BE320=0),BC320,IF(BC320-BD320/BE320&lt;=AC320,(BC320+AC320)/2,IF(BC320-BD320/BE320&gt;=AD320,(BC320+AD320)/2,BC320-BD320/BE320)))</f>
        <v>1</v>
      </c>
      <c r="BG320" s="60" t="n">
        <f aca="false">SUMPRODUCT($E$13:$P$13*(N320:Y320-1)/(1+BF320*(N320:Y320-1)))</f>
        <v>0</v>
      </c>
      <c r="BH320" s="60" t="n">
        <f aca="false">-SUMPRODUCT($E$13:$P$13*(N320:Y320-1)^2/(1+BF320*(N320:Y320-1))^2)</f>
        <v>-0</v>
      </c>
      <c r="BI320" s="60" t="n">
        <f aca="false">IF(OR(NOT(AB320),BH320=0),BF320,IF(BF320-BG320/BH320&lt;=AC320,(BF320+AC320)/2,IF(BF320-BG320/BH320&gt;=AD320,(BF320+AD320)/2,BF320-BG320/BH320)))</f>
        <v>1</v>
      </c>
      <c r="BJ320" s="60" t="n">
        <f aca="false">$E$13/(1+BI320*(N320-1))</f>
        <v>1</v>
      </c>
      <c r="BK320" s="60" t="n">
        <f aca="false">$F$13/(1+BI320*(O320-1))</f>
        <v>0</v>
      </c>
      <c r="BL320" s="60" t="n">
        <f aca="false">$G$13/(1+BI320*(P320-1))</f>
        <v>0</v>
      </c>
      <c r="BM320" s="60" t="n">
        <f aca="false">$H$13/(1+BI320*(Q320-1))</f>
        <v>0</v>
      </c>
      <c r="BN320" s="60" t="n">
        <f aca="false">$I$13/(1+BI320*(R320-1))</f>
        <v>0</v>
      </c>
      <c r="BO320" s="60" t="n">
        <f aca="false">$J$13/(1+BI320*(S320-1))</f>
        <v>0</v>
      </c>
      <c r="BP320" s="60" t="n">
        <f aca="false">$K$13/(1+BI320*(T320-1))</f>
        <v>0</v>
      </c>
      <c r="BQ320" s="60" t="n">
        <f aca="false">$L$13/(1+BI320*(U320-1))</f>
        <v>0</v>
      </c>
      <c r="BR320" s="60" t="n">
        <f aca="false">$M$13/(1+BI320*(V320-1))</f>
        <v>0</v>
      </c>
      <c r="BS320" s="60" t="n">
        <f aca="false">$N$13/(1+BI320*(W320-1))</f>
        <v>0</v>
      </c>
      <c r="BT320" s="60" t="n">
        <f aca="false">$O$13/(1+BI320*(X320-1))</f>
        <v>0</v>
      </c>
      <c r="BU320" s="60" t="n">
        <f aca="false">$P$13/(1+BI320*(Y320-1))</f>
        <v>0</v>
      </c>
      <c r="BV320" s="60" t="n">
        <f aca="false">SUM(BJ320:BU320)</f>
        <v>1</v>
      </c>
      <c r="BW320" s="60" t="n">
        <f aca="false">SUMPRODUCT(N320:Y320,BJ320:BU320)</f>
        <v>1</v>
      </c>
      <c r="BX320" s="60" t="n">
        <f aca="false">BJ320/BV320</f>
        <v>1</v>
      </c>
      <c r="BY320" s="60" t="n">
        <f aca="false">BK320/BV320</f>
        <v>0</v>
      </c>
      <c r="BZ320" s="60" t="n">
        <f aca="false">BL320/BV320</f>
        <v>0</v>
      </c>
      <c r="CA320" s="60" t="n">
        <f aca="false">BM320/BV320</f>
        <v>0</v>
      </c>
      <c r="CB320" s="60" t="n">
        <f aca="false">BN320/BV320</f>
        <v>0</v>
      </c>
      <c r="CC320" s="60" t="n">
        <f aca="false">BO320/BV320</f>
        <v>0</v>
      </c>
      <c r="CD320" s="60" t="n">
        <f aca="false">BP320/BV320</f>
        <v>0</v>
      </c>
      <c r="CE320" s="60" t="n">
        <f aca="false">BQ320/BV320</f>
        <v>0</v>
      </c>
      <c r="CF320" s="60" t="n">
        <f aca="false">BR320/BV320</f>
        <v>0</v>
      </c>
      <c r="CG320" s="60" t="n">
        <f aca="false">BS320/BV320</f>
        <v>0</v>
      </c>
      <c r="CH320" s="60" t="n">
        <f aca="false">BT320/BV320</f>
        <v>0</v>
      </c>
      <c r="CI320" s="60" t="n">
        <f aca="false">BU320/BV320</f>
        <v>0</v>
      </c>
      <c r="CJ320" s="60" t="n">
        <f aca="false">N320*BJ320/BW320</f>
        <v>1</v>
      </c>
      <c r="CK320" s="60" t="n">
        <f aca="false">O320*BK320/BW320</f>
        <v>0</v>
      </c>
      <c r="CL320" s="60" t="n">
        <f aca="false">P320*BL320/BW320</f>
        <v>0</v>
      </c>
      <c r="CM320" s="60" t="n">
        <f aca="false">Q320*BM320/BW320</f>
        <v>0</v>
      </c>
      <c r="CN320" s="60" t="n">
        <f aca="false">R320*BN320/BW320</f>
        <v>0</v>
      </c>
      <c r="CO320" s="60" t="n">
        <f aca="false">S320*BO320/BW320</f>
        <v>0</v>
      </c>
      <c r="CP320" s="60" t="n">
        <f aca="false">T320*BP320/BW320</f>
        <v>0</v>
      </c>
      <c r="CQ320" s="60" t="n">
        <f aca="false">U320*BQ320/BW320</f>
        <v>0</v>
      </c>
      <c r="CR320" s="60" t="n">
        <f aca="false">V320*BR320/BW320</f>
        <v>0</v>
      </c>
      <c r="CS320" s="60" t="n">
        <f aca="false">W320*BS320/BW320</f>
        <v>0</v>
      </c>
      <c r="CT320" s="60" t="n">
        <f aca="false">X320*BT320/BW320</f>
        <v>0</v>
      </c>
      <c r="CU320" s="60" t="n">
        <f aca="false">Y320*BU320/BW320</f>
        <v>0</v>
      </c>
      <c r="CV320" s="60" t="n">
        <f aca="false">$E$28*SUMPRODUCT($E$31:$P$31,BX320:CI320,$E$28:$P$28)</f>
        <v>0.184416866619846</v>
      </c>
      <c r="CW320" s="60" t="n">
        <f aca="false">$F$28*SUMPRODUCT($E$32:$P$32,BX320:CI320,$E$28:$P$28)</f>
        <v>0</v>
      </c>
      <c r="CX320" s="60" t="n">
        <f aca="false">$G$28*SUMPRODUCT($E$33:$P$33,BX320:CI320,$E$28:$P$28)</f>
        <v>0</v>
      </c>
      <c r="CY320" s="60" t="n">
        <f aca="false">$H$28*SUMPRODUCT($E$34:$P$34,BX320:CI320,$E$28:$P$28)</f>
        <v>0</v>
      </c>
      <c r="CZ320" s="60" t="n">
        <f aca="false">$I$28*SUMPRODUCT($E$35:$P$35,BX320:CI320,$E$28:$P$28)</f>
        <v>0</v>
      </c>
      <c r="DA320" s="60" t="n">
        <f aca="false">$J$28*SUMPRODUCT($E$36:$P$36,BX320:CI320,$E$28:$P$28)</f>
        <v>0</v>
      </c>
      <c r="DB320" s="60" t="n">
        <f aca="false">$K$28*SUMPRODUCT($E$37:$P$37,BX320:CI320,$E$28:$P$28)</f>
        <v>0</v>
      </c>
      <c r="DC320" s="60" t="n">
        <f aca="false">$L$28*SUMPRODUCT($E$38:$P$38,BX320:CI320,$E$28:$P$28)</f>
        <v>0</v>
      </c>
      <c r="DD320" s="60" t="n">
        <f aca="false">$M$28*SUMPRODUCT($E$39:$P$39,BX320:CI320,$E$28:$P$28)</f>
        <v>0</v>
      </c>
      <c r="DE320" s="60" t="n">
        <f aca="false">$N$28*SUMPRODUCT($E$40:$P$40,BX320:CI320,$E$28:$P$28)</f>
        <v>0</v>
      </c>
      <c r="DF320" s="60" t="n">
        <f aca="false">$O$28*SUMPRODUCT($E$41:$P$41,BX320:CI320,$E$28:$P$28)</f>
        <v>0</v>
      </c>
      <c r="DG320" s="60" t="n">
        <f aca="false">$P$28*SUMPRODUCT($E$42:$P$42,BX320:CI320,$E$28:$P$28)</f>
        <v>0</v>
      </c>
      <c r="DH320" s="60" t="n">
        <f aca="false">SUMPRODUCT(BX320:CI320,CV320:DG320)</f>
        <v>0.184416866619846</v>
      </c>
      <c r="DI320" s="60" t="n">
        <f aca="false">SUMPRODUCT(BX320:CI320,$E$27:$P$27)</f>
        <v>2.67389635063809E-005</v>
      </c>
      <c r="DJ320" s="60" t="n">
        <f aca="false">DH320*$C$9/($C$10*$C$8)^2</f>
        <v>0.21776909410545</v>
      </c>
      <c r="DK320" s="60" t="n">
        <f aca="false">DI320*$C$9/($C$10*$C$8)</f>
        <v>0.0918845243259994</v>
      </c>
      <c r="DL320" s="60" t="n">
        <f aca="false">CHOOSE($C$7,-(1+DK320),-1,-(1-DK320))</f>
        <v>-0.908115475674001</v>
      </c>
      <c r="DM320" s="60" t="n">
        <f aca="false">CHOOSE($C$7,DJ320,DJ320-DK320-DK320^2,DJ320-3*DK320^2-2*DK320)</f>
        <v>0.00867174802160559</v>
      </c>
      <c r="DN320" s="60" t="n">
        <f aca="false">CHOOSE($C$7,-DJ320*DK320,-DJ320*DK320,-(DJ320*DK320-DK320^2-DK320^3))</f>
        <v>-0.0107910842936637</v>
      </c>
      <c r="DO320" s="60" t="n">
        <f aca="false">DM320-DL320^2/3</f>
        <v>-0.266219491031267</v>
      </c>
      <c r="DP320" s="60" t="n">
        <f aca="false">2*DL320^3/27-DL320*DM320/3+DN320</f>
        <v>-0.0636400988362784</v>
      </c>
      <c r="DQ320" s="60" t="n">
        <f aca="false">DP320^2/4+DO320^3/27</f>
        <v>0.000313710901361829</v>
      </c>
      <c r="DR320" s="60" t="n">
        <f aca="false">-DP320/2-IF(DP320&gt;=0,1,-1)*SQRT(MAX(DQ320,0))</f>
        <v>0.0495319352963236</v>
      </c>
      <c r="DS320" s="60" t="n">
        <f aca="false">SIGN(DR320)*ABS(DR320)^(1/3)</f>
        <v>0.367249967174439</v>
      </c>
      <c r="DT320" s="60" t="n">
        <f aca="false">IF(DS320=0,0,DS320-DO320/(3*DS320))</f>
        <v>0.60888329127384</v>
      </c>
      <c r="DU320" s="60" t="n">
        <f aca="false">2*SQRT(MAX(-DO320,0)/3)</f>
        <v>0.595784626668918</v>
      </c>
      <c r="DV320" s="60" t="n">
        <f aca="false">ACOS(IF(DU320=0,0,MAX(-1,MIN(1,3*DP320/(DO320*DU320)))))</f>
        <v>0</v>
      </c>
      <c r="DW320" s="60" t="n">
        <f aca="false">DU320*COS(DV320/3)</f>
        <v>0.595784626668918</v>
      </c>
      <c r="DX320" s="60" t="n">
        <f aca="false">IF(DQ320&lt;0,DW320,DT320)-DL320/3</f>
        <v>0.91158844983184</v>
      </c>
      <c r="DY320" s="60" t="n">
        <f aca="false">IFERROR((((DX320+DL320)*DX320+DM320)*DX320+DN320)/((3*DX320+2*DL320)*DX320+DM320),0)</f>
        <v>0</v>
      </c>
      <c r="DZ320" s="60" t="n">
        <f aca="false">IF(ABS(DY320)&lt;0.1*ABS(DX320),DX320-DY320,DX320)</f>
        <v>0.91158844983184</v>
      </c>
      <c r="EA320" s="60" t="n">
        <f aca="false">IFERROR((((DZ320+DL320)*DZ320+DM320)*DZ320+DN320)/((3*DZ320+2*DL320)*DZ320+DM320),0)</f>
        <v>0</v>
      </c>
      <c r="EB320" s="60" t="n">
        <f aca="false">IF(ABS(EA320)&lt;0.1*ABS(DZ320),DZ320-EA320,DZ320)</f>
        <v>0.91158844983184</v>
      </c>
      <c r="EC320" s="60" t="n">
        <f aca="false">-DN320/EB320</f>
        <v>0.0118376711504565</v>
      </c>
      <c r="ED320" s="60" t="n">
        <f aca="false">(DM320-EC320)/EB320</f>
        <v>-0.00347297415783941</v>
      </c>
      <c r="EE320" s="60" t="n">
        <f aca="false">ED320^2-4*EC320</f>
        <v>-0.0473386230523248</v>
      </c>
      <c r="EF320" s="60" t="n">
        <f aca="false">IF(EE320&gt;=0,(ED320+IF(ED320&gt;=0,1,-1)*SQRT(EE320))/2,0)</f>
        <v>0</v>
      </c>
      <c r="EG320" s="60" t="n">
        <f aca="false">IF(AND(EE320&gt;=0,EF320&lt;&gt;0),MIN(EF320,EC320/EF320),-1)</f>
        <v>-1</v>
      </c>
      <c r="EH320" s="60" t="n">
        <f aca="false">AND(EE320&gt;=0,EG320&gt;DK320,ABS(EB320-EG320)&gt;=0.00005*MAX(EB320,EG320))</f>
        <v>0</v>
      </c>
      <c r="EI320" s="60" t="n">
        <f aca="false">IF(EH320,IFERROR((((EG320+DL320)*EG320+DM320)*EG320+DN320)/((3*EG320+2*DL320)*EG320+DM320),0),0)</f>
        <v>0</v>
      </c>
      <c r="EJ320" s="60" t="n">
        <f aca="false">IF(ABS(EI320)&lt;0.1*ABS(EG320),EG320-EI320,EG320)</f>
        <v>-1</v>
      </c>
      <c r="EK320" s="60" t="n">
        <f aca="false">IF(EH320,IFERROR((((EJ320+DL320)*EJ320+DM320)*EJ320+DN320)/((3*EJ320+2*DL320)*EJ320+DM320),0),0)</f>
        <v>0</v>
      </c>
      <c r="EL320" s="60" t="n">
        <f aca="false">IF(ABS(EK320)&lt;0.1*ABS(EJ320),EJ320-EK320,EJ320)</f>
        <v>-1</v>
      </c>
      <c r="EM320" s="60" t="n">
        <f aca="false">IF(EH320,MAX(EB320,EL320),EB320)</f>
        <v>0.91158844983184</v>
      </c>
      <c r="EN320" s="60" t="n">
        <f aca="false">IF(EH320,MIN(EB320,EL320),-1)</f>
        <v>-1</v>
      </c>
      <c r="EO320" s="60" t="n">
        <f aca="false">CHOOSE($C$7,DJ320/EM320,DJ320/DK320*LN(1+DK320/EM320),DJ320/(2*SQRT(2)*DK320)*LN((EM320+(1+SQRT(2))*DK320)/(EM320+(1-SQRT(2))*DK320)))</f>
        <v>0.218240791233887</v>
      </c>
      <c r="EP320" s="60" t="n">
        <f aca="false">EM320-1-LN(EM320-DK320)-EO320</f>
        <v>-0.107840271021729</v>
      </c>
      <c r="EQ320" s="60" t="n">
        <f aca="false">IF(EH320,CHOOSE($C$7,DJ320/EN320,DJ320/DK320*LN(1+DK320/EN320),DJ320/(2*SQRT(2)*DK320)*LN((EN320+(1+SQRT(2))*DK320)/(EN320+(1-SQRT(2))*DK320))),0)</f>
        <v>0</v>
      </c>
      <c r="ER320" s="60" t="n">
        <f aca="false">IF(EH320,EN320-1-LN(EN320-DK320)-EQ320,0)</f>
        <v>0</v>
      </c>
      <c r="ES320" s="60" t="n">
        <f aca="false">AND(EH320,ER320&lt;EP320)</f>
        <v>0</v>
      </c>
      <c r="ET320" s="60" t="n">
        <f aca="false">IF(ES320,EN320,EM320)</f>
        <v>0.91158844983184</v>
      </c>
      <c r="EU320" s="60" t="n">
        <f aca="false">IF(ES320,EQ320,EO320)</f>
        <v>0.218240791233887</v>
      </c>
      <c r="EV320" s="60" t="n">
        <f aca="false">LN(ET320-DK320)</f>
        <v>-0.198812070380318</v>
      </c>
      <c r="EW320" s="60" t="n">
        <f aca="false">$E$27/DI320*(ET320-1)-EV320-EU320*(2*CV320/DH320-$E$27/DI320)</f>
        <v>-0.107840271021729</v>
      </c>
      <c r="EX320" s="60" t="n">
        <f aca="false">$F$27/DI320*(ET320-1)-EV320-EU320*(2*CW320/DH320-$F$27/DI320)</f>
        <v>0.198812070380318</v>
      </c>
      <c r="EY320" s="60" t="n">
        <f aca="false">$G$27/DI320*(ET320-1)-EV320-EU320*(2*CX320/DH320-$G$27/DI320)</f>
        <v>0.198812070380318</v>
      </c>
      <c r="EZ320" s="60" t="n">
        <f aca="false">$H$27/DI320*(ET320-1)-EV320-EU320*(2*CY320/DH320-$H$27/DI320)</f>
        <v>0.198812070380318</v>
      </c>
      <c r="FA320" s="60" t="n">
        <f aca="false">$I$27/DI320*(ET320-1)-EV320-EU320*(2*CZ320/DH320-$I$27/DI320)</f>
        <v>0.198812070380318</v>
      </c>
      <c r="FB320" s="60" t="n">
        <f aca="false">$J$27/DI320*(ET320-1)-EV320-EU320*(2*DA320/DH320-$J$27/DI320)</f>
        <v>0.198812070380318</v>
      </c>
      <c r="FC320" s="60" t="n">
        <f aca="false">$K$27/DI320*(ET320-1)-EV320-EU320*(2*DB320/DH320-$K$27/DI320)</f>
        <v>0.198812070380318</v>
      </c>
      <c r="FD320" s="60" t="n">
        <f aca="false">$L$27/DI320*(ET320-1)-EV320-EU320*(2*DC320/DH320-$L$27/DI320)</f>
        <v>0.198812070380318</v>
      </c>
      <c r="FE320" s="60" t="n">
        <f aca="false">$M$27/DI320*(ET320-1)-EV320-EU320*(2*DD320/DH320-$M$27/DI320)</f>
        <v>0.198812070380318</v>
      </c>
      <c r="FF320" s="60" t="n">
        <f aca="false">$N$27/DI320*(ET320-1)-EV320-EU320*(2*DE320/DH320-$N$27/DI320)</f>
        <v>0.198812070380318</v>
      </c>
      <c r="FG320" s="60" t="n">
        <f aca="false">$O$27/DI320*(ET320-1)-EV320-EU320*(2*DF320/DH320-$O$27/DI320)</f>
        <v>0.198812070380318</v>
      </c>
      <c r="FH320" s="60" t="n">
        <f aca="false">$P$27/DI320*(ET320-1)-EV320-EU320*(2*DG320/DH320-$P$27/DI320)</f>
        <v>0.198812070380318</v>
      </c>
      <c r="FI320" s="60" t="n">
        <f aca="false">DK320/ET320&gt;$C$22</f>
        <v>0</v>
      </c>
      <c r="FJ320" s="60" t="n">
        <f aca="false">$E$28*SUMPRODUCT($E$31:$P$31,CJ320:CU320,$E$28:$P$28)</f>
        <v>0.184416866619846</v>
      </c>
      <c r="FK320" s="60" t="n">
        <f aca="false">$F$28*SUMPRODUCT($E$32:$P$32,CJ320:CU320,$E$28:$P$28)</f>
        <v>0</v>
      </c>
      <c r="FL320" s="60" t="n">
        <f aca="false">$G$28*SUMPRODUCT($E$33:$P$33,CJ320:CU320,$E$28:$P$28)</f>
        <v>0</v>
      </c>
      <c r="FM320" s="60" t="n">
        <f aca="false">$H$28*SUMPRODUCT($E$34:$P$34,CJ320:CU320,$E$28:$P$28)</f>
        <v>0</v>
      </c>
      <c r="FN320" s="60" t="n">
        <f aca="false">$I$28*SUMPRODUCT($E$35:$P$35,CJ320:CU320,$E$28:$P$28)</f>
        <v>0</v>
      </c>
      <c r="FO320" s="60" t="n">
        <f aca="false">$J$28*SUMPRODUCT($E$36:$P$36,CJ320:CU320,$E$28:$P$28)</f>
        <v>0</v>
      </c>
      <c r="FP320" s="60" t="n">
        <f aca="false">$K$28*SUMPRODUCT($E$37:$P$37,CJ320:CU320,$E$28:$P$28)</f>
        <v>0</v>
      </c>
      <c r="FQ320" s="60" t="n">
        <f aca="false">$L$28*SUMPRODUCT($E$38:$P$38,CJ320:CU320,$E$28:$P$28)</f>
        <v>0</v>
      </c>
      <c r="FR320" s="60" t="n">
        <f aca="false">$M$28*SUMPRODUCT($E$39:$P$39,CJ320:CU320,$E$28:$P$28)</f>
        <v>0</v>
      </c>
      <c r="FS320" s="60" t="n">
        <f aca="false">$N$28*SUMPRODUCT($E$40:$P$40,CJ320:CU320,$E$28:$P$28)</f>
        <v>0</v>
      </c>
      <c r="FT320" s="60" t="n">
        <f aca="false">$O$28*SUMPRODUCT($E$41:$P$41,CJ320:CU320,$E$28:$P$28)</f>
        <v>0</v>
      </c>
      <c r="FU320" s="60" t="n">
        <f aca="false">$P$28*SUMPRODUCT($E$42:$P$42,CJ320:CU320,$E$28:$P$28)</f>
        <v>0</v>
      </c>
      <c r="FV320" s="60" t="n">
        <f aca="false">SUMPRODUCT(CJ320:CU320,FJ320:FU320)</f>
        <v>0.184416866619846</v>
      </c>
      <c r="FW320" s="60" t="n">
        <f aca="false">SUMPRODUCT(CJ320:CU320,$E$27:$P$27)</f>
        <v>2.67389635063809E-005</v>
      </c>
      <c r="FX320" s="60" t="n">
        <f aca="false">FV320*$C$9/($C$10*$C$8)^2</f>
        <v>0.21776909410545</v>
      </c>
      <c r="FY320" s="60" t="n">
        <f aca="false">FW320*$C$9/($C$10*$C$8)</f>
        <v>0.0918845243259994</v>
      </c>
      <c r="FZ320" s="60" t="n">
        <f aca="false">CHOOSE($C$7,-(1+FY320),-1,-(1-FY320))</f>
        <v>-0.908115475674001</v>
      </c>
      <c r="GA320" s="60" t="n">
        <f aca="false">CHOOSE($C$7,FX320,FX320-FY320-FY320^2,FX320-3*FY320^2-2*FY320)</f>
        <v>0.00867174802160559</v>
      </c>
      <c r="GB320" s="60" t="n">
        <f aca="false">CHOOSE($C$7,-FX320*FY320,-FX320*FY320,-(FX320*FY320-FY320^2-FY320^3))</f>
        <v>-0.0107910842936637</v>
      </c>
      <c r="GC320" s="60" t="n">
        <f aca="false">GA320-FZ320^2/3</f>
        <v>-0.266219491031267</v>
      </c>
      <c r="GD320" s="60" t="n">
        <f aca="false">2*FZ320^3/27-FZ320*GA320/3+GB320</f>
        <v>-0.0636400988362784</v>
      </c>
      <c r="GE320" s="60" t="n">
        <f aca="false">GD320^2/4+GC320^3/27</f>
        <v>0.000313710901361829</v>
      </c>
      <c r="GF320" s="60" t="n">
        <f aca="false">-GD320/2-IF(GD320&gt;=0,1,-1)*SQRT(MAX(GE320,0))</f>
        <v>0.0495319352963236</v>
      </c>
      <c r="GG320" s="60" t="n">
        <f aca="false">SIGN(GF320)*ABS(GF320)^(1/3)</f>
        <v>0.367249967174439</v>
      </c>
      <c r="GH320" s="60" t="n">
        <f aca="false">IF(GG320=0,0,GG320-GC320/(3*GG320))</f>
        <v>0.60888329127384</v>
      </c>
      <c r="GI320" s="60" t="n">
        <f aca="false">2*SQRT(MAX(-GC320,0)/3)</f>
        <v>0.595784626668918</v>
      </c>
      <c r="GJ320" s="60" t="n">
        <f aca="false">ACOS(IF(GI320=0,0,MAX(-1,MIN(1,3*GD320/(GC320*GI320)))))</f>
        <v>0</v>
      </c>
      <c r="GK320" s="60" t="n">
        <f aca="false">GI320*COS(GJ320/3)</f>
        <v>0.595784626668918</v>
      </c>
      <c r="GL320" s="60" t="n">
        <f aca="false">IF(GE320&lt;0,GK320,GH320)-FZ320/3</f>
        <v>0.91158844983184</v>
      </c>
      <c r="GM320" s="60" t="n">
        <f aca="false">IFERROR((((GL320+FZ320)*GL320+GA320)*GL320+GB320)/((3*GL320+2*FZ320)*GL320+GA320),0)</f>
        <v>0</v>
      </c>
      <c r="GN320" s="60" t="n">
        <f aca="false">IF(ABS(GM320)&lt;0.1*ABS(GL320),GL320-GM320,GL320)</f>
        <v>0.91158844983184</v>
      </c>
      <c r="GO320" s="60" t="n">
        <f aca="false">IFERROR((((GN320+FZ320)*GN320+GA320)*GN320+GB320)/((3*GN320+2*FZ320)*GN320+GA320),0)</f>
        <v>0</v>
      </c>
      <c r="GP320" s="60" t="n">
        <f aca="false">IF(ABS(GO320)&lt;0.1*ABS(GN320),GN320-GO320,GN320)</f>
        <v>0.91158844983184</v>
      </c>
      <c r="GQ320" s="60" t="n">
        <f aca="false">-GB320/GP320</f>
        <v>0.0118376711504565</v>
      </c>
      <c r="GR320" s="60" t="n">
        <f aca="false">(GA320-GQ320)/GP320</f>
        <v>-0.00347297415783941</v>
      </c>
      <c r="GS320" s="60" t="n">
        <f aca="false">GR320^2-4*GQ320</f>
        <v>-0.0473386230523248</v>
      </c>
      <c r="GT320" s="60" t="n">
        <f aca="false">IF(GS320&gt;=0,(GR320+IF(GR320&gt;=0,1,-1)*SQRT(GS320))/2,0)</f>
        <v>0</v>
      </c>
      <c r="GU320" s="60" t="n">
        <f aca="false">IF(AND(GS320&gt;=0,GT320&lt;&gt;0),MIN(GT320,GQ320/GT320),-1)</f>
        <v>-1</v>
      </c>
      <c r="GV320" s="60" t="n">
        <f aca="false">AND(GS320&gt;=0,GU320&gt;FY320,ABS(GP320-GU320)&gt;=0.00005*MAX(GP320,GU320))</f>
        <v>0</v>
      </c>
      <c r="GW320" s="60" t="n">
        <f aca="false">IF(GV320,IFERROR((((GU320+FZ320)*GU320+GA320)*GU320+GB320)/((3*GU320+2*FZ320)*GU320+GA320),0),0)</f>
        <v>0</v>
      </c>
      <c r="GX320" s="60" t="n">
        <f aca="false">IF(ABS(GW320)&lt;0.1*ABS(GU320),GU320-GW320,GU320)</f>
        <v>-1</v>
      </c>
      <c r="GY320" s="60" t="n">
        <f aca="false">IF(GV320,IFERROR((((GX320+FZ320)*GX320+GA320)*GX320+GB320)/((3*GX320+2*FZ320)*GX320+GA320),0),0)</f>
        <v>0</v>
      </c>
      <c r="GZ320" s="60" t="n">
        <f aca="false">IF(ABS(GY320)&lt;0.1*ABS(GX320),GX320-GY320,GX320)</f>
        <v>-1</v>
      </c>
      <c r="HA320" s="60" t="n">
        <f aca="false">IF(GV320,MAX(GP320,GZ320),GP320)</f>
        <v>0.91158844983184</v>
      </c>
      <c r="HB320" s="60" t="n">
        <f aca="false">IF(GV320,MIN(GP320,GZ320),-1)</f>
        <v>-1</v>
      </c>
      <c r="HC320" s="60" t="n">
        <f aca="false">CHOOSE($C$7,FX320/HA320,FX320/FY320*LN(1+FY320/HA320),FX320/(2*SQRT(2)*FY320)*LN((HA320+(1+SQRT(2))*FY320)/(HA320+(1-SQRT(2))*FY320)))</f>
        <v>0.218240791233887</v>
      </c>
      <c r="HD320" s="60" t="n">
        <f aca="false">HA320-1-LN(HA320-FY320)-HC320</f>
        <v>-0.107840271021729</v>
      </c>
      <c r="HE320" s="60" t="n">
        <f aca="false">IF(GV320,CHOOSE($C$7,FX320/HB320,FX320/FY320*LN(1+FY320/HB320),FX320/(2*SQRT(2)*FY320)*LN((HB320+(1+SQRT(2))*FY320)/(HB320+(1-SQRT(2))*FY320))),0)</f>
        <v>0</v>
      </c>
      <c r="HF320" s="60" t="n">
        <f aca="false">IF(GV320,HB320-1-LN(HB320-FY320)-HE320,0)</f>
        <v>0</v>
      </c>
      <c r="HG320" s="60" t="n">
        <f aca="false">AND(GV320,HF320&lt;HD320)</f>
        <v>0</v>
      </c>
      <c r="HH320" s="60" t="n">
        <f aca="false">IF(HG320,HB320,HA320)</f>
        <v>0.91158844983184</v>
      </c>
      <c r="HI320" s="60" t="n">
        <f aca="false">IF(HG320,HE320,HC320)</f>
        <v>0.218240791233887</v>
      </c>
      <c r="HJ320" s="60" t="n">
        <f aca="false">LN(HH320-FY320)</f>
        <v>-0.198812070380318</v>
      </c>
      <c r="HK320" s="60" t="n">
        <f aca="false">$E$27/FW320*(HH320-1)-HJ320-HI320*(2*FJ320/FV320-$E$27/FW320)</f>
        <v>-0.107840271021729</v>
      </c>
      <c r="HL320" s="60" t="n">
        <f aca="false">$F$27/FW320*(HH320-1)-HJ320-HI320*(2*FK320/FV320-$F$27/FW320)</f>
        <v>0.198812070380318</v>
      </c>
      <c r="HM320" s="60" t="n">
        <f aca="false">$G$27/FW320*(HH320-1)-HJ320-HI320*(2*FL320/FV320-$G$27/FW320)</f>
        <v>0.198812070380318</v>
      </c>
      <c r="HN320" s="60" t="n">
        <f aca="false">$H$27/FW320*(HH320-1)-HJ320-HI320*(2*FM320/FV320-$H$27/FW320)</f>
        <v>0.198812070380318</v>
      </c>
      <c r="HO320" s="60" t="n">
        <f aca="false">$I$27/FW320*(HH320-1)-HJ320-HI320*(2*FN320/FV320-$I$27/FW320)</f>
        <v>0.198812070380318</v>
      </c>
      <c r="HP320" s="60" t="n">
        <f aca="false">$J$27/FW320*(HH320-1)-HJ320-HI320*(2*FO320/FV320-$J$27/FW320)</f>
        <v>0.198812070380318</v>
      </c>
      <c r="HQ320" s="60" t="n">
        <f aca="false">$K$27/FW320*(HH320-1)-HJ320-HI320*(2*FP320/FV320-$K$27/FW320)</f>
        <v>0.198812070380318</v>
      </c>
      <c r="HR320" s="60" t="n">
        <f aca="false">$L$27/FW320*(HH320-1)-HJ320-HI320*(2*FQ320/FV320-$L$27/FW320)</f>
        <v>0.198812070380318</v>
      </c>
      <c r="HS320" s="60" t="n">
        <f aca="false">$M$27/FW320*(HH320-1)-HJ320-HI320*(2*FR320/FV320-$M$27/FW320)</f>
        <v>0.198812070380318</v>
      </c>
      <c r="HT320" s="60" t="n">
        <f aca="false">$N$27/FW320*(HH320-1)-HJ320-HI320*(2*FS320/FV320-$N$27/FW320)</f>
        <v>0.198812070380318</v>
      </c>
      <c r="HU320" s="60" t="n">
        <f aca="false">$O$27/FW320*(HH320-1)-HJ320-HI320*(2*FT320/FV320-$O$27/FW320)</f>
        <v>0.198812070380318</v>
      </c>
      <c r="HV320" s="60" t="n">
        <f aca="false">$P$27/FW320*(HH320-1)-HJ320-HI320*(2*FU320/FV320-$P$27/FW320)</f>
        <v>0.198812070380318</v>
      </c>
      <c r="HW320" s="60" t="n">
        <f aca="false">FY320/HH320&gt;$C$22</f>
        <v>0</v>
      </c>
      <c r="HX320" s="60" t="n">
        <f aca="false">IF($E$13&gt;0,MAX(-300,MIN(300,EW320-HK320)),0)</f>
        <v>0</v>
      </c>
      <c r="HY320" s="60" t="n">
        <f aca="false">IF($F$13&gt;0,MAX(-300,MIN(300,EX320-HL320)),0)</f>
        <v>0</v>
      </c>
      <c r="HZ320" s="60" t="n">
        <f aca="false">IF($G$13&gt;0,MAX(-300,MIN(300,EY320-HM320)),0)</f>
        <v>0</v>
      </c>
      <c r="IA320" s="60" t="n">
        <f aca="false">IF($H$13&gt;0,MAX(-300,MIN(300,EZ320-HN320)),0)</f>
        <v>0</v>
      </c>
      <c r="IB320" s="60" t="n">
        <f aca="false">IF($I$13&gt;0,MAX(-300,MIN(300,FA320-HO320)),0)</f>
        <v>0</v>
      </c>
      <c r="IC320" s="60" t="n">
        <f aca="false">IF($J$13&gt;0,MAX(-300,MIN(300,FB320-HP320)),0)</f>
        <v>0</v>
      </c>
      <c r="ID320" s="60" t="n">
        <f aca="false">IF($K$13&gt;0,MAX(-300,MIN(300,FC320-HQ320)),0)</f>
        <v>0</v>
      </c>
      <c r="IE320" s="60" t="n">
        <f aca="false">IF($L$13&gt;0,MAX(-300,MIN(300,FD320-HR320)),0)</f>
        <v>0</v>
      </c>
      <c r="IF320" s="60" t="n">
        <f aca="false">IF($M$13&gt;0,MAX(-300,MIN(300,FE320-HS320)),0)</f>
        <v>0</v>
      </c>
      <c r="IG320" s="60" t="n">
        <f aca="false">IF($N$13&gt;0,MAX(-300,MIN(300,FF320-HT320)),0)</f>
        <v>0</v>
      </c>
      <c r="IH320" s="60" t="n">
        <f aca="false">IF($O$13&gt;0,MAX(-300,MIN(300,FG320-HU320)),0)</f>
        <v>0</v>
      </c>
      <c r="II320" s="60" t="n">
        <f aca="false">IF($P$13&gt;0,MAX(-300,MIN(300,FH320-HV320)),0)</f>
        <v>0</v>
      </c>
      <c r="IJ320" s="60" t="n">
        <f aca="false">SUMXMY2(HX320:II320,B320:M320)</f>
        <v>0</v>
      </c>
      <c r="IK320" s="60" t="n">
        <f aca="false">SUMSQ(B320:M320)</f>
        <v>0</v>
      </c>
    </row>
    <row r="321" customFormat="false" ht="15" hidden="false" customHeight="false" outlineLevel="0" collapsed="false">
      <c r="A321" s="59" t="n">
        <v>24</v>
      </c>
      <c r="B321" s="60" t="n">
        <f aca="false">HX320</f>
        <v>0</v>
      </c>
      <c r="C321" s="60" t="n">
        <f aca="false">HY320</f>
        <v>0</v>
      </c>
      <c r="D321" s="60" t="n">
        <f aca="false">HZ320</f>
        <v>0</v>
      </c>
      <c r="E321" s="60" t="n">
        <f aca="false">IA320</f>
        <v>0</v>
      </c>
      <c r="F321" s="60" t="n">
        <f aca="false">IB320</f>
        <v>0</v>
      </c>
      <c r="G321" s="60" t="n">
        <f aca="false">IC320</f>
        <v>0</v>
      </c>
      <c r="H321" s="60" t="n">
        <f aca="false">ID320</f>
        <v>0</v>
      </c>
      <c r="I321" s="60" t="n">
        <f aca="false">IE320</f>
        <v>0</v>
      </c>
      <c r="J321" s="60" t="n">
        <f aca="false">IF320</f>
        <v>0</v>
      </c>
      <c r="K321" s="60" t="n">
        <f aca="false">IG320</f>
        <v>0</v>
      </c>
      <c r="L321" s="60" t="n">
        <f aca="false">IH320</f>
        <v>0</v>
      </c>
      <c r="M321" s="60" t="n">
        <f aca="false">II320</f>
        <v>0</v>
      </c>
      <c r="N321" s="60" t="n">
        <f aca="false">EXP(B321)</f>
        <v>1</v>
      </c>
      <c r="O321" s="60" t="n">
        <f aca="false">EXP(C321)</f>
        <v>1</v>
      </c>
      <c r="P321" s="60" t="n">
        <f aca="false">EXP(D321)</f>
        <v>1</v>
      </c>
      <c r="Q321" s="60" t="n">
        <f aca="false">EXP(E321)</f>
        <v>1</v>
      </c>
      <c r="R321" s="60" t="n">
        <f aca="false">EXP(F321)</f>
        <v>1</v>
      </c>
      <c r="S321" s="60" t="n">
        <f aca="false">EXP(G321)</f>
        <v>1</v>
      </c>
      <c r="T321" s="60" t="n">
        <f aca="false">EXP(H321)</f>
        <v>1</v>
      </c>
      <c r="U321" s="60" t="n">
        <f aca="false">EXP(I321)</f>
        <v>1</v>
      </c>
      <c r="V321" s="60" t="n">
        <f aca="false">EXP(J321)</f>
        <v>1</v>
      </c>
      <c r="W321" s="60" t="n">
        <f aca="false">EXP(K321)</f>
        <v>1</v>
      </c>
      <c r="X321" s="60" t="n">
        <f aca="false">EXP(L321)</f>
        <v>1</v>
      </c>
      <c r="Y321" s="60" t="n">
        <f aca="false">EXP(M321)</f>
        <v>1</v>
      </c>
      <c r="Z321" s="60" t="n">
        <f aca="false">MAX(N321:Y321)</f>
        <v>1</v>
      </c>
      <c r="AA321" s="60" t="n">
        <f aca="false">MIN(N321:Y321)</f>
        <v>1</v>
      </c>
      <c r="AB321" s="60" t="n">
        <f aca="false">AND(Z321&gt;1,AA321&lt;1)</f>
        <v>0</v>
      </c>
      <c r="AC321" s="60" t="n">
        <f aca="false">IF(AB321,1/(1-Z321),0)</f>
        <v>0</v>
      </c>
      <c r="AD321" s="60" t="n">
        <f aca="false">IF(AB321,1/(1-AA321),1)</f>
        <v>1</v>
      </c>
      <c r="AE321" s="60" t="n">
        <f aca="false">IF(AB321,MIN(MAX(BI320,AC321+0.000000001*(AD321-AC321)),AD321-0.000000001*(AD321-AC321)),IF(AA321&gt;=1,1,0))</f>
        <v>1</v>
      </c>
      <c r="AF321" s="60" t="n">
        <f aca="false">SUMPRODUCT($E$13:$P$13*(N321:Y321-1)/(1+AE321*(N321:Y321-1)))</f>
        <v>0</v>
      </c>
      <c r="AG321" s="60" t="n">
        <f aca="false">-SUMPRODUCT($E$13:$P$13*(N321:Y321-1)^2/(1+AE321*(N321:Y321-1))^2)</f>
        <v>-0</v>
      </c>
      <c r="AH321" s="60" t="n">
        <f aca="false">IF(OR(NOT(AB321),AG321=0),AE321,IF(AE321-AF321/AG321&lt;=AC321,(AE321+AC321)/2,IF(AE321-AF321/AG321&gt;=AD321,(AE321+AD321)/2,AE321-AF321/AG321)))</f>
        <v>1</v>
      </c>
      <c r="AI321" s="60" t="n">
        <f aca="false">SUMPRODUCT($E$13:$P$13*(N321:Y321-1)/(1+AH321*(N321:Y321-1)))</f>
        <v>0</v>
      </c>
      <c r="AJ321" s="60" t="n">
        <f aca="false">-SUMPRODUCT($E$13:$P$13*(N321:Y321-1)^2/(1+AH321*(N321:Y321-1))^2)</f>
        <v>-0</v>
      </c>
      <c r="AK321" s="60" t="n">
        <f aca="false">IF(OR(NOT(AB321),AJ321=0),AH321,IF(AH321-AI321/AJ321&lt;=AC321,(AH321+AC321)/2,IF(AH321-AI321/AJ321&gt;=AD321,(AH321+AD321)/2,AH321-AI321/AJ321)))</f>
        <v>1</v>
      </c>
      <c r="AL321" s="60" t="n">
        <f aca="false">SUMPRODUCT($E$13:$P$13*(N321:Y321-1)/(1+AK321*(N321:Y321-1)))</f>
        <v>0</v>
      </c>
      <c r="AM321" s="60" t="n">
        <f aca="false">-SUMPRODUCT($E$13:$P$13*(N321:Y321-1)^2/(1+AK321*(N321:Y321-1))^2)</f>
        <v>-0</v>
      </c>
      <c r="AN321" s="60" t="n">
        <f aca="false">IF(OR(NOT(AB321),AM321=0),AK321,IF(AK321-AL321/AM321&lt;=AC321,(AK321+AC321)/2,IF(AK321-AL321/AM321&gt;=AD321,(AK321+AD321)/2,AK321-AL321/AM321)))</f>
        <v>1</v>
      </c>
      <c r="AO321" s="60" t="n">
        <f aca="false">SUMPRODUCT($E$13:$P$13*(N321:Y321-1)/(1+AN321*(N321:Y321-1)))</f>
        <v>0</v>
      </c>
      <c r="AP321" s="60" t="n">
        <f aca="false">-SUMPRODUCT($E$13:$P$13*(N321:Y321-1)^2/(1+AN321*(N321:Y321-1))^2)</f>
        <v>-0</v>
      </c>
      <c r="AQ321" s="60" t="n">
        <f aca="false">IF(OR(NOT(AB321),AP321=0),AN321,IF(AN321-AO321/AP321&lt;=AC321,(AN321+AC321)/2,IF(AN321-AO321/AP321&gt;=AD321,(AN321+AD321)/2,AN321-AO321/AP321)))</f>
        <v>1</v>
      </c>
      <c r="AR321" s="60" t="n">
        <f aca="false">SUMPRODUCT($E$13:$P$13*(N321:Y321-1)/(1+AQ321*(N321:Y321-1)))</f>
        <v>0</v>
      </c>
      <c r="AS321" s="60" t="n">
        <f aca="false">-SUMPRODUCT($E$13:$P$13*(N321:Y321-1)^2/(1+AQ321*(N321:Y321-1))^2)</f>
        <v>-0</v>
      </c>
      <c r="AT321" s="60" t="n">
        <f aca="false">IF(OR(NOT(AB321),AS321=0),AQ321,IF(AQ321-AR321/AS321&lt;=AC321,(AQ321+AC321)/2,IF(AQ321-AR321/AS321&gt;=AD321,(AQ321+AD321)/2,AQ321-AR321/AS321)))</f>
        <v>1</v>
      </c>
      <c r="AU321" s="60" t="n">
        <f aca="false">SUMPRODUCT($E$13:$P$13*(N321:Y321-1)/(1+AT321*(N321:Y321-1)))</f>
        <v>0</v>
      </c>
      <c r="AV321" s="60" t="n">
        <f aca="false">-SUMPRODUCT($E$13:$P$13*(N321:Y321-1)^2/(1+AT321*(N321:Y321-1))^2)</f>
        <v>-0</v>
      </c>
      <c r="AW321" s="60" t="n">
        <f aca="false">IF(OR(NOT(AB321),AV321=0),AT321,IF(AT321-AU321/AV321&lt;=AC321,(AT321+AC321)/2,IF(AT321-AU321/AV321&gt;=AD321,(AT321+AD321)/2,AT321-AU321/AV321)))</f>
        <v>1</v>
      </c>
      <c r="AX321" s="60" t="n">
        <f aca="false">SUMPRODUCT($E$13:$P$13*(N321:Y321-1)/(1+AW321*(N321:Y321-1)))</f>
        <v>0</v>
      </c>
      <c r="AY321" s="60" t="n">
        <f aca="false">-SUMPRODUCT($E$13:$P$13*(N321:Y321-1)^2/(1+AW321*(N321:Y321-1))^2)</f>
        <v>-0</v>
      </c>
      <c r="AZ321" s="60" t="n">
        <f aca="false">IF(OR(NOT(AB321),AY321=0),AW321,IF(AW321-AX321/AY321&lt;=AC321,(AW321+AC321)/2,IF(AW321-AX321/AY321&gt;=AD321,(AW321+AD321)/2,AW321-AX321/AY321)))</f>
        <v>1</v>
      </c>
      <c r="BA321" s="60" t="n">
        <f aca="false">SUMPRODUCT($E$13:$P$13*(N321:Y321-1)/(1+AZ321*(N321:Y321-1)))</f>
        <v>0</v>
      </c>
      <c r="BB321" s="60" t="n">
        <f aca="false">-SUMPRODUCT($E$13:$P$13*(N321:Y321-1)^2/(1+AZ321*(N321:Y321-1))^2)</f>
        <v>-0</v>
      </c>
      <c r="BC321" s="60" t="n">
        <f aca="false">IF(OR(NOT(AB321),BB321=0),AZ321,IF(AZ321-BA321/BB321&lt;=AC321,(AZ321+AC321)/2,IF(AZ321-BA321/BB321&gt;=AD321,(AZ321+AD321)/2,AZ321-BA321/BB321)))</f>
        <v>1</v>
      </c>
      <c r="BD321" s="60" t="n">
        <f aca="false">SUMPRODUCT($E$13:$P$13*(N321:Y321-1)/(1+BC321*(N321:Y321-1)))</f>
        <v>0</v>
      </c>
      <c r="BE321" s="60" t="n">
        <f aca="false">-SUMPRODUCT($E$13:$P$13*(N321:Y321-1)^2/(1+BC321*(N321:Y321-1))^2)</f>
        <v>-0</v>
      </c>
      <c r="BF321" s="60" t="n">
        <f aca="false">IF(OR(NOT(AB321),BE321=0),BC321,IF(BC321-BD321/BE321&lt;=AC321,(BC321+AC321)/2,IF(BC321-BD321/BE321&gt;=AD321,(BC321+AD321)/2,BC321-BD321/BE321)))</f>
        <v>1</v>
      </c>
      <c r="BG321" s="60" t="n">
        <f aca="false">SUMPRODUCT($E$13:$P$13*(N321:Y321-1)/(1+BF321*(N321:Y321-1)))</f>
        <v>0</v>
      </c>
      <c r="BH321" s="60" t="n">
        <f aca="false">-SUMPRODUCT($E$13:$P$13*(N321:Y321-1)^2/(1+BF321*(N321:Y321-1))^2)</f>
        <v>-0</v>
      </c>
      <c r="BI321" s="60" t="n">
        <f aca="false">IF(OR(NOT(AB321),BH321=0),BF321,IF(BF321-BG321/BH321&lt;=AC321,(BF321+AC321)/2,IF(BF321-BG321/BH321&gt;=AD321,(BF321+AD321)/2,BF321-BG321/BH321)))</f>
        <v>1</v>
      </c>
      <c r="BJ321" s="60" t="n">
        <f aca="false">$E$13/(1+BI321*(N321-1))</f>
        <v>1</v>
      </c>
      <c r="BK321" s="60" t="n">
        <f aca="false">$F$13/(1+BI321*(O321-1))</f>
        <v>0</v>
      </c>
      <c r="BL321" s="60" t="n">
        <f aca="false">$G$13/(1+BI321*(P321-1))</f>
        <v>0</v>
      </c>
      <c r="BM321" s="60" t="n">
        <f aca="false">$H$13/(1+BI321*(Q321-1))</f>
        <v>0</v>
      </c>
      <c r="BN321" s="60" t="n">
        <f aca="false">$I$13/(1+BI321*(R321-1))</f>
        <v>0</v>
      </c>
      <c r="BO321" s="60" t="n">
        <f aca="false">$J$13/(1+BI321*(S321-1))</f>
        <v>0</v>
      </c>
      <c r="BP321" s="60" t="n">
        <f aca="false">$K$13/(1+BI321*(T321-1))</f>
        <v>0</v>
      </c>
      <c r="BQ321" s="60" t="n">
        <f aca="false">$L$13/(1+BI321*(U321-1))</f>
        <v>0</v>
      </c>
      <c r="BR321" s="60" t="n">
        <f aca="false">$M$13/(1+BI321*(V321-1))</f>
        <v>0</v>
      </c>
      <c r="BS321" s="60" t="n">
        <f aca="false">$N$13/(1+BI321*(W321-1))</f>
        <v>0</v>
      </c>
      <c r="BT321" s="60" t="n">
        <f aca="false">$O$13/(1+BI321*(X321-1))</f>
        <v>0</v>
      </c>
      <c r="BU321" s="60" t="n">
        <f aca="false">$P$13/(1+BI321*(Y321-1))</f>
        <v>0</v>
      </c>
      <c r="BV321" s="60" t="n">
        <f aca="false">SUM(BJ321:BU321)</f>
        <v>1</v>
      </c>
      <c r="BW321" s="60" t="n">
        <f aca="false">SUMPRODUCT(N321:Y321,BJ321:BU321)</f>
        <v>1</v>
      </c>
      <c r="BX321" s="60" t="n">
        <f aca="false">BJ321/BV321</f>
        <v>1</v>
      </c>
      <c r="BY321" s="60" t="n">
        <f aca="false">BK321/BV321</f>
        <v>0</v>
      </c>
      <c r="BZ321" s="60" t="n">
        <f aca="false">BL321/BV321</f>
        <v>0</v>
      </c>
      <c r="CA321" s="60" t="n">
        <f aca="false">BM321/BV321</f>
        <v>0</v>
      </c>
      <c r="CB321" s="60" t="n">
        <f aca="false">BN321/BV321</f>
        <v>0</v>
      </c>
      <c r="CC321" s="60" t="n">
        <f aca="false">BO321/BV321</f>
        <v>0</v>
      </c>
      <c r="CD321" s="60" t="n">
        <f aca="false">BP321/BV321</f>
        <v>0</v>
      </c>
      <c r="CE321" s="60" t="n">
        <f aca="false">BQ321/BV321</f>
        <v>0</v>
      </c>
      <c r="CF321" s="60" t="n">
        <f aca="false">BR321/BV321</f>
        <v>0</v>
      </c>
      <c r="CG321" s="60" t="n">
        <f aca="false">BS321/BV321</f>
        <v>0</v>
      </c>
      <c r="CH321" s="60" t="n">
        <f aca="false">BT321/BV321</f>
        <v>0</v>
      </c>
      <c r="CI321" s="60" t="n">
        <f aca="false">BU321/BV321</f>
        <v>0</v>
      </c>
      <c r="CJ321" s="60" t="n">
        <f aca="false">N321*BJ321/BW321</f>
        <v>1</v>
      </c>
      <c r="CK321" s="60" t="n">
        <f aca="false">O321*BK321/BW321</f>
        <v>0</v>
      </c>
      <c r="CL321" s="60" t="n">
        <f aca="false">P321*BL321/BW321</f>
        <v>0</v>
      </c>
      <c r="CM321" s="60" t="n">
        <f aca="false">Q321*BM321/BW321</f>
        <v>0</v>
      </c>
      <c r="CN321" s="60" t="n">
        <f aca="false">R321*BN321/BW321</f>
        <v>0</v>
      </c>
      <c r="CO321" s="60" t="n">
        <f aca="false">S321*BO321/BW321</f>
        <v>0</v>
      </c>
      <c r="CP321" s="60" t="n">
        <f aca="false">T321*BP321/BW321</f>
        <v>0</v>
      </c>
      <c r="CQ321" s="60" t="n">
        <f aca="false">U321*BQ321/BW321</f>
        <v>0</v>
      </c>
      <c r="CR321" s="60" t="n">
        <f aca="false">V321*BR321/BW321</f>
        <v>0</v>
      </c>
      <c r="CS321" s="60" t="n">
        <f aca="false">W321*BS321/BW321</f>
        <v>0</v>
      </c>
      <c r="CT321" s="60" t="n">
        <f aca="false">X321*BT321/BW321</f>
        <v>0</v>
      </c>
      <c r="CU321" s="60" t="n">
        <f aca="false">Y321*BU321/BW321</f>
        <v>0</v>
      </c>
      <c r="CV321" s="60" t="n">
        <f aca="false">$E$28*SUMPRODUCT($E$31:$P$31,BX321:CI321,$E$28:$P$28)</f>
        <v>0.184416866619846</v>
      </c>
      <c r="CW321" s="60" t="n">
        <f aca="false">$F$28*SUMPRODUCT($E$32:$P$32,BX321:CI321,$E$28:$P$28)</f>
        <v>0</v>
      </c>
      <c r="CX321" s="60" t="n">
        <f aca="false">$G$28*SUMPRODUCT($E$33:$P$33,BX321:CI321,$E$28:$P$28)</f>
        <v>0</v>
      </c>
      <c r="CY321" s="60" t="n">
        <f aca="false">$H$28*SUMPRODUCT($E$34:$P$34,BX321:CI321,$E$28:$P$28)</f>
        <v>0</v>
      </c>
      <c r="CZ321" s="60" t="n">
        <f aca="false">$I$28*SUMPRODUCT($E$35:$P$35,BX321:CI321,$E$28:$P$28)</f>
        <v>0</v>
      </c>
      <c r="DA321" s="60" t="n">
        <f aca="false">$J$28*SUMPRODUCT($E$36:$P$36,BX321:CI321,$E$28:$P$28)</f>
        <v>0</v>
      </c>
      <c r="DB321" s="60" t="n">
        <f aca="false">$K$28*SUMPRODUCT($E$37:$P$37,BX321:CI321,$E$28:$P$28)</f>
        <v>0</v>
      </c>
      <c r="DC321" s="60" t="n">
        <f aca="false">$L$28*SUMPRODUCT($E$38:$P$38,BX321:CI321,$E$28:$P$28)</f>
        <v>0</v>
      </c>
      <c r="DD321" s="60" t="n">
        <f aca="false">$M$28*SUMPRODUCT($E$39:$P$39,BX321:CI321,$E$28:$P$28)</f>
        <v>0</v>
      </c>
      <c r="DE321" s="60" t="n">
        <f aca="false">$N$28*SUMPRODUCT($E$40:$P$40,BX321:CI321,$E$28:$P$28)</f>
        <v>0</v>
      </c>
      <c r="DF321" s="60" t="n">
        <f aca="false">$O$28*SUMPRODUCT($E$41:$P$41,BX321:CI321,$E$28:$P$28)</f>
        <v>0</v>
      </c>
      <c r="DG321" s="60" t="n">
        <f aca="false">$P$28*SUMPRODUCT($E$42:$P$42,BX321:CI321,$E$28:$P$28)</f>
        <v>0</v>
      </c>
      <c r="DH321" s="60" t="n">
        <f aca="false">SUMPRODUCT(BX321:CI321,CV321:DG321)</f>
        <v>0.184416866619846</v>
      </c>
      <c r="DI321" s="60" t="n">
        <f aca="false">SUMPRODUCT(BX321:CI321,$E$27:$P$27)</f>
        <v>2.67389635063809E-005</v>
      </c>
      <c r="DJ321" s="60" t="n">
        <f aca="false">DH321*$C$9/($C$10*$C$8)^2</f>
        <v>0.21776909410545</v>
      </c>
      <c r="DK321" s="60" t="n">
        <f aca="false">DI321*$C$9/($C$10*$C$8)</f>
        <v>0.0918845243259994</v>
      </c>
      <c r="DL321" s="60" t="n">
        <f aca="false">CHOOSE($C$7,-(1+DK321),-1,-(1-DK321))</f>
        <v>-0.908115475674001</v>
      </c>
      <c r="DM321" s="60" t="n">
        <f aca="false">CHOOSE($C$7,DJ321,DJ321-DK321-DK321^2,DJ321-3*DK321^2-2*DK321)</f>
        <v>0.00867174802160559</v>
      </c>
      <c r="DN321" s="60" t="n">
        <f aca="false">CHOOSE($C$7,-DJ321*DK321,-DJ321*DK321,-(DJ321*DK321-DK321^2-DK321^3))</f>
        <v>-0.0107910842936637</v>
      </c>
      <c r="DO321" s="60" t="n">
        <f aca="false">DM321-DL321^2/3</f>
        <v>-0.266219491031267</v>
      </c>
      <c r="DP321" s="60" t="n">
        <f aca="false">2*DL321^3/27-DL321*DM321/3+DN321</f>
        <v>-0.0636400988362784</v>
      </c>
      <c r="DQ321" s="60" t="n">
        <f aca="false">DP321^2/4+DO321^3/27</f>
        <v>0.000313710901361829</v>
      </c>
      <c r="DR321" s="60" t="n">
        <f aca="false">-DP321/2-IF(DP321&gt;=0,1,-1)*SQRT(MAX(DQ321,0))</f>
        <v>0.0495319352963236</v>
      </c>
      <c r="DS321" s="60" t="n">
        <f aca="false">SIGN(DR321)*ABS(DR321)^(1/3)</f>
        <v>0.367249967174439</v>
      </c>
      <c r="DT321" s="60" t="n">
        <f aca="false">IF(DS321=0,0,DS321-DO321/(3*DS321))</f>
        <v>0.60888329127384</v>
      </c>
      <c r="DU321" s="60" t="n">
        <f aca="false">2*SQRT(MAX(-DO321,0)/3)</f>
        <v>0.595784626668918</v>
      </c>
      <c r="DV321" s="60" t="n">
        <f aca="false">ACOS(IF(DU321=0,0,MAX(-1,MIN(1,3*DP321/(DO321*DU321)))))</f>
        <v>0</v>
      </c>
      <c r="DW321" s="60" t="n">
        <f aca="false">DU321*COS(DV321/3)</f>
        <v>0.595784626668918</v>
      </c>
      <c r="DX321" s="60" t="n">
        <f aca="false">IF(DQ321&lt;0,DW321,DT321)-DL321/3</f>
        <v>0.91158844983184</v>
      </c>
      <c r="DY321" s="60" t="n">
        <f aca="false">IFERROR((((DX321+DL321)*DX321+DM321)*DX321+DN321)/((3*DX321+2*DL321)*DX321+DM321),0)</f>
        <v>0</v>
      </c>
      <c r="DZ321" s="60" t="n">
        <f aca="false">IF(ABS(DY321)&lt;0.1*ABS(DX321),DX321-DY321,DX321)</f>
        <v>0.91158844983184</v>
      </c>
      <c r="EA321" s="60" t="n">
        <f aca="false">IFERROR((((DZ321+DL321)*DZ321+DM321)*DZ321+DN321)/((3*DZ321+2*DL321)*DZ321+DM321),0)</f>
        <v>0</v>
      </c>
      <c r="EB321" s="60" t="n">
        <f aca="false">IF(ABS(EA321)&lt;0.1*ABS(DZ321),DZ321-EA321,DZ321)</f>
        <v>0.91158844983184</v>
      </c>
      <c r="EC321" s="60" t="n">
        <f aca="false">-DN321/EB321</f>
        <v>0.0118376711504565</v>
      </c>
      <c r="ED321" s="60" t="n">
        <f aca="false">(DM321-EC321)/EB321</f>
        <v>-0.00347297415783941</v>
      </c>
      <c r="EE321" s="60" t="n">
        <f aca="false">ED321^2-4*EC321</f>
        <v>-0.0473386230523248</v>
      </c>
      <c r="EF321" s="60" t="n">
        <f aca="false">IF(EE321&gt;=0,(ED321+IF(ED321&gt;=0,1,-1)*SQRT(EE321))/2,0)</f>
        <v>0</v>
      </c>
      <c r="EG321" s="60" t="n">
        <f aca="false">IF(AND(EE321&gt;=0,EF321&lt;&gt;0),MIN(EF321,EC321/EF321),-1)</f>
        <v>-1</v>
      </c>
      <c r="EH321" s="60" t="n">
        <f aca="false">AND(EE321&gt;=0,EG321&gt;DK321,ABS(EB321-EG321)&gt;=0.00005*MAX(EB321,EG321))</f>
        <v>0</v>
      </c>
      <c r="EI321" s="60" t="n">
        <f aca="false">IF(EH321,IFERROR((((EG321+DL321)*EG321+DM321)*EG321+DN321)/((3*EG321+2*DL321)*EG321+DM321),0),0)</f>
        <v>0</v>
      </c>
      <c r="EJ321" s="60" t="n">
        <f aca="false">IF(ABS(EI321)&lt;0.1*ABS(EG321),EG321-EI321,EG321)</f>
        <v>-1</v>
      </c>
      <c r="EK321" s="60" t="n">
        <f aca="false">IF(EH321,IFERROR((((EJ321+DL321)*EJ321+DM321)*EJ321+DN321)/((3*EJ321+2*DL321)*EJ321+DM321),0),0)</f>
        <v>0</v>
      </c>
      <c r="EL321" s="60" t="n">
        <f aca="false">IF(ABS(EK321)&lt;0.1*ABS(EJ321),EJ321-EK321,EJ321)</f>
        <v>-1</v>
      </c>
      <c r="EM321" s="60" t="n">
        <f aca="false">IF(EH321,MAX(EB321,EL321),EB321)</f>
        <v>0.91158844983184</v>
      </c>
      <c r="EN321" s="60" t="n">
        <f aca="false">IF(EH321,MIN(EB321,EL321),-1)</f>
        <v>-1</v>
      </c>
      <c r="EO321" s="60" t="n">
        <f aca="false">CHOOSE($C$7,DJ321/EM321,DJ321/DK321*LN(1+DK321/EM321),DJ321/(2*SQRT(2)*DK321)*LN((EM321+(1+SQRT(2))*DK321)/(EM321+(1-SQRT(2))*DK321)))</f>
        <v>0.218240791233887</v>
      </c>
      <c r="EP321" s="60" t="n">
        <f aca="false">EM321-1-LN(EM321-DK321)-EO321</f>
        <v>-0.107840271021729</v>
      </c>
      <c r="EQ321" s="60" t="n">
        <f aca="false">IF(EH321,CHOOSE($C$7,DJ321/EN321,DJ321/DK321*LN(1+DK321/EN321),DJ321/(2*SQRT(2)*DK321)*LN((EN321+(1+SQRT(2))*DK321)/(EN321+(1-SQRT(2))*DK321))),0)</f>
        <v>0</v>
      </c>
      <c r="ER321" s="60" t="n">
        <f aca="false">IF(EH321,EN321-1-LN(EN321-DK321)-EQ321,0)</f>
        <v>0</v>
      </c>
      <c r="ES321" s="60" t="n">
        <f aca="false">AND(EH321,ER321&lt;EP321)</f>
        <v>0</v>
      </c>
      <c r="ET321" s="60" t="n">
        <f aca="false">IF(ES321,EN321,EM321)</f>
        <v>0.91158844983184</v>
      </c>
      <c r="EU321" s="60" t="n">
        <f aca="false">IF(ES321,EQ321,EO321)</f>
        <v>0.218240791233887</v>
      </c>
      <c r="EV321" s="60" t="n">
        <f aca="false">LN(ET321-DK321)</f>
        <v>-0.198812070380318</v>
      </c>
      <c r="EW321" s="60" t="n">
        <f aca="false">$E$27/DI321*(ET321-1)-EV321-EU321*(2*CV321/DH321-$E$27/DI321)</f>
        <v>-0.107840271021729</v>
      </c>
      <c r="EX321" s="60" t="n">
        <f aca="false">$F$27/DI321*(ET321-1)-EV321-EU321*(2*CW321/DH321-$F$27/DI321)</f>
        <v>0.198812070380318</v>
      </c>
      <c r="EY321" s="60" t="n">
        <f aca="false">$G$27/DI321*(ET321-1)-EV321-EU321*(2*CX321/DH321-$G$27/DI321)</f>
        <v>0.198812070380318</v>
      </c>
      <c r="EZ321" s="60" t="n">
        <f aca="false">$H$27/DI321*(ET321-1)-EV321-EU321*(2*CY321/DH321-$H$27/DI321)</f>
        <v>0.198812070380318</v>
      </c>
      <c r="FA321" s="60" t="n">
        <f aca="false">$I$27/DI321*(ET321-1)-EV321-EU321*(2*CZ321/DH321-$I$27/DI321)</f>
        <v>0.198812070380318</v>
      </c>
      <c r="FB321" s="60" t="n">
        <f aca="false">$J$27/DI321*(ET321-1)-EV321-EU321*(2*DA321/DH321-$J$27/DI321)</f>
        <v>0.198812070380318</v>
      </c>
      <c r="FC321" s="60" t="n">
        <f aca="false">$K$27/DI321*(ET321-1)-EV321-EU321*(2*DB321/DH321-$K$27/DI321)</f>
        <v>0.198812070380318</v>
      </c>
      <c r="FD321" s="60" t="n">
        <f aca="false">$L$27/DI321*(ET321-1)-EV321-EU321*(2*DC321/DH321-$L$27/DI321)</f>
        <v>0.198812070380318</v>
      </c>
      <c r="FE321" s="60" t="n">
        <f aca="false">$M$27/DI321*(ET321-1)-EV321-EU321*(2*DD321/DH321-$M$27/DI321)</f>
        <v>0.198812070380318</v>
      </c>
      <c r="FF321" s="60" t="n">
        <f aca="false">$N$27/DI321*(ET321-1)-EV321-EU321*(2*DE321/DH321-$N$27/DI321)</f>
        <v>0.198812070380318</v>
      </c>
      <c r="FG321" s="60" t="n">
        <f aca="false">$O$27/DI321*(ET321-1)-EV321-EU321*(2*DF321/DH321-$O$27/DI321)</f>
        <v>0.198812070380318</v>
      </c>
      <c r="FH321" s="60" t="n">
        <f aca="false">$P$27/DI321*(ET321-1)-EV321-EU321*(2*DG321/DH321-$P$27/DI321)</f>
        <v>0.198812070380318</v>
      </c>
      <c r="FI321" s="60" t="n">
        <f aca="false">DK321/ET321&gt;$C$22</f>
        <v>0</v>
      </c>
      <c r="FJ321" s="60" t="n">
        <f aca="false">$E$28*SUMPRODUCT($E$31:$P$31,CJ321:CU321,$E$28:$P$28)</f>
        <v>0.184416866619846</v>
      </c>
      <c r="FK321" s="60" t="n">
        <f aca="false">$F$28*SUMPRODUCT($E$32:$P$32,CJ321:CU321,$E$28:$P$28)</f>
        <v>0</v>
      </c>
      <c r="FL321" s="60" t="n">
        <f aca="false">$G$28*SUMPRODUCT($E$33:$P$33,CJ321:CU321,$E$28:$P$28)</f>
        <v>0</v>
      </c>
      <c r="FM321" s="60" t="n">
        <f aca="false">$H$28*SUMPRODUCT($E$34:$P$34,CJ321:CU321,$E$28:$P$28)</f>
        <v>0</v>
      </c>
      <c r="FN321" s="60" t="n">
        <f aca="false">$I$28*SUMPRODUCT($E$35:$P$35,CJ321:CU321,$E$28:$P$28)</f>
        <v>0</v>
      </c>
      <c r="FO321" s="60" t="n">
        <f aca="false">$J$28*SUMPRODUCT($E$36:$P$36,CJ321:CU321,$E$28:$P$28)</f>
        <v>0</v>
      </c>
      <c r="FP321" s="60" t="n">
        <f aca="false">$K$28*SUMPRODUCT($E$37:$P$37,CJ321:CU321,$E$28:$P$28)</f>
        <v>0</v>
      </c>
      <c r="FQ321" s="60" t="n">
        <f aca="false">$L$28*SUMPRODUCT($E$38:$P$38,CJ321:CU321,$E$28:$P$28)</f>
        <v>0</v>
      </c>
      <c r="FR321" s="60" t="n">
        <f aca="false">$M$28*SUMPRODUCT($E$39:$P$39,CJ321:CU321,$E$28:$P$28)</f>
        <v>0</v>
      </c>
      <c r="FS321" s="60" t="n">
        <f aca="false">$N$28*SUMPRODUCT($E$40:$P$40,CJ321:CU321,$E$28:$P$28)</f>
        <v>0</v>
      </c>
      <c r="FT321" s="60" t="n">
        <f aca="false">$O$28*SUMPRODUCT($E$41:$P$41,CJ321:CU321,$E$28:$P$28)</f>
        <v>0</v>
      </c>
      <c r="FU321" s="60" t="n">
        <f aca="false">$P$28*SUMPRODUCT($E$42:$P$42,CJ321:CU321,$E$28:$P$28)</f>
        <v>0</v>
      </c>
      <c r="FV321" s="60" t="n">
        <f aca="false">SUMPRODUCT(CJ321:CU321,FJ321:FU321)</f>
        <v>0.184416866619846</v>
      </c>
      <c r="FW321" s="60" t="n">
        <f aca="false">SUMPRODUCT(CJ321:CU321,$E$27:$P$27)</f>
        <v>2.67389635063809E-005</v>
      </c>
      <c r="FX321" s="60" t="n">
        <f aca="false">FV321*$C$9/($C$10*$C$8)^2</f>
        <v>0.21776909410545</v>
      </c>
      <c r="FY321" s="60" t="n">
        <f aca="false">FW321*$C$9/($C$10*$C$8)</f>
        <v>0.0918845243259994</v>
      </c>
      <c r="FZ321" s="60" t="n">
        <f aca="false">CHOOSE($C$7,-(1+FY321),-1,-(1-FY321))</f>
        <v>-0.908115475674001</v>
      </c>
      <c r="GA321" s="60" t="n">
        <f aca="false">CHOOSE($C$7,FX321,FX321-FY321-FY321^2,FX321-3*FY321^2-2*FY321)</f>
        <v>0.00867174802160559</v>
      </c>
      <c r="GB321" s="60" t="n">
        <f aca="false">CHOOSE($C$7,-FX321*FY321,-FX321*FY321,-(FX321*FY321-FY321^2-FY321^3))</f>
        <v>-0.0107910842936637</v>
      </c>
      <c r="GC321" s="60" t="n">
        <f aca="false">GA321-FZ321^2/3</f>
        <v>-0.266219491031267</v>
      </c>
      <c r="GD321" s="60" t="n">
        <f aca="false">2*FZ321^3/27-FZ321*GA321/3+GB321</f>
        <v>-0.0636400988362784</v>
      </c>
      <c r="GE321" s="60" t="n">
        <f aca="false">GD321^2/4+GC321^3/27</f>
        <v>0.000313710901361829</v>
      </c>
      <c r="GF321" s="60" t="n">
        <f aca="false">-GD321/2-IF(GD321&gt;=0,1,-1)*SQRT(MAX(GE321,0))</f>
        <v>0.0495319352963236</v>
      </c>
      <c r="GG321" s="60" t="n">
        <f aca="false">SIGN(GF321)*ABS(GF321)^(1/3)</f>
        <v>0.367249967174439</v>
      </c>
      <c r="GH321" s="60" t="n">
        <f aca="false">IF(GG321=0,0,GG321-GC321/(3*GG321))</f>
        <v>0.60888329127384</v>
      </c>
      <c r="GI321" s="60" t="n">
        <f aca="false">2*SQRT(MAX(-GC321,0)/3)</f>
        <v>0.595784626668918</v>
      </c>
      <c r="GJ321" s="60" t="n">
        <f aca="false">ACOS(IF(GI321=0,0,MAX(-1,MIN(1,3*GD321/(GC321*GI321)))))</f>
        <v>0</v>
      </c>
      <c r="GK321" s="60" t="n">
        <f aca="false">GI321*COS(GJ321/3)</f>
        <v>0.595784626668918</v>
      </c>
      <c r="GL321" s="60" t="n">
        <f aca="false">IF(GE321&lt;0,GK321,GH321)-FZ321/3</f>
        <v>0.91158844983184</v>
      </c>
      <c r="GM321" s="60" t="n">
        <f aca="false">IFERROR((((GL321+FZ321)*GL321+GA321)*GL321+GB321)/((3*GL321+2*FZ321)*GL321+GA321),0)</f>
        <v>0</v>
      </c>
      <c r="GN321" s="60" t="n">
        <f aca="false">IF(ABS(GM321)&lt;0.1*ABS(GL321),GL321-GM321,GL321)</f>
        <v>0.91158844983184</v>
      </c>
      <c r="GO321" s="60" t="n">
        <f aca="false">IFERROR((((GN321+FZ321)*GN321+GA321)*GN321+GB321)/((3*GN321+2*FZ321)*GN321+GA321),0)</f>
        <v>0</v>
      </c>
      <c r="GP321" s="60" t="n">
        <f aca="false">IF(ABS(GO321)&lt;0.1*ABS(GN321),GN321-GO321,GN321)</f>
        <v>0.91158844983184</v>
      </c>
      <c r="GQ321" s="60" t="n">
        <f aca="false">-GB321/GP321</f>
        <v>0.0118376711504565</v>
      </c>
      <c r="GR321" s="60" t="n">
        <f aca="false">(GA321-GQ321)/GP321</f>
        <v>-0.00347297415783941</v>
      </c>
      <c r="GS321" s="60" t="n">
        <f aca="false">GR321^2-4*GQ321</f>
        <v>-0.0473386230523248</v>
      </c>
      <c r="GT321" s="60" t="n">
        <f aca="false">IF(GS321&gt;=0,(GR321+IF(GR321&gt;=0,1,-1)*SQRT(GS321))/2,0)</f>
        <v>0</v>
      </c>
      <c r="GU321" s="60" t="n">
        <f aca="false">IF(AND(GS321&gt;=0,GT321&lt;&gt;0),MIN(GT321,GQ321/GT321),-1)</f>
        <v>-1</v>
      </c>
      <c r="GV321" s="60" t="n">
        <f aca="false">AND(GS321&gt;=0,GU321&gt;FY321,ABS(GP321-GU321)&gt;=0.00005*MAX(GP321,GU321))</f>
        <v>0</v>
      </c>
      <c r="GW321" s="60" t="n">
        <f aca="false">IF(GV321,IFERROR((((GU321+FZ321)*GU321+GA321)*GU321+GB321)/((3*GU321+2*FZ321)*GU321+GA321),0),0)</f>
        <v>0</v>
      </c>
      <c r="GX321" s="60" t="n">
        <f aca="false">IF(ABS(GW321)&lt;0.1*ABS(GU321),GU321-GW321,GU321)</f>
        <v>-1</v>
      </c>
      <c r="GY321" s="60" t="n">
        <f aca="false">IF(GV321,IFERROR((((GX321+FZ321)*GX321+GA321)*GX321+GB321)/((3*GX321+2*FZ321)*GX321+GA321),0),0)</f>
        <v>0</v>
      </c>
      <c r="GZ321" s="60" t="n">
        <f aca="false">IF(ABS(GY321)&lt;0.1*ABS(GX321),GX321-GY321,GX321)</f>
        <v>-1</v>
      </c>
      <c r="HA321" s="60" t="n">
        <f aca="false">IF(GV321,MAX(GP321,GZ321),GP321)</f>
        <v>0.91158844983184</v>
      </c>
      <c r="HB321" s="60" t="n">
        <f aca="false">IF(GV321,MIN(GP321,GZ321),-1)</f>
        <v>-1</v>
      </c>
      <c r="HC321" s="60" t="n">
        <f aca="false">CHOOSE($C$7,FX321/HA321,FX321/FY321*LN(1+FY321/HA321),FX321/(2*SQRT(2)*FY321)*LN((HA321+(1+SQRT(2))*FY321)/(HA321+(1-SQRT(2))*FY321)))</f>
        <v>0.218240791233887</v>
      </c>
      <c r="HD321" s="60" t="n">
        <f aca="false">HA321-1-LN(HA321-FY321)-HC321</f>
        <v>-0.107840271021729</v>
      </c>
      <c r="HE321" s="60" t="n">
        <f aca="false">IF(GV321,CHOOSE($C$7,FX321/HB321,FX321/FY321*LN(1+FY321/HB321),FX321/(2*SQRT(2)*FY321)*LN((HB321+(1+SQRT(2))*FY321)/(HB321+(1-SQRT(2))*FY321))),0)</f>
        <v>0</v>
      </c>
      <c r="HF321" s="60" t="n">
        <f aca="false">IF(GV321,HB321-1-LN(HB321-FY321)-HE321,0)</f>
        <v>0</v>
      </c>
      <c r="HG321" s="60" t="n">
        <f aca="false">AND(GV321,HF321&lt;HD321)</f>
        <v>0</v>
      </c>
      <c r="HH321" s="60" t="n">
        <f aca="false">IF(HG321,HB321,HA321)</f>
        <v>0.91158844983184</v>
      </c>
      <c r="HI321" s="60" t="n">
        <f aca="false">IF(HG321,HE321,HC321)</f>
        <v>0.218240791233887</v>
      </c>
      <c r="HJ321" s="60" t="n">
        <f aca="false">LN(HH321-FY321)</f>
        <v>-0.198812070380318</v>
      </c>
      <c r="HK321" s="60" t="n">
        <f aca="false">$E$27/FW321*(HH321-1)-HJ321-HI321*(2*FJ321/FV321-$E$27/FW321)</f>
        <v>-0.107840271021729</v>
      </c>
      <c r="HL321" s="60" t="n">
        <f aca="false">$F$27/FW321*(HH321-1)-HJ321-HI321*(2*FK321/FV321-$F$27/FW321)</f>
        <v>0.198812070380318</v>
      </c>
      <c r="HM321" s="60" t="n">
        <f aca="false">$G$27/FW321*(HH321-1)-HJ321-HI321*(2*FL321/FV321-$G$27/FW321)</f>
        <v>0.198812070380318</v>
      </c>
      <c r="HN321" s="60" t="n">
        <f aca="false">$H$27/FW321*(HH321-1)-HJ321-HI321*(2*FM321/FV321-$H$27/FW321)</f>
        <v>0.198812070380318</v>
      </c>
      <c r="HO321" s="60" t="n">
        <f aca="false">$I$27/FW321*(HH321-1)-HJ321-HI321*(2*FN321/FV321-$I$27/FW321)</f>
        <v>0.198812070380318</v>
      </c>
      <c r="HP321" s="60" t="n">
        <f aca="false">$J$27/FW321*(HH321-1)-HJ321-HI321*(2*FO321/FV321-$J$27/FW321)</f>
        <v>0.198812070380318</v>
      </c>
      <c r="HQ321" s="60" t="n">
        <f aca="false">$K$27/FW321*(HH321-1)-HJ321-HI321*(2*FP321/FV321-$K$27/FW321)</f>
        <v>0.198812070380318</v>
      </c>
      <c r="HR321" s="60" t="n">
        <f aca="false">$L$27/FW321*(HH321-1)-HJ321-HI321*(2*FQ321/FV321-$L$27/FW321)</f>
        <v>0.198812070380318</v>
      </c>
      <c r="HS321" s="60" t="n">
        <f aca="false">$M$27/FW321*(HH321-1)-HJ321-HI321*(2*FR321/FV321-$M$27/FW321)</f>
        <v>0.198812070380318</v>
      </c>
      <c r="HT321" s="60" t="n">
        <f aca="false">$N$27/FW321*(HH321-1)-HJ321-HI321*(2*FS321/FV321-$N$27/FW321)</f>
        <v>0.198812070380318</v>
      </c>
      <c r="HU321" s="60" t="n">
        <f aca="false">$O$27/FW321*(HH321-1)-HJ321-HI321*(2*FT321/FV321-$O$27/FW321)</f>
        <v>0.198812070380318</v>
      </c>
      <c r="HV321" s="60" t="n">
        <f aca="false">$P$27/FW321*(HH321-1)-HJ321-HI321*(2*FU321/FV321-$P$27/FW321)</f>
        <v>0.198812070380318</v>
      </c>
      <c r="HW321" s="60" t="n">
        <f aca="false">FY321/HH321&gt;$C$22</f>
        <v>0</v>
      </c>
      <c r="HX321" s="60" t="n">
        <f aca="false">IF($E$13&gt;0,MAX(-300,MIN(300,EW321-HK321)),0)</f>
        <v>0</v>
      </c>
      <c r="HY321" s="60" t="n">
        <f aca="false">IF($F$13&gt;0,MAX(-300,MIN(300,EX321-HL321)),0)</f>
        <v>0</v>
      </c>
      <c r="HZ321" s="60" t="n">
        <f aca="false">IF($G$13&gt;0,MAX(-300,MIN(300,EY321-HM321)),0)</f>
        <v>0</v>
      </c>
      <c r="IA321" s="60" t="n">
        <f aca="false">IF($H$13&gt;0,MAX(-300,MIN(300,EZ321-HN321)),0)</f>
        <v>0</v>
      </c>
      <c r="IB321" s="60" t="n">
        <f aca="false">IF($I$13&gt;0,MAX(-300,MIN(300,FA321-HO321)),0)</f>
        <v>0</v>
      </c>
      <c r="IC321" s="60" t="n">
        <f aca="false">IF($J$13&gt;0,MAX(-300,MIN(300,FB321-HP321)),0)</f>
        <v>0</v>
      </c>
      <c r="ID321" s="60" t="n">
        <f aca="false">IF($K$13&gt;0,MAX(-300,MIN(300,FC321-HQ321)),0)</f>
        <v>0</v>
      </c>
      <c r="IE321" s="60" t="n">
        <f aca="false">IF($L$13&gt;0,MAX(-300,MIN(300,FD321-HR321)),0)</f>
        <v>0</v>
      </c>
      <c r="IF321" s="60" t="n">
        <f aca="false">IF($M$13&gt;0,MAX(-300,MIN(300,FE321-HS321)),0)</f>
        <v>0</v>
      </c>
      <c r="IG321" s="60" t="n">
        <f aca="false">IF($N$13&gt;0,MAX(-300,MIN(300,FF321-HT321)),0)</f>
        <v>0</v>
      </c>
      <c r="IH321" s="60" t="n">
        <f aca="false">IF($O$13&gt;0,MAX(-300,MIN(300,FG321-HU321)),0)</f>
        <v>0</v>
      </c>
      <c r="II321" s="60" t="n">
        <f aca="false">IF($P$13&gt;0,MAX(-300,MIN(300,FH321-HV321)),0)</f>
        <v>0</v>
      </c>
      <c r="IJ321" s="60" t="n">
        <f aca="false">SUMXMY2(HX321:II321,B321:M321)</f>
        <v>0</v>
      </c>
      <c r="IK321" s="60" t="n">
        <f aca="false">SUMSQ(B321:M321)</f>
        <v>0</v>
      </c>
    </row>
    <row r="322" customFormat="false" ht="15" hidden="false" customHeight="false" outlineLevel="0" collapsed="false">
      <c r="A322" s="59" t="n">
        <v>25</v>
      </c>
      <c r="B322" s="60" t="n">
        <f aca="false">HX321</f>
        <v>0</v>
      </c>
      <c r="C322" s="60" t="n">
        <f aca="false">HY321</f>
        <v>0</v>
      </c>
      <c r="D322" s="60" t="n">
        <f aca="false">HZ321</f>
        <v>0</v>
      </c>
      <c r="E322" s="60" t="n">
        <f aca="false">IA321</f>
        <v>0</v>
      </c>
      <c r="F322" s="60" t="n">
        <f aca="false">IB321</f>
        <v>0</v>
      </c>
      <c r="G322" s="60" t="n">
        <f aca="false">IC321</f>
        <v>0</v>
      </c>
      <c r="H322" s="60" t="n">
        <f aca="false">ID321</f>
        <v>0</v>
      </c>
      <c r="I322" s="60" t="n">
        <f aca="false">IE321</f>
        <v>0</v>
      </c>
      <c r="J322" s="60" t="n">
        <f aca="false">IF321</f>
        <v>0</v>
      </c>
      <c r="K322" s="60" t="n">
        <f aca="false">IG321</f>
        <v>0</v>
      </c>
      <c r="L322" s="60" t="n">
        <f aca="false">IH321</f>
        <v>0</v>
      </c>
      <c r="M322" s="60" t="n">
        <f aca="false">II321</f>
        <v>0</v>
      </c>
      <c r="N322" s="60" t="n">
        <f aca="false">EXP(B322)</f>
        <v>1</v>
      </c>
      <c r="O322" s="60" t="n">
        <f aca="false">EXP(C322)</f>
        <v>1</v>
      </c>
      <c r="P322" s="60" t="n">
        <f aca="false">EXP(D322)</f>
        <v>1</v>
      </c>
      <c r="Q322" s="60" t="n">
        <f aca="false">EXP(E322)</f>
        <v>1</v>
      </c>
      <c r="R322" s="60" t="n">
        <f aca="false">EXP(F322)</f>
        <v>1</v>
      </c>
      <c r="S322" s="60" t="n">
        <f aca="false">EXP(G322)</f>
        <v>1</v>
      </c>
      <c r="T322" s="60" t="n">
        <f aca="false">EXP(H322)</f>
        <v>1</v>
      </c>
      <c r="U322" s="60" t="n">
        <f aca="false">EXP(I322)</f>
        <v>1</v>
      </c>
      <c r="V322" s="60" t="n">
        <f aca="false">EXP(J322)</f>
        <v>1</v>
      </c>
      <c r="W322" s="60" t="n">
        <f aca="false">EXP(K322)</f>
        <v>1</v>
      </c>
      <c r="X322" s="60" t="n">
        <f aca="false">EXP(L322)</f>
        <v>1</v>
      </c>
      <c r="Y322" s="60" t="n">
        <f aca="false">EXP(M322)</f>
        <v>1</v>
      </c>
      <c r="Z322" s="60" t="n">
        <f aca="false">MAX(N322:Y322)</f>
        <v>1</v>
      </c>
      <c r="AA322" s="60" t="n">
        <f aca="false">MIN(N322:Y322)</f>
        <v>1</v>
      </c>
      <c r="AB322" s="60" t="n">
        <f aca="false">AND(Z322&gt;1,AA322&lt;1)</f>
        <v>0</v>
      </c>
      <c r="AC322" s="60" t="n">
        <f aca="false">IF(AB322,1/(1-Z322),0)</f>
        <v>0</v>
      </c>
      <c r="AD322" s="60" t="n">
        <f aca="false">IF(AB322,1/(1-AA322),1)</f>
        <v>1</v>
      </c>
      <c r="AE322" s="60" t="n">
        <f aca="false">IF(AB322,MIN(MAX(BI321,AC322+0.000000001*(AD322-AC322)),AD322-0.000000001*(AD322-AC322)),IF(AA322&gt;=1,1,0))</f>
        <v>1</v>
      </c>
      <c r="AF322" s="60" t="n">
        <f aca="false">SUMPRODUCT($E$13:$P$13*(N322:Y322-1)/(1+AE322*(N322:Y322-1)))</f>
        <v>0</v>
      </c>
      <c r="AG322" s="60" t="n">
        <f aca="false">-SUMPRODUCT($E$13:$P$13*(N322:Y322-1)^2/(1+AE322*(N322:Y322-1))^2)</f>
        <v>-0</v>
      </c>
      <c r="AH322" s="60" t="n">
        <f aca="false">IF(OR(NOT(AB322),AG322=0),AE322,IF(AE322-AF322/AG322&lt;=AC322,(AE322+AC322)/2,IF(AE322-AF322/AG322&gt;=AD322,(AE322+AD322)/2,AE322-AF322/AG322)))</f>
        <v>1</v>
      </c>
      <c r="AI322" s="60" t="n">
        <f aca="false">SUMPRODUCT($E$13:$P$13*(N322:Y322-1)/(1+AH322*(N322:Y322-1)))</f>
        <v>0</v>
      </c>
      <c r="AJ322" s="60" t="n">
        <f aca="false">-SUMPRODUCT($E$13:$P$13*(N322:Y322-1)^2/(1+AH322*(N322:Y322-1))^2)</f>
        <v>-0</v>
      </c>
      <c r="AK322" s="60" t="n">
        <f aca="false">IF(OR(NOT(AB322),AJ322=0),AH322,IF(AH322-AI322/AJ322&lt;=AC322,(AH322+AC322)/2,IF(AH322-AI322/AJ322&gt;=AD322,(AH322+AD322)/2,AH322-AI322/AJ322)))</f>
        <v>1</v>
      </c>
      <c r="AL322" s="60" t="n">
        <f aca="false">SUMPRODUCT($E$13:$P$13*(N322:Y322-1)/(1+AK322*(N322:Y322-1)))</f>
        <v>0</v>
      </c>
      <c r="AM322" s="60" t="n">
        <f aca="false">-SUMPRODUCT($E$13:$P$13*(N322:Y322-1)^2/(1+AK322*(N322:Y322-1))^2)</f>
        <v>-0</v>
      </c>
      <c r="AN322" s="60" t="n">
        <f aca="false">IF(OR(NOT(AB322),AM322=0),AK322,IF(AK322-AL322/AM322&lt;=AC322,(AK322+AC322)/2,IF(AK322-AL322/AM322&gt;=AD322,(AK322+AD322)/2,AK322-AL322/AM322)))</f>
        <v>1</v>
      </c>
      <c r="AO322" s="60" t="n">
        <f aca="false">SUMPRODUCT($E$13:$P$13*(N322:Y322-1)/(1+AN322*(N322:Y322-1)))</f>
        <v>0</v>
      </c>
      <c r="AP322" s="60" t="n">
        <f aca="false">-SUMPRODUCT($E$13:$P$13*(N322:Y322-1)^2/(1+AN322*(N322:Y322-1))^2)</f>
        <v>-0</v>
      </c>
      <c r="AQ322" s="60" t="n">
        <f aca="false">IF(OR(NOT(AB322),AP322=0),AN322,IF(AN322-AO322/AP322&lt;=AC322,(AN322+AC322)/2,IF(AN322-AO322/AP322&gt;=AD322,(AN322+AD322)/2,AN322-AO322/AP322)))</f>
        <v>1</v>
      </c>
      <c r="AR322" s="60" t="n">
        <f aca="false">SUMPRODUCT($E$13:$P$13*(N322:Y322-1)/(1+AQ322*(N322:Y322-1)))</f>
        <v>0</v>
      </c>
      <c r="AS322" s="60" t="n">
        <f aca="false">-SUMPRODUCT($E$13:$P$13*(N322:Y322-1)^2/(1+AQ322*(N322:Y322-1))^2)</f>
        <v>-0</v>
      </c>
      <c r="AT322" s="60" t="n">
        <f aca="false">IF(OR(NOT(AB322),AS322=0),AQ322,IF(AQ322-AR322/AS322&lt;=AC322,(AQ322+AC322)/2,IF(AQ322-AR322/AS322&gt;=AD322,(AQ322+AD322)/2,AQ322-AR322/AS322)))</f>
        <v>1</v>
      </c>
      <c r="AU322" s="60" t="n">
        <f aca="false">SUMPRODUCT($E$13:$P$13*(N322:Y322-1)/(1+AT322*(N322:Y322-1)))</f>
        <v>0</v>
      </c>
      <c r="AV322" s="60" t="n">
        <f aca="false">-SUMPRODUCT($E$13:$P$13*(N322:Y322-1)^2/(1+AT322*(N322:Y322-1))^2)</f>
        <v>-0</v>
      </c>
      <c r="AW322" s="60" t="n">
        <f aca="false">IF(OR(NOT(AB322),AV322=0),AT322,IF(AT322-AU322/AV322&lt;=AC322,(AT322+AC322)/2,IF(AT322-AU322/AV322&gt;=AD322,(AT322+AD322)/2,AT322-AU322/AV322)))</f>
        <v>1</v>
      </c>
      <c r="AX322" s="60" t="n">
        <f aca="false">SUMPRODUCT($E$13:$P$13*(N322:Y322-1)/(1+AW322*(N322:Y322-1)))</f>
        <v>0</v>
      </c>
      <c r="AY322" s="60" t="n">
        <f aca="false">-SUMPRODUCT($E$13:$P$13*(N322:Y322-1)^2/(1+AW322*(N322:Y322-1))^2)</f>
        <v>-0</v>
      </c>
      <c r="AZ322" s="60" t="n">
        <f aca="false">IF(OR(NOT(AB322),AY322=0),AW322,IF(AW322-AX322/AY322&lt;=AC322,(AW322+AC322)/2,IF(AW322-AX322/AY322&gt;=AD322,(AW322+AD322)/2,AW322-AX322/AY322)))</f>
        <v>1</v>
      </c>
      <c r="BA322" s="60" t="n">
        <f aca="false">SUMPRODUCT($E$13:$P$13*(N322:Y322-1)/(1+AZ322*(N322:Y322-1)))</f>
        <v>0</v>
      </c>
      <c r="BB322" s="60" t="n">
        <f aca="false">-SUMPRODUCT($E$13:$P$13*(N322:Y322-1)^2/(1+AZ322*(N322:Y322-1))^2)</f>
        <v>-0</v>
      </c>
      <c r="BC322" s="60" t="n">
        <f aca="false">IF(OR(NOT(AB322),BB322=0),AZ322,IF(AZ322-BA322/BB322&lt;=AC322,(AZ322+AC322)/2,IF(AZ322-BA322/BB322&gt;=AD322,(AZ322+AD322)/2,AZ322-BA322/BB322)))</f>
        <v>1</v>
      </c>
      <c r="BD322" s="60" t="n">
        <f aca="false">SUMPRODUCT($E$13:$P$13*(N322:Y322-1)/(1+BC322*(N322:Y322-1)))</f>
        <v>0</v>
      </c>
      <c r="BE322" s="60" t="n">
        <f aca="false">-SUMPRODUCT($E$13:$P$13*(N322:Y322-1)^2/(1+BC322*(N322:Y322-1))^2)</f>
        <v>-0</v>
      </c>
      <c r="BF322" s="60" t="n">
        <f aca="false">IF(OR(NOT(AB322),BE322=0),BC322,IF(BC322-BD322/BE322&lt;=AC322,(BC322+AC322)/2,IF(BC322-BD322/BE322&gt;=AD322,(BC322+AD322)/2,BC322-BD322/BE322)))</f>
        <v>1</v>
      </c>
      <c r="BG322" s="60" t="n">
        <f aca="false">SUMPRODUCT($E$13:$P$13*(N322:Y322-1)/(1+BF322*(N322:Y322-1)))</f>
        <v>0</v>
      </c>
      <c r="BH322" s="60" t="n">
        <f aca="false">-SUMPRODUCT($E$13:$P$13*(N322:Y322-1)^2/(1+BF322*(N322:Y322-1))^2)</f>
        <v>-0</v>
      </c>
      <c r="BI322" s="60" t="n">
        <f aca="false">IF(OR(NOT(AB322),BH322=0),BF322,IF(BF322-BG322/BH322&lt;=AC322,(BF322+AC322)/2,IF(BF322-BG322/BH322&gt;=AD322,(BF322+AD322)/2,BF322-BG322/BH322)))</f>
        <v>1</v>
      </c>
      <c r="BJ322" s="60" t="n">
        <f aca="false">$E$13/(1+BI322*(N322-1))</f>
        <v>1</v>
      </c>
      <c r="BK322" s="60" t="n">
        <f aca="false">$F$13/(1+BI322*(O322-1))</f>
        <v>0</v>
      </c>
      <c r="BL322" s="60" t="n">
        <f aca="false">$G$13/(1+BI322*(P322-1))</f>
        <v>0</v>
      </c>
      <c r="BM322" s="60" t="n">
        <f aca="false">$H$13/(1+BI322*(Q322-1))</f>
        <v>0</v>
      </c>
      <c r="BN322" s="60" t="n">
        <f aca="false">$I$13/(1+BI322*(R322-1))</f>
        <v>0</v>
      </c>
      <c r="BO322" s="60" t="n">
        <f aca="false">$J$13/(1+BI322*(S322-1))</f>
        <v>0</v>
      </c>
      <c r="BP322" s="60" t="n">
        <f aca="false">$K$13/(1+BI322*(T322-1))</f>
        <v>0</v>
      </c>
      <c r="BQ322" s="60" t="n">
        <f aca="false">$L$13/(1+BI322*(U322-1))</f>
        <v>0</v>
      </c>
      <c r="BR322" s="60" t="n">
        <f aca="false">$M$13/(1+BI322*(V322-1))</f>
        <v>0</v>
      </c>
      <c r="BS322" s="60" t="n">
        <f aca="false">$N$13/(1+BI322*(W322-1))</f>
        <v>0</v>
      </c>
      <c r="BT322" s="60" t="n">
        <f aca="false">$O$13/(1+BI322*(X322-1))</f>
        <v>0</v>
      </c>
      <c r="BU322" s="60" t="n">
        <f aca="false">$P$13/(1+BI322*(Y322-1))</f>
        <v>0</v>
      </c>
      <c r="BV322" s="60" t="n">
        <f aca="false">SUM(BJ322:BU322)</f>
        <v>1</v>
      </c>
      <c r="BW322" s="60" t="n">
        <f aca="false">SUMPRODUCT(N322:Y322,BJ322:BU322)</f>
        <v>1</v>
      </c>
      <c r="BX322" s="60" t="n">
        <f aca="false">BJ322/BV322</f>
        <v>1</v>
      </c>
      <c r="BY322" s="60" t="n">
        <f aca="false">BK322/BV322</f>
        <v>0</v>
      </c>
      <c r="BZ322" s="60" t="n">
        <f aca="false">BL322/BV322</f>
        <v>0</v>
      </c>
      <c r="CA322" s="60" t="n">
        <f aca="false">BM322/BV322</f>
        <v>0</v>
      </c>
      <c r="CB322" s="60" t="n">
        <f aca="false">BN322/BV322</f>
        <v>0</v>
      </c>
      <c r="CC322" s="60" t="n">
        <f aca="false">BO322/BV322</f>
        <v>0</v>
      </c>
      <c r="CD322" s="60" t="n">
        <f aca="false">BP322/BV322</f>
        <v>0</v>
      </c>
      <c r="CE322" s="60" t="n">
        <f aca="false">BQ322/BV322</f>
        <v>0</v>
      </c>
      <c r="CF322" s="60" t="n">
        <f aca="false">BR322/BV322</f>
        <v>0</v>
      </c>
      <c r="CG322" s="60" t="n">
        <f aca="false">BS322/BV322</f>
        <v>0</v>
      </c>
      <c r="CH322" s="60" t="n">
        <f aca="false">BT322/BV322</f>
        <v>0</v>
      </c>
      <c r="CI322" s="60" t="n">
        <f aca="false">BU322/BV322</f>
        <v>0</v>
      </c>
      <c r="CJ322" s="60" t="n">
        <f aca="false">N322*BJ322/BW322</f>
        <v>1</v>
      </c>
      <c r="CK322" s="60" t="n">
        <f aca="false">O322*BK322/BW322</f>
        <v>0</v>
      </c>
      <c r="CL322" s="60" t="n">
        <f aca="false">P322*BL322/BW322</f>
        <v>0</v>
      </c>
      <c r="CM322" s="60" t="n">
        <f aca="false">Q322*BM322/BW322</f>
        <v>0</v>
      </c>
      <c r="CN322" s="60" t="n">
        <f aca="false">R322*BN322/BW322</f>
        <v>0</v>
      </c>
      <c r="CO322" s="60" t="n">
        <f aca="false">S322*BO322/BW322</f>
        <v>0</v>
      </c>
      <c r="CP322" s="60" t="n">
        <f aca="false">T322*BP322/BW322</f>
        <v>0</v>
      </c>
      <c r="CQ322" s="60" t="n">
        <f aca="false">U322*BQ322/BW322</f>
        <v>0</v>
      </c>
      <c r="CR322" s="60" t="n">
        <f aca="false">V322*BR322/BW322</f>
        <v>0</v>
      </c>
      <c r="CS322" s="60" t="n">
        <f aca="false">W322*BS322/BW322</f>
        <v>0</v>
      </c>
      <c r="CT322" s="60" t="n">
        <f aca="false">X322*BT322/BW322</f>
        <v>0</v>
      </c>
      <c r="CU322" s="60" t="n">
        <f aca="false">Y322*BU322/BW322</f>
        <v>0</v>
      </c>
      <c r="CV322" s="60" t="n">
        <f aca="false">$E$28*SUMPRODUCT($E$31:$P$31,BX322:CI322,$E$28:$P$28)</f>
        <v>0.184416866619846</v>
      </c>
      <c r="CW322" s="60" t="n">
        <f aca="false">$F$28*SUMPRODUCT($E$32:$P$32,BX322:CI322,$E$28:$P$28)</f>
        <v>0</v>
      </c>
      <c r="CX322" s="60" t="n">
        <f aca="false">$G$28*SUMPRODUCT($E$33:$P$33,BX322:CI322,$E$28:$P$28)</f>
        <v>0</v>
      </c>
      <c r="CY322" s="60" t="n">
        <f aca="false">$H$28*SUMPRODUCT($E$34:$P$34,BX322:CI322,$E$28:$P$28)</f>
        <v>0</v>
      </c>
      <c r="CZ322" s="60" t="n">
        <f aca="false">$I$28*SUMPRODUCT($E$35:$P$35,BX322:CI322,$E$28:$P$28)</f>
        <v>0</v>
      </c>
      <c r="DA322" s="60" t="n">
        <f aca="false">$J$28*SUMPRODUCT($E$36:$P$36,BX322:CI322,$E$28:$P$28)</f>
        <v>0</v>
      </c>
      <c r="DB322" s="60" t="n">
        <f aca="false">$K$28*SUMPRODUCT($E$37:$P$37,BX322:CI322,$E$28:$P$28)</f>
        <v>0</v>
      </c>
      <c r="DC322" s="60" t="n">
        <f aca="false">$L$28*SUMPRODUCT($E$38:$P$38,BX322:CI322,$E$28:$P$28)</f>
        <v>0</v>
      </c>
      <c r="DD322" s="60" t="n">
        <f aca="false">$M$28*SUMPRODUCT($E$39:$P$39,BX322:CI322,$E$28:$P$28)</f>
        <v>0</v>
      </c>
      <c r="DE322" s="60" t="n">
        <f aca="false">$N$28*SUMPRODUCT($E$40:$P$40,BX322:CI322,$E$28:$P$28)</f>
        <v>0</v>
      </c>
      <c r="DF322" s="60" t="n">
        <f aca="false">$O$28*SUMPRODUCT($E$41:$P$41,BX322:CI322,$E$28:$P$28)</f>
        <v>0</v>
      </c>
      <c r="DG322" s="60" t="n">
        <f aca="false">$P$28*SUMPRODUCT($E$42:$P$42,BX322:CI322,$E$28:$P$28)</f>
        <v>0</v>
      </c>
      <c r="DH322" s="60" t="n">
        <f aca="false">SUMPRODUCT(BX322:CI322,CV322:DG322)</f>
        <v>0.184416866619846</v>
      </c>
      <c r="DI322" s="60" t="n">
        <f aca="false">SUMPRODUCT(BX322:CI322,$E$27:$P$27)</f>
        <v>2.67389635063809E-005</v>
      </c>
      <c r="DJ322" s="60" t="n">
        <f aca="false">DH322*$C$9/($C$10*$C$8)^2</f>
        <v>0.21776909410545</v>
      </c>
      <c r="DK322" s="60" t="n">
        <f aca="false">DI322*$C$9/($C$10*$C$8)</f>
        <v>0.0918845243259994</v>
      </c>
      <c r="DL322" s="60" t="n">
        <f aca="false">CHOOSE($C$7,-(1+DK322),-1,-(1-DK322))</f>
        <v>-0.908115475674001</v>
      </c>
      <c r="DM322" s="60" t="n">
        <f aca="false">CHOOSE($C$7,DJ322,DJ322-DK322-DK322^2,DJ322-3*DK322^2-2*DK322)</f>
        <v>0.00867174802160559</v>
      </c>
      <c r="DN322" s="60" t="n">
        <f aca="false">CHOOSE($C$7,-DJ322*DK322,-DJ322*DK322,-(DJ322*DK322-DK322^2-DK322^3))</f>
        <v>-0.0107910842936637</v>
      </c>
      <c r="DO322" s="60" t="n">
        <f aca="false">DM322-DL322^2/3</f>
        <v>-0.266219491031267</v>
      </c>
      <c r="DP322" s="60" t="n">
        <f aca="false">2*DL322^3/27-DL322*DM322/3+DN322</f>
        <v>-0.0636400988362784</v>
      </c>
      <c r="DQ322" s="60" t="n">
        <f aca="false">DP322^2/4+DO322^3/27</f>
        <v>0.000313710901361829</v>
      </c>
      <c r="DR322" s="60" t="n">
        <f aca="false">-DP322/2-IF(DP322&gt;=0,1,-1)*SQRT(MAX(DQ322,0))</f>
        <v>0.0495319352963236</v>
      </c>
      <c r="DS322" s="60" t="n">
        <f aca="false">SIGN(DR322)*ABS(DR322)^(1/3)</f>
        <v>0.367249967174439</v>
      </c>
      <c r="DT322" s="60" t="n">
        <f aca="false">IF(DS322=0,0,DS322-DO322/(3*DS322))</f>
        <v>0.60888329127384</v>
      </c>
      <c r="DU322" s="60" t="n">
        <f aca="false">2*SQRT(MAX(-DO322,0)/3)</f>
        <v>0.595784626668918</v>
      </c>
      <c r="DV322" s="60" t="n">
        <f aca="false">ACOS(IF(DU322=0,0,MAX(-1,MIN(1,3*DP322/(DO322*DU322)))))</f>
        <v>0</v>
      </c>
      <c r="DW322" s="60" t="n">
        <f aca="false">DU322*COS(DV322/3)</f>
        <v>0.595784626668918</v>
      </c>
      <c r="DX322" s="60" t="n">
        <f aca="false">IF(DQ322&lt;0,DW322,DT322)-DL322/3</f>
        <v>0.91158844983184</v>
      </c>
      <c r="DY322" s="60" t="n">
        <f aca="false">IFERROR((((DX322+DL322)*DX322+DM322)*DX322+DN322)/((3*DX322+2*DL322)*DX322+DM322),0)</f>
        <v>0</v>
      </c>
      <c r="DZ322" s="60" t="n">
        <f aca="false">IF(ABS(DY322)&lt;0.1*ABS(DX322),DX322-DY322,DX322)</f>
        <v>0.91158844983184</v>
      </c>
      <c r="EA322" s="60" t="n">
        <f aca="false">IFERROR((((DZ322+DL322)*DZ322+DM322)*DZ322+DN322)/((3*DZ322+2*DL322)*DZ322+DM322),0)</f>
        <v>0</v>
      </c>
      <c r="EB322" s="60" t="n">
        <f aca="false">IF(ABS(EA322)&lt;0.1*ABS(DZ322),DZ322-EA322,DZ322)</f>
        <v>0.91158844983184</v>
      </c>
      <c r="EC322" s="60" t="n">
        <f aca="false">-DN322/EB322</f>
        <v>0.0118376711504565</v>
      </c>
      <c r="ED322" s="60" t="n">
        <f aca="false">(DM322-EC322)/EB322</f>
        <v>-0.00347297415783941</v>
      </c>
      <c r="EE322" s="60" t="n">
        <f aca="false">ED322^2-4*EC322</f>
        <v>-0.0473386230523248</v>
      </c>
      <c r="EF322" s="60" t="n">
        <f aca="false">IF(EE322&gt;=0,(ED322+IF(ED322&gt;=0,1,-1)*SQRT(EE322))/2,0)</f>
        <v>0</v>
      </c>
      <c r="EG322" s="60" t="n">
        <f aca="false">IF(AND(EE322&gt;=0,EF322&lt;&gt;0),MIN(EF322,EC322/EF322),-1)</f>
        <v>-1</v>
      </c>
      <c r="EH322" s="60" t="n">
        <f aca="false">AND(EE322&gt;=0,EG322&gt;DK322,ABS(EB322-EG322)&gt;=0.00005*MAX(EB322,EG322))</f>
        <v>0</v>
      </c>
      <c r="EI322" s="60" t="n">
        <f aca="false">IF(EH322,IFERROR((((EG322+DL322)*EG322+DM322)*EG322+DN322)/((3*EG322+2*DL322)*EG322+DM322),0),0)</f>
        <v>0</v>
      </c>
      <c r="EJ322" s="60" t="n">
        <f aca="false">IF(ABS(EI322)&lt;0.1*ABS(EG322),EG322-EI322,EG322)</f>
        <v>-1</v>
      </c>
      <c r="EK322" s="60" t="n">
        <f aca="false">IF(EH322,IFERROR((((EJ322+DL322)*EJ322+DM322)*EJ322+DN322)/((3*EJ322+2*DL322)*EJ322+DM322),0),0)</f>
        <v>0</v>
      </c>
      <c r="EL322" s="60" t="n">
        <f aca="false">IF(ABS(EK322)&lt;0.1*ABS(EJ322),EJ322-EK322,EJ322)</f>
        <v>-1</v>
      </c>
      <c r="EM322" s="60" t="n">
        <f aca="false">IF(EH322,MAX(EB322,EL322),EB322)</f>
        <v>0.91158844983184</v>
      </c>
      <c r="EN322" s="60" t="n">
        <f aca="false">IF(EH322,MIN(EB322,EL322),-1)</f>
        <v>-1</v>
      </c>
      <c r="EO322" s="60" t="n">
        <f aca="false">CHOOSE($C$7,DJ322/EM322,DJ322/DK322*LN(1+DK322/EM322),DJ322/(2*SQRT(2)*DK322)*LN((EM322+(1+SQRT(2))*DK322)/(EM322+(1-SQRT(2))*DK322)))</f>
        <v>0.218240791233887</v>
      </c>
      <c r="EP322" s="60" t="n">
        <f aca="false">EM322-1-LN(EM322-DK322)-EO322</f>
        <v>-0.107840271021729</v>
      </c>
      <c r="EQ322" s="60" t="n">
        <f aca="false">IF(EH322,CHOOSE($C$7,DJ322/EN322,DJ322/DK322*LN(1+DK322/EN322),DJ322/(2*SQRT(2)*DK322)*LN((EN322+(1+SQRT(2))*DK322)/(EN322+(1-SQRT(2))*DK322))),0)</f>
        <v>0</v>
      </c>
      <c r="ER322" s="60" t="n">
        <f aca="false">IF(EH322,EN322-1-LN(EN322-DK322)-EQ322,0)</f>
        <v>0</v>
      </c>
      <c r="ES322" s="60" t="n">
        <f aca="false">AND(EH322,ER322&lt;EP322)</f>
        <v>0</v>
      </c>
      <c r="ET322" s="60" t="n">
        <f aca="false">IF(ES322,EN322,EM322)</f>
        <v>0.91158844983184</v>
      </c>
      <c r="EU322" s="60" t="n">
        <f aca="false">IF(ES322,EQ322,EO322)</f>
        <v>0.218240791233887</v>
      </c>
      <c r="EV322" s="60" t="n">
        <f aca="false">LN(ET322-DK322)</f>
        <v>-0.198812070380318</v>
      </c>
      <c r="EW322" s="60" t="n">
        <f aca="false">$E$27/DI322*(ET322-1)-EV322-EU322*(2*CV322/DH322-$E$27/DI322)</f>
        <v>-0.107840271021729</v>
      </c>
      <c r="EX322" s="60" t="n">
        <f aca="false">$F$27/DI322*(ET322-1)-EV322-EU322*(2*CW322/DH322-$F$27/DI322)</f>
        <v>0.198812070380318</v>
      </c>
      <c r="EY322" s="60" t="n">
        <f aca="false">$G$27/DI322*(ET322-1)-EV322-EU322*(2*CX322/DH322-$G$27/DI322)</f>
        <v>0.198812070380318</v>
      </c>
      <c r="EZ322" s="60" t="n">
        <f aca="false">$H$27/DI322*(ET322-1)-EV322-EU322*(2*CY322/DH322-$H$27/DI322)</f>
        <v>0.198812070380318</v>
      </c>
      <c r="FA322" s="60" t="n">
        <f aca="false">$I$27/DI322*(ET322-1)-EV322-EU322*(2*CZ322/DH322-$I$27/DI322)</f>
        <v>0.198812070380318</v>
      </c>
      <c r="FB322" s="60" t="n">
        <f aca="false">$J$27/DI322*(ET322-1)-EV322-EU322*(2*DA322/DH322-$J$27/DI322)</f>
        <v>0.198812070380318</v>
      </c>
      <c r="FC322" s="60" t="n">
        <f aca="false">$K$27/DI322*(ET322-1)-EV322-EU322*(2*DB322/DH322-$K$27/DI322)</f>
        <v>0.198812070380318</v>
      </c>
      <c r="FD322" s="60" t="n">
        <f aca="false">$L$27/DI322*(ET322-1)-EV322-EU322*(2*DC322/DH322-$L$27/DI322)</f>
        <v>0.198812070380318</v>
      </c>
      <c r="FE322" s="60" t="n">
        <f aca="false">$M$27/DI322*(ET322-1)-EV322-EU322*(2*DD322/DH322-$M$27/DI322)</f>
        <v>0.198812070380318</v>
      </c>
      <c r="FF322" s="60" t="n">
        <f aca="false">$N$27/DI322*(ET322-1)-EV322-EU322*(2*DE322/DH322-$N$27/DI322)</f>
        <v>0.198812070380318</v>
      </c>
      <c r="FG322" s="60" t="n">
        <f aca="false">$O$27/DI322*(ET322-1)-EV322-EU322*(2*DF322/DH322-$O$27/DI322)</f>
        <v>0.198812070380318</v>
      </c>
      <c r="FH322" s="60" t="n">
        <f aca="false">$P$27/DI322*(ET322-1)-EV322-EU322*(2*DG322/DH322-$P$27/DI322)</f>
        <v>0.198812070380318</v>
      </c>
      <c r="FI322" s="60" t="n">
        <f aca="false">DK322/ET322&gt;$C$22</f>
        <v>0</v>
      </c>
      <c r="FJ322" s="60" t="n">
        <f aca="false">$E$28*SUMPRODUCT($E$31:$P$31,CJ322:CU322,$E$28:$P$28)</f>
        <v>0.184416866619846</v>
      </c>
      <c r="FK322" s="60" t="n">
        <f aca="false">$F$28*SUMPRODUCT($E$32:$P$32,CJ322:CU322,$E$28:$P$28)</f>
        <v>0</v>
      </c>
      <c r="FL322" s="60" t="n">
        <f aca="false">$G$28*SUMPRODUCT($E$33:$P$33,CJ322:CU322,$E$28:$P$28)</f>
        <v>0</v>
      </c>
      <c r="FM322" s="60" t="n">
        <f aca="false">$H$28*SUMPRODUCT($E$34:$P$34,CJ322:CU322,$E$28:$P$28)</f>
        <v>0</v>
      </c>
      <c r="FN322" s="60" t="n">
        <f aca="false">$I$28*SUMPRODUCT($E$35:$P$35,CJ322:CU322,$E$28:$P$28)</f>
        <v>0</v>
      </c>
      <c r="FO322" s="60" t="n">
        <f aca="false">$J$28*SUMPRODUCT($E$36:$P$36,CJ322:CU322,$E$28:$P$28)</f>
        <v>0</v>
      </c>
      <c r="FP322" s="60" t="n">
        <f aca="false">$K$28*SUMPRODUCT($E$37:$P$37,CJ322:CU322,$E$28:$P$28)</f>
        <v>0</v>
      </c>
      <c r="FQ322" s="60" t="n">
        <f aca="false">$L$28*SUMPRODUCT($E$38:$P$38,CJ322:CU322,$E$28:$P$28)</f>
        <v>0</v>
      </c>
      <c r="FR322" s="60" t="n">
        <f aca="false">$M$28*SUMPRODUCT($E$39:$P$39,CJ322:CU322,$E$28:$P$28)</f>
        <v>0</v>
      </c>
      <c r="FS322" s="60" t="n">
        <f aca="false">$N$28*SUMPRODUCT($E$40:$P$40,CJ322:CU322,$E$28:$P$28)</f>
        <v>0</v>
      </c>
      <c r="FT322" s="60" t="n">
        <f aca="false">$O$28*SUMPRODUCT($E$41:$P$41,CJ322:CU322,$E$28:$P$28)</f>
        <v>0</v>
      </c>
      <c r="FU322" s="60" t="n">
        <f aca="false">$P$28*SUMPRODUCT($E$42:$P$42,CJ322:CU322,$E$28:$P$28)</f>
        <v>0</v>
      </c>
      <c r="FV322" s="60" t="n">
        <f aca="false">SUMPRODUCT(CJ322:CU322,FJ322:FU322)</f>
        <v>0.184416866619846</v>
      </c>
      <c r="FW322" s="60" t="n">
        <f aca="false">SUMPRODUCT(CJ322:CU322,$E$27:$P$27)</f>
        <v>2.67389635063809E-005</v>
      </c>
      <c r="FX322" s="60" t="n">
        <f aca="false">FV322*$C$9/($C$10*$C$8)^2</f>
        <v>0.21776909410545</v>
      </c>
      <c r="FY322" s="60" t="n">
        <f aca="false">FW322*$C$9/($C$10*$C$8)</f>
        <v>0.0918845243259994</v>
      </c>
      <c r="FZ322" s="60" t="n">
        <f aca="false">CHOOSE($C$7,-(1+FY322),-1,-(1-FY322))</f>
        <v>-0.908115475674001</v>
      </c>
      <c r="GA322" s="60" t="n">
        <f aca="false">CHOOSE($C$7,FX322,FX322-FY322-FY322^2,FX322-3*FY322^2-2*FY322)</f>
        <v>0.00867174802160559</v>
      </c>
      <c r="GB322" s="60" t="n">
        <f aca="false">CHOOSE($C$7,-FX322*FY322,-FX322*FY322,-(FX322*FY322-FY322^2-FY322^3))</f>
        <v>-0.0107910842936637</v>
      </c>
      <c r="GC322" s="60" t="n">
        <f aca="false">GA322-FZ322^2/3</f>
        <v>-0.266219491031267</v>
      </c>
      <c r="GD322" s="60" t="n">
        <f aca="false">2*FZ322^3/27-FZ322*GA322/3+GB322</f>
        <v>-0.0636400988362784</v>
      </c>
      <c r="GE322" s="60" t="n">
        <f aca="false">GD322^2/4+GC322^3/27</f>
        <v>0.000313710901361829</v>
      </c>
      <c r="GF322" s="60" t="n">
        <f aca="false">-GD322/2-IF(GD322&gt;=0,1,-1)*SQRT(MAX(GE322,0))</f>
        <v>0.0495319352963236</v>
      </c>
      <c r="GG322" s="60" t="n">
        <f aca="false">SIGN(GF322)*ABS(GF322)^(1/3)</f>
        <v>0.367249967174439</v>
      </c>
      <c r="GH322" s="60" t="n">
        <f aca="false">IF(GG322=0,0,GG322-GC322/(3*GG322))</f>
        <v>0.60888329127384</v>
      </c>
      <c r="GI322" s="60" t="n">
        <f aca="false">2*SQRT(MAX(-GC322,0)/3)</f>
        <v>0.595784626668918</v>
      </c>
      <c r="GJ322" s="60" t="n">
        <f aca="false">ACOS(IF(GI322=0,0,MAX(-1,MIN(1,3*GD322/(GC322*GI322)))))</f>
        <v>0</v>
      </c>
      <c r="GK322" s="60" t="n">
        <f aca="false">GI322*COS(GJ322/3)</f>
        <v>0.595784626668918</v>
      </c>
      <c r="GL322" s="60" t="n">
        <f aca="false">IF(GE322&lt;0,GK322,GH322)-FZ322/3</f>
        <v>0.91158844983184</v>
      </c>
      <c r="GM322" s="60" t="n">
        <f aca="false">IFERROR((((GL322+FZ322)*GL322+GA322)*GL322+GB322)/((3*GL322+2*FZ322)*GL322+GA322),0)</f>
        <v>0</v>
      </c>
      <c r="GN322" s="60" t="n">
        <f aca="false">IF(ABS(GM322)&lt;0.1*ABS(GL322),GL322-GM322,GL322)</f>
        <v>0.91158844983184</v>
      </c>
      <c r="GO322" s="60" t="n">
        <f aca="false">IFERROR((((GN322+FZ322)*GN322+GA322)*GN322+GB322)/((3*GN322+2*FZ322)*GN322+GA322),0)</f>
        <v>0</v>
      </c>
      <c r="GP322" s="60" t="n">
        <f aca="false">IF(ABS(GO322)&lt;0.1*ABS(GN322),GN322-GO322,GN322)</f>
        <v>0.91158844983184</v>
      </c>
      <c r="GQ322" s="60" t="n">
        <f aca="false">-GB322/GP322</f>
        <v>0.0118376711504565</v>
      </c>
      <c r="GR322" s="60" t="n">
        <f aca="false">(GA322-GQ322)/GP322</f>
        <v>-0.00347297415783941</v>
      </c>
      <c r="GS322" s="60" t="n">
        <f aca="false">GR322^2-4*GQ322</f>
        <v>-0.0473386230523248</v>
      </c>
      <c r="GT322" s="60" t="n">
        <f aca="false">IF(GS322&gt;=0,(GR322+IF(GR322&gt;=0,1,-1)*SQRT(GS322))/2,0)</f>
        <v>0</v>
      </c>
      <c r="GU322" s="60" t="n">
        <f aca="false">IF(AND(GS322&gt;=0,GT322&lt;&gt;0),MIN(GT322,GQ322/GT322),-1)</f>
        <v>-1</v>
      </c>
      <c r="GV322" s="60" t="n">
        <f aca="false">AND(GS322&gt;=0,GU322&gt;FY322,ABS(GP322-GU322)&gt;=0.00005*MAX(GP322,GU322))</f>
        <v>0</v>
      </c>
      <c r="GW322" s="60" t="n">
        <f aca="false">IF(GV322,IFERROR((((GU322+FZ322)*GU322+GA322)*GU322+GB322)/((3*GU322+2*FZ322)*GU322+GA322),0),0)</f>
        <v>0</v>
      </c>
      <c r="GX322" s="60" t="n">
        <f aca="false">IF(ABS(GW322)&lt;0.1*ABS(GU322),GU322-GW322,GU322)</f>
        <v>-1</v>
      </c>
      <c r="GY322" s="60" t="n">
        <f aca="false">IF(GV322,IFERROR((((GX322+FZ322)*GX322+GA322)*GX322+GB322)/((3*GX322+2*FZ322)*GX322+GA322),0),0)</f>
        <v>0</v>
      </c>
      <c r="GZ322" s="60" t="n">
        <f aca="false">IF(ABS(GY322)&lt;0.1*ABS(GX322),GX322-GY322,GX322)</f>
        <v>-1</v>
      </c>
      <c r="HA322" s="60" t="n">
        <f aca="false">IF(GV322,MAX(GP322,GZ322),GP322)</f>
        <v>0.91158844983184</v>
      </c>
      <c r="HB322" s="60" t="n">
        <f aca="false">IF(GV322,MIN(GP322,GZ322),-1)</f>
        <v>-1</v>
      </c>
      <c r="HC322" s="60" t="n">
        <f aca="false">CHOOSE($C$7,FX322/HA322,FX322/FY322*LN(1+FY322/HA322),FX322/(2*SQRT(2)*FY322)*LN((HA322+(1+SQRT(2))*FY322)/(HA322+(1-SQRT(2))*FY322)))</f>
        <v>0.218240791233887</v>
      </c>
      <c r="HD322" s="60" t="n">
        <f aca="false">HA322-1-LN(HA322-FY322)-HC322</f>
        <v>-0.107840271021729</v>
      </c>
      <c r="HE322" s="60" t="n">
        <f aca="false">IF(GV322,CHOOSE($C$7,FX322/HB322,FX322/FY322*LN(1+FY322/HB322),FX322/(2*SQRT(2)*FY322)*LN((HB322+(1+SQRT(2))*FY322)/(HB322+(1-SQRT(2))*FY322))),0)</f>
        <v>0</v>
      </c>
      <c r="HF322" s="60" t="n">
        <f aca="false">IF(GV322,HB322-1-LN(HB322-FY322)-HE322,0)</f>
        <v>0</v>
      </c>
      <c r="HG322" s="60" t="n">
        <f aca="false">AND(GV322,HF322&lt;HD322)</f>
        <v>0</v>
      </c>
      <c r="HH322" s="60" t="n">
        <f aca="false">IF(HG322,HB322,HA322)</f>
        <v>0.91158844983184</v>
      </c>
      <c r="HI322" s="60" t="n">
        <f aca="false">IF(HG322,HE322,HC322)</f>
        <v>0.218240791233887</v>
      </c>
      <c r="HJ322" s="60" t="n">
        <f aca="false">LN(HH322-FY322)</f>
        <v>-0.198812070380318</v>
      </c>
      <c r="HK322" s="60" t="n">
        <f aca="false">$E$27/FW322*(HH322-1)-HJ322-HI322*(2*FJ322/FV322-$E$27/FW322)</f>
        <v>-0.107840271021729</v>
      </c>
      <c r="HL322" s="60" t="n">
        <f aca="false">$F$27/FW322*(HH322-1)-HJ322-HI322*(2*FK322/FV322-$F$27/FW322)</f>
        <v>0.198812070380318</v>
      </c>
      <c r="HM322" s="60" t="n">
        <f aca="false">$G$27/FW322*(HH322-1)-HJ322-HI322*(2*FL322/FV322-$G$27/FW322)</f>
        <v>0.198812070380318</v>
      </c>
      <c r="HN322" s="60" t="n">
        <f aca="false">$H$27/FW322*(HH322-1)-HJ322-HI322*(2*FM322/FV322-$H$27/FW322)</f>
        <v>0.198812070380318</v>
      </c>
      <c r="HO322" s="60" t="n">
        <f aca="false">$I$27/FW322*(HH322-1)-HJ322-HI322*(2*FN322/FV322-$I$27/FW322)</f>
        <v>0.198812070380318</v>
      </c>
      <c r="HP322" s="60" t="n">
        <f aca="false">$J$27/FW322*(HH322-1)-HJ322-HI322*(2*FO322/FV322-$J$27/FW322)</f>
        <v>0.198812070380318</v>
      </c>
      <c r="HQ322" s="60" t="n">
        <f aca="false">$K$27/FW322*(HH322-1)-HJ322-HI322*(2*FP322/FV322-$K$27/FW322)</f>
        <v>0.198812070380318</v>
      </c>
      <c r="HR322" s="60" t="n">
        <f aca="false">$L$27/FW322*(HH322-1)-HJ322-HI322*(2*FQ322/FV322-$L$27/FW322)</f>
        <v>0.198812070380318</v>
      </c>
      <c r="HS322" s="60" t="n">
        <f aca="false">$M$27/FW322*(HH322-1)-HJ322-HI322*(2*FR322/FV322-$M$27/FW322)</f>
        <v>0.198812070380318</v>
      </c>
      <c r="HT322" s="60" t="n">
        <f aca="false">$N$27/FW322*(HH322-1)-HJ322-HI322*(2*FS322/FV322-$N$27/FW322)</f>
        <v>0.198812070380318</v>
      </c>
      <c r="HU322" s="60" t="n">
        <f aca="false">$O$27/FW322*(HH322-1)-HJ322-HI322*(2*FT322/FV322-$O$27/FW322)</f>
        <v>0.198812070380318</v>
      </c>
      <c r="HV322" s="60" t="n">
        <f aca="false">$P$27/FW322*(HH322-1)-HJ322-HI322*(2*FU322/FV322-$P$27/FW322)</f>
        <v>0.198812070380318</v>
      </c>
      <c r="HW322" s="60" t="n">
        <f aca="false">FY322/HH322&gt;$C$22</f>
        <v>0</v>
      </c>
      <c r="HX322" s="60" t="n">
        <f aca="false">IF($E$13&gt;0,MAX(-300,MIN(300,EW322-HK322)),0)</f>
        <v>0</v>
      </c>
      <c r="HY322" s="60" t="n">
        <f aca="false">IF($F$13&gt;0,MAX(-300,MIN(300,EX322-HL322)),0)</f>
        <v>0</v>
      </c>
      <c r="HZ322" s="60" t="n">
        <f aca="false">IF($G$13&gt;0,MAX(-300,MIN(300,EY322-HM322)),0)</f>
        <v>0</v>
      </c>
      <c r="IA322" s="60" t="n">
        <f aca="false">IF($H$13&gt;0,MAX(-300,MIN(300,EZ322-HN322)),0)</f>
        <v>0</v>
      </c>
      <c r="IB322" s="60" t="n">
        <f aca="false">IF($I$13&gt;0,MAX(-300,MIN(300,FA322-HO322)),0)</f>
        <v>0</v>
      </c>
      <c r="IC322" s="60" t="n">
        <f aca="false">IF($J$13&gt;0,MAX(-300,MIN(300,FB322-HP322)),0)</f>
        <v>0</v>
      </c>
      <c r="ID322" s="60" t="n">
        <f aca="false">IF($K$13&gt;0,MAX(-300,MIN(300,FC322-HQ322)),0)</f>
        <v>0</v>
      </c>
      <c r="IE322" s="60" t="n">
        <f aca="false">IF($L$13&gt;0,MAX(-300,MIN(300,FD322-HR322)),0)</f>
        <v>0</v>
      </c>
      <c r="IF322" s="60" t="n">
        <f aca="false">IF($M$13&gt;0,MAX(-300,MIN(300,FE322-HS322)),0)</f>
        <v>0</v>
      </c>
      <c r="IG322" s="60" t="n">
        <f aca="false">IF($N$13&gt;0,MAX(-300,MIN(300,FF322-HT322)),0)</f>
        <v>0</v>
      </c>
      <c r="IH322" s="60" t="n">
        <f aca="false">IF($O$13&gt;0,MAX(-300,MIN(300,FG322-HU322)),0)</f>
        <v>0</v>
      </c>
      <c r="II322" s="60" t="n">
        <f aca="false">IF($P$13&gt;0,MAX(-300,MIN(300,FH322-HV322)),0)</f>
        <v>0</v>
      </c>
      <c r="IJ322" s="60" t="n">
        <f aca="false">SUMXMY2(HX322:II322,B322:M322)</f>
        <v>0</v>
      </c>
      <c r="IK322" s="60" t="n">
        <f aca="false">SUMSQ(B322:M322)</f>
        <v>0</v>
      </c>
    </row>
    <row r="323" customFormat="false" ht="15" hidden="false" customHeight="false" outlineLevel="0" collapsed="false">
      <c r="A323" s="59" t="n">
        <v>26</v>
      </c>
      <c r="B323" s="60" t="n">
        <f aca="false">HX322</f>
        <v>0</v>
      </c>
      <c r="C323" s="60" t="n">
        <f aca="false">HY322</f>
        <v>0</v>
      </c>
      <c r="D323" s="60" t="n">
        <f aca="false">HZ322</f>
        <v>0</v>
      </c>
      <c r="E323" s="60" t="n">
        <f aca="false">IA322</f>
        <v>0</v>
      </c>
      <c r="F323" s="60" t="n">
        <f aca="false">IB322</f>
        <v>0</v>
      </c>
      <c r="G323" s="60" t="n">
        <f aca="false">IC322</f>
        <v>0</v>
      </c>
      <c r="H323" s="60" t="n">
        <f aca="false">ID322</f>
        <v>0</v>
      </c>
      <c r="I323" s="60" t="n">
        <f aca="false">IE322</f>
        <v>0</v>
      </c>
      <c r="J323" s="60" t="n">
        <f aca="false">IF322</f>
        <v>0</v>
      </c>
      <c r="K323" s="60" t="n">
        <f aca="false">IG322</f>
        <v>0</v>
      </c>
      <c r="L323" s="60" t="n">
        <f aca="false">IH322</f>
        <v>0</v>
      </c>
      <c r="M323" s="60" t="n">
        <f aca="false">II322</f>
        <v>0</v>
      </c>
      <c r="N323" s="60" t="n">
        <f aca="false">EXP(B323)</f>
        <v>1</v>
      </c>
      <c r="O323" s="60" t="n">
        <f aca="false">EXP(C323)</f>
        <v>1</v>
      </c>
      <c r="P323" s="60" t="n">
        <f aca="false">EXP(D323)</f>
        <v>1</v>
      </c>
      <c r="Q323" s="60" t="n">
        <f aca="false">EXP(E323)</f>
        <v>1</v>
      </c>
      <c r="R323" s="60" t="n">
        <f aca="false">EXP(F323)</f>
        <v>1</v>
      </c>
      <c r="S323" s="60" t="n">
        <f aca="false">EXP(G323)</f>
        <v>1</v>
      </c>
      <c r="T323" s="60" t="n">
        <f aca="false">EXP(H323)</f>
        <v>1</v>
      </c>
      <c r="U323" s="60" t="n">
        <f aca="false">EXP(I323)</f>
        <v>1</v>
      </c>
      <c r="V323" s="60" t="n">
        <f aca="false">EXP(J323)</f>
        <v>1</v>
      </c>
      <c r="W323" s="60" t="n">
        <f aca="false">EXP(K323)</f>
        <v>1</v>
      </c>
      <c r="X323" s="60" t="n">
        <f aca="false">EXP(L323)</f>
        <v>1</v>
      </c>
      <c r="Y323" s="60" t="n">
        <f aca="false">EXP(M323)</f>
        <v>1</v>
      </c>
      <c r="Z323" s="60" t="n">
        <f aca="false">MAX(N323:Y323)</f>
        <v>1</v>
      </c>
      <c r="AA323" s="60" t="n">
        <f aca="false">MIN(N323:Y323)</f>
        <v>1</v>
      </c>
      <c r="AB323" s="60" t="n">
        <f aca="false">AND(Z323&gt;1,AA323&lt;1)</f>
        <v>0</v>
      </c>
      <c r="AC323" s="60" t="n">
        <f aca="false">IF(AB323,1/(1-Z323),0)</f>
        <v>0</v>
      </c>
      <c r="AD323" s="60" t="n">
        <f aca="false">IF(AB323,1/(1-AA323),1)</f>
        <v>1</v>
      </c>
      <c r="AE323" s="60" t="n">
        <f aca="false">IF(AB323,MIN(MAX(BI322,AC323+0.000000001*(AD323-AC323)),AD323-0.000000001*(AD323-AC323)),IF(AA323&gt;=1,1,0))</f>
        <v>1</v>
      </c>
      <c r="AF323" s="60" t="n">
        <f aca="false">SUMPRODUCT($E$13:$P$13*(N323:Y323-1)/(1+AE323*(N323:Y323-1)))</f>
        <v>0</v>
      </c>
      <c r="AG323" s="60" t="n">
        <f aca="false">-SUMPRODUCT($E$13:$P$13*(N323:Y323-1)^2/(1+AE323*(N323:Y323-1))^2)</f>
        <v>-0</v>
      </c>
      <c r="AH323" s="60" t="n">
        <f aca="false">IF(OR(NOT(AB323),AG323=0),AE323,IF(AE323-AF323/AG323&lt;=AC323,(AE323+AC323)/2,IF(AE323-AF323/AG323&gt;=AD323,(AE323+AD323)/2,AE323-AF323/AG323)))</f>
        <v>1</v>
      </c>
      <c r="AI323" s="60" t="n">
        <f aca="false">SUMPRODUCT($E$13:$P$13*(N323:Y323-1)/(1+AH323*(N323:Y323-1)))</f>
        <v>0</v>
      </c>
      <c r="AJ323" s="60" t="n">
        <f aca="false">-SUMPRODUCT($E$13:$P$13*(N323:Y323-1)^2/(1+AH323*(N323:Y323-1))^2)</f>
        <v>-0</v>
      </c>
      <c r="AK323" s="60" t="n">
        <f aca="false">IF(OR(NOT(AB323),AJ323=0),AH323,IF(AH323-AI323/AJ323&lt;=AC323,(AH323+AC323)/2,IF(AH323-AI323/AJ323&gt;=AD323,(AH323+AD323)/2,AH323-AI323/AJ323)))</f>
        <v>1</v>
      </c>
      <c r="AL323" s="60" t="n">
        <f aca="false">SUMPRODUCT($E$13:$P$13*(N323:Y323-1)/(1+AK323*(N323:Y323-1)))</f>
        <v>0</v>
      </c>
      <c r="AM323" s="60" t="n">
        <f aca="false">-SUMPRODUCT($E$13:$P$13*(N323:Y323-1)^2/(1+AK323*(N323:Y323-1))^2)</f>
        <v>-0</v>
      </c>
      <c r="AN323" s="60" t="n">
        <f aca="false">IF(OR(NOT(AB323),AM323=0),AK323,IF(AK323-AL323/AM323&lt;=AC323,(AK323+AC323)/2,IF(AK323-AL323/AM323&gt;=AD323,(AK323+AD323)/2,AK323-AL323/AM323)))</f>
        <v>1</v>
      </c>
      <c r="AO323" s="60" t="n">
        <f aca="false">SUMPRODUCT($E$13:$P$13*(N323:Y323-1)/(1+AN323*(N323:Y323-1)))</f>
        <v>0</v>
      </c>
      <c r="AP323" s="60" t="n">
        <f aca="false">-SUMPRODUCT($E$13:$P$13*(N323:Y323-1)^2/(1+AN323*(N323:Y323-1))^2)</f>
        <v>-0</v>
      </c>
      <c r="AQ323" s="60" t="n">
        <f aca="false">IF(OR(NOT(AB323),AP323=0),AN323,IF(AN323-AO323/AP323&lt;=AC323,(AN323+AC323)/2,IF(AN323-AO323/AP323&gt;=AD323,(AN323+AD323)/2,AN323-AO323/AP323)))</f>
        <v>1</v>
      </c>
      <c r="AR323" s="60" t="n">
        <f aca="false">SUMPRODUCT($E$13:$P$13*(N323:Y323-1)/(1+AQ323*(N323:Y323-1)))</f>
        <v>0</v>
      </c>
      <c r="AS323" s="60" t="n">
        <f aca="false">-SUMPRODUCT($E$13:$P$13*(N323:Y323-1)^2/(1+AQ323*(N323:Y323-1))^2)</f>
        <v>-0</v>
      </c>
      <c r="AT323" s="60" t="n">
        <f aca="false">IF(OR(NOT(AB323),AS323=0),AQ323,IF(AQ323-AR323/AS323&lt;=AC323,(AQ323+AC323)/2,IF(AQ323-AR323/AS323&gt;=AD323,(AQ323+AD323)/2,AQ323-AR323/AS323)))</f>
        <v>1</v>
      </c>
      <c r="AU323" s="60" t="n">
        <f aca="false">SUMPRODUCT($E$13:$P$13*(N323:Y323-1)/(1+AT323*(N323:Y323-1)))</f>
        <v>0</v>
      </c>
      <c r="AV323" s="60" t="n">
        <f aca="false">-SUMPRODUCT($E$13:$P$13*(N323:Y323-1)^2/(1+AT323*(N323:Y323-1))^2)</f>
        <v>-0</v>
      </c>
      <c r="AW323" s="60" t="n">
        <f aca="false">IF(OR(NOT(AB323),AV323=0),AT323,IF(AT323-AU323/AV323&lt;=AC323,(AT323+AC323)/2,IF(AT323-AU323/AV323&gt;=AD323,(AT323+AD323)/2,AT323-AU323/AV323)))</f>
        <v>1</v>
      </c>
      <c r="AX323" s="60" t="n">
        <f aca="false">SUMPRODUCT($E$13:$P$13*(N323:Y323-1)/(1+AW323*(N323:Y323-1)))</f>
        <v>0</v>
      </c>
      <c r="AY323" s="60" t="n">
        <f aca="false">-SUMPRODUCT($E$13:$P$13*(N323:Y323-1)^2/(1+AW323*(N323:Y323-1))^2)</f>
        <v>-0</v>
      </c>
      <c r="AZ323" s="60" t="n">
        <f aca="false">IF(OR(NOT(AB323),AY323=0),AW323,IF(AW323-AX323/AY323&lt;=AC323,(AW323+AC323)/2,IF(AW323-AX323/AY323&gt;=AD323,(AW323+AD323)/2,AW323-AX323/AY323)))</f>
        <v>1</v>
      </c>
      <c r="BA323" s="60" t="n">
        <f aca="false">SUMPRODUCT($E$13:$P$13*(N323:Y323-1)/(1+AZ323*(N323:Y323-1)))</f>
        <v>0</v>
      </c>
      <c r="BB323" s="60" t="n">
        <f aca="false">-SUMPRODUCT($E$13:$P$13*(N323:Y323-1)^2/(1+AZ323*(N323:Y323-1))^2)</f>
        <v>-0</v>
      </c>
      <c r="BC323" s="60" t="n">
        <f aca="false">IF(OR(NOT(AB323),BB323=0),AZ323,IF(AZ323-BA323/BB323&lt;=AC323,(AZ323+AC323)/2,IF(AZ323-BA323/BB323&gt;=AD323,(AZ323+AD323)/2,AZ323-BA323/BB323)))</f>
        <v>1</v>
      </c>
      <c r="BD323" s="60" t="n">
        <f aca="false">SUMPRODUCT($E$13:$P$13*(N323:Y323-1)/(1+BC323*(N323:Y323-1)))</f>
        <v>0</v>
      </c>
      <c r="BE323" s="60" t="n">
        <f aca="false">-SUMPRODUCT($E$13:$P$13*(N323:Y323-1)^2/(1+BC323*(N323:Y323-1))^2)</f>
        <v>-0</v>
      </c>
      <c r="BF323" s="60" t="n">
        <f aca="false">IF(OR(NOT(AB323),BE323=0),BC323,IF(BC323-BD323/BE323&lt;=AC323,(BC323+AC323)/2,IF(BC323-BD323/BE323&gt;=AD323,(BC323+AD323)/2,BC323-BD323/BE323)))</f>
        <v>1</v>
      </c>
      <c r="BG323" s="60" t="n">
        <f aca="false">SUMPRODUCT($E$13:$P$13*(N323:Y323-1)/(1+BF323*(N323:Y323-1)))</f>
        <v>0</v>
      </c>
      <c r="BH323" s="60" t="n">
        <f aca="false">-SUMPRODUCT($E$13:$P$13*(N323:Y323-1)^2/(1+BF323*(N323:Y323-1))^2)</f>
        <v>-0</v>
      </c>
      <c r="BI323" s="60" t="n">
        <f aca="false">IF(OR(NOT(AB323),BH323=0),BF323,IF(BF323-BG323/BH323&lt;=AC323,(BF323+AC323)/2,IF(BF323-BG323/BH323&gt;=AD323,(BF323+AD323)/2,BF323-BG323/BH323)))</f>
        <v>1</v>
      </c>
      <c r="BJ323" s="60" t="n">
        <f aca="false">$E$13/(1+BI323*(N323-1))</f>
        <v>1</v>
      </c>
      <c r="BK323" s="60" t="n">
        <f aca="false">$F$13/(1+BI323*(O323-1))</f>
        <v>0</v>
      </c>
      <c r="BL323" s="60" t="n">
        <f aca="false">$G$13/(1+BI323*(P323-1))</f>
        <v>0</v>
      </c>
      <c r="BM323" s="60" t="n">
        <f aca="false">$H$13/(1+BI323*(Q323-1))</f>
        <v>0</v>
      </c>
      <c r="BN323" s="60" t="n">
        <f aca="false">$I$13/(1+BI323*(R323-1))</f>
        <v>0</v>
      </c>
      <c r="BO323" s="60" t="n">
        <f aca="false">$J$13/(1+BI323*(S323-1))</f>
        <v>0</v>
      </c>
      <c r="BP323" s="60" t="n">
        <f aca="false">$K$13/(1+BI323*(T323-1))</f>
        <v>0</v>
      </c>
      <c r="BQ323" s="60" t="n">
        <f aca="false">$L$13/(1+BI323*(U323-1))</f>
        <v>0</v>
      </c>
      <c r="BR323" s="60" t="n">
        <f aca="false">$M$13/(1+BI323*(V323-1))</f>
        <v>0</v>
      </c>
      <c r="BS323" s="60" t="n">
        <f aca="false">$N$13/(1+BI323*(W323-1))</f>
        <v>0</v>
      </c>
      <c r="BT323" s="60" t="n">
        <f aca="false">$O$13/(1+BI323*(X323-1))</f>
        <v>0</v>
      </c>
      <c r="BU323" s="60" t="n">
        <f aca="false">$P$13/(1+BI323*(Y323-1))</f>
        <v>0</v>
      </c>
      <c r="BV323" s="60" t="n">
        <f aca="false">SUM(BJ323:BU323)</f>
        <v>1</v>
      </c>
      <c r="BW323" s="60" t="n">
        <f aca="false">SUMPRODUCT(N323:Y323,BJ323:BU323)</f>
        <v>1</v>
      </c>
      <c r="BX323" s="60" t="n">
        <f aca="false">BJ323/BV323</f>
        <v>1</v>
      </c>
      <c r="BY323" s="60" t="n">
        <f aca="false">BK323/BV323</f>
        <v>0</v>
      </c>
      <c r="BZ323" s="60" t="n">
        <f aca="false">BL323/BV323</f>
        <v>0</v>
      </c>
      <c r="CA323" s="60" t="n">
        <f aca="false">BM323/BV323</f>
        <v>0</v>
      </c>
      <c r="CB323" s="60" t="n">
        <f aca="false">BN323/BV323</f>
        <v>0</v>
      </c>
      <c r="CC323" s="60" t="n">
        <f aca="false">BO323/BV323</f>
        <v>0</v>
      </c>
      <c r="CD323" s="60" t="n">
        <f aca="false">BP323/BV323</f>
        <v>0</v>
      </c>
      <c r="CE323" s="60" t="n">
        <f aca="false">BQ323/BV323</f>
        <v>0</v>
      </c>
      <c r="CF323" s="60" t="n">
        <f aca="false">BR323/BV323</f>
        <v>0</v>
      </c>
      <c r="CG323" s="60" t="n">
        <f aca="false">BS323/BV323</f>
        <v>0</v>
      </c>
      <c r="CH323" s="60" t="n">
        <f aca="false">BT323/BV323</f>
        <v>0</v>
      </c>
      <c r="CI323" s="60" t="n">
        <f aca="false">BU323/BV323</f>
        <v>0</v>
      </c>
      <c r="CJ323" s="60" t="n">
        <f aca="false">N323*BJ323/BW323</f>
        <v>1</v>
      </c>
      <c r="CK323" s="60" t="n">
        <f aca="false">O323*BK323/BW323</f>
        <v>0</v>
      </c>
      <c r="CL323" s="60" t="n">
        <f aca="false">P323*BL323/BW323</f>
        <v>0</v>
      </c>
      <c r="CM323" s="60" t="n">
        <f aca="false">Q323*BM323/BW323</f>
        <v>0</v>
      </c>
      <c r="CN323" s="60" t="n">
        <f aca="false">R323*BN323/BW323</f>
        <v>0</v>
      </c>
      <c r="CO323" s="60" t="n">
        <f aca="false">S323*BO323/BW323</f>
        <v>0</v>
      </c>
      <c r="CP323" s="60" t="n">
        <f aca="false">T323*BP323/BW323</f>
        <v>0</v>
      </c>
      <c r="CQ323" s="60" t="n">
        <f aca="false">U323*BQ323/BW323</f>
        <v>0</v>
      </c>
      <c r="CR323" s="60" t="n">
        <f aca="false">V323*BR323/BW323</f>
        <v>0</v>
      </c>
      <c r="CS323" s="60" t="n">
        <f aca="false">W323*BS323/BW323</f>
        <v>0</v>
      </c>
      <c r="CT323" s="60" t="n">
        <f aca="false">X323*BT323/BW323</f>
        <v>0</v>
      </c>
      <c r="CU323" s="60" t="n">
        <f aca="false">Y323*BU323/BW323</f>
        <v>0</v>
      </c>
      <c r="CV323" s="60" t="n">
        <f aca="false">$E$28*SUMPRODUCT($E$31:$P$31,BX323:CI323,$E$28:$P$28)</f>
        <v>0.184416866619846</v>
      </c>
      <c r="CW323" s="60" t="n">
        <f aca="false">$F$28*SUMPRODUCT($E$32:$P$32,BX323:CI323,$E$28:$P$28)</f>
        <v>0</v>
      </c>
      <c r="CX323" s="60" t="n">
        <f aca="false">$G$28*SUMPRODUCT($E$33:$P$33,BX323:CI323,$E$28:$P$28)</f>
        <v>0</v>
      </c>
      <c r="CY323" s="60" t="n">
        <f aca="false">$H$28*SUMPRODUCT($E$34:$P$34,BX323:CI323,$E$28:$P$28)</f>
        <v>0</v>
      </c>
      <c r="CZ323" s="60" t="n">
        <f aca="false">$I$28*SUMPRODUCT($E$35:$P$35,BX323:CI323,$E$28:$P$28)</f>
        <v>0</v>
      </c>
      <c r="DA323" s="60" t="n">
        <f aca="false">$J$28*SUMPRODUCT($E$36:$P$36,BX323:CI323,$E$28:$P$28)</f>
        <v>0</v>
      </c>
      <c r="DB323" s="60" t="n">
        <f aca="false">$K$28*SUMPRODUCT($E$37:$P$37,BX323:CI323,$E$28:$P$28)</f>
        <v>0</v>
      </c>
      <c r="DC323" s="60" t="n">
        <f aca="false">$L$28*SUMPRODUCT($E$38:$P$38,BX323:CI323,$E$28:$P$28)</f>
        <v>0</v>
      </c>
      <c r="DD323" s="60" t="n">
        <f aca="false">$M$28*SUMPRODUCT($E$39:$P$39,BX323:CI323,$E$28:$P$28)</f>
        <v>0</v>
      </c>
      <c r="DE323" s="60" t="n">
        <f aca="false">$N$28*SUMPRODUCT($E$40:$P$40,BX323:CI323,$E$28:$P$28)</f>
        <v>0</v>
      </c>
      <c r="DF323" s="60" t="n">
        <f aca="false">$O$28*SUMPRODUCT($E$41:$P$41,BX323:CI323,$E$28:$P$28)</f>
        <v>0</v>
      </c>
      <c r="DG323" s="60" t="n">
        <f aca="false">$P$28*SUMPRODUCT($E$42:$P$42,BX323:CI323,$E$28:$P$28)</f>
        <v>0</v>
      </c>
      <c r="DH323" s="60" t="n">
        <f aca="false">SUMPRODUCT(BX323:CI323,CV323:DG323)</f>
        <v>0.184416866619846</v>
      </c>
      <c r="DI323" s="60" t="n">
        <f aca="false">SUMPRODUCT(BX323:CI323,$E$27:$P$27)</f>
        <v>2.67389635063809E-005</v>
      </c>
      <c r="DJ323" s="60" t="n">
        <f aca="false">DH323*$C$9/($C$10*$C$8)^2</f>
        <v>0.21776909410545</v>
      </c>
      <c r="DK323" s="60" t="n">
        <f aca="false">DI323*$C$9/($C$10*$C$8)</f>
        <v>0.0918845243259994</v>
      </c>
      <c r="DL323" s="60" t="n">
        <f aca="false">CHOOSE($C$7,-(1+DK323),-1,-(1-DK323))</f>
        <v>-0.908115475674001</v>
      </c>
      <c r="DM323" s="60" t="n">
        <f aca="false">CHOOSE($C$7,DJ323,DJ323-DK323-DK323^2,DJ323-3*DK323^2-2*DK323)</f>
        <v>0.00867174802160559</v>
      </c>
      <c r="DN323" s="60" t="n">
        <f aca="false">CHOOSE($C$7,-DJ323*DK323,-DJ323*DK323,-(DJ323*DK323-DK323^2-DK323^3))</f>
        <v>-0.0107910842936637</v>
      </c>
      <c r="DO323" s="60" t="n">
        <f aca="false">DM323-DL323^2/3</f>
        <v>-0.266219491031267</v>
      </c>
      <c r="DP323" s="60" t="n">
        <f aca="false">2*DL323^3/27-DL323*DM323/3+DN323</f>
        <v>-0.0636400988362784</v>
      </c>
      <c r="DQ323" s="60" t="n">
        <f aca="false">DP323^2/4+DO323^3/27</f>
        <v>0.000313710901361829</v>
      </c>
      <c r="DR323" s="60" t="n">
        <f aca="false">-DP323/2-IF(DP323&gt;=0,1,-1)*SQRT(MAX(DQ323,0))</f>
        <v>0.0495319352963236</v>
      </c>
      <c r="DS323" s="60" t="n">
        <f aca="false">SIGN(DR323)*ABS(DR323)^(1/3)</f>
        <v>0.367249967174439</v>
      </c>
      <c r="DT323" s="60" t="n">
        <f aca="false">IF(DS323=0,0,DS323-DO323/(3*DS323))</f>
        <v>0.60888329127384</v>
      </c>
      <c r="DU323" s="60" t="n">
        <f aca="false">2*SQRT(MAX(-DO323,0)/3)</f>
        <v>0.595784626668918</v>
      </c>
      <c r="DV323" s="60" t="n">
        <f aca="false">ACOS(IF(DU323=0,0,MAX(-1,MIN(1,3*DP323/(DO323*DU323)))))</f>
        <v>0</v>
      </c>
      <c r="DW323" s="60" t="n">
        <f aca="false">DU323*COS(DV323/3)</f>
        <v>0.595784626668918</v>
      </c>
      <c r="DX323" s="60" t="n">
        <f aca="false">IF(DQ323&lt;0,DW323,DT323)-DL323/3</f>
        <v>0.91158844983184</v>
      </c>
      <c r="DY323" s="60" t="n">
        <f aca="false">IFERROR((((DX323+DL323)*DX323+DM323)*DX323+DN323)/((3*DX323+2*DL323)*DX323+DM323),0)</f>
        <v>0</v>
      </c>
      <c r="DZ323" s="60" t="n">
        <f aca="false">IF(ABS(DY323)&lt;0.1*ABS(DX323),DX323-DY323,DX323)</f>
        <v>0.91158844983184</v>
      </c>
      <c r="EA323" s="60" t="n">
        <f aca="false">IFERROR((((DZ323+DL323)*DZ323+DM323)*DZ323+DN323)/((3*DZ323+2*DL323)*DZ323+DM323),0)</f>
        <v>0</v>
      </c>
      <c r="EB323" s="60" t="n">
        <f aca="false">IF(ABS(EA323)&lt;0.1*ABS(DZ323),DZ323-EA323,DZ323)</f>
        <v>0.91158844983184</v>
      </c>
      <c r="EC323" s="60" t="n">
        <f aca="false">-DN323/EB323</f>
        <v>0.0118376711504565</v>
      </c>
      <c r="ED323" s="60" t="n">
        <f aca="false">(DM323-EC323)/EB323</f>
        <v>-0.00347297415783941</v>
      </c>
      <c r="EE323" s="60" t="n">
        <f aca="false">ED323^2-4*EC323</f>
        <v>-0.0473386230523248</v>
      </c>
      <c r="EF323" s="60" t="n">
        <f aca="false">IF(EE323&gt;=0,(ED323+IF(ED323&gt;=0,1,-1)*SQRT(EE323))/2,0)</f>
        <v>0</v>
      </c>
      <c r="EG323" s="60" t="n">
        <f aca="false">IF(AND(EE323&gt;=0,EF323&lt;&gt;0),MIN(EF323,EC323/EF323),-1)</f>
        <v>-1</v>
      </c>
      <c r="EH323" s="60" t="n">
        <f aca="false">AND(EE323&gt;=0,EG323&gt;DK323,ABS(EB323-EG323)&gt;=0.00005*MAX(EB323,EG323))</f>
        <v>0</v>
      </c>
      <c r="EI323" s="60" t="n">
        <f aca="false">IF(EH323,IFERROR((((EG323+DL323)*EG323+DM323)*EG323+DN323)/((3*EG323+2*DL323)*EG323+DM323),0),0)</f>
        <v>0</v>
      </c>
      <c r="EJ323" s="60" t="n">
        <f aca="false">IF(ABS(EI323)&lt;0.1*ABS(EG323),EG323-EI323,EG323)</f>
        <v>-1</v>
      </c>
      <c r="EK323" s="60" t="n">
        <f aca="false">IF(EH323,IFERROR((((EJ323+DL323)*EJ323+DM323)*EJ323+DN323)/((3*EJ323+2*DL323)*EJ323+DM323),0),0)</f>
        <v>0</v>
      </c>
      <c r="EL323" s="60" t="n">
        <f aca="false">IF(ABS(EK323)&lt;0.1*ABS(EJ323),EJ323-EK323,EJ323)</f>
        <v>-1</v>
      </c>
      <c r="EM323" s="60" t="n">
        <f aca="false">IF(EH323,MAX(EB323,EL323),EB323)</f>
        <v>0.91158844983184</v>
      </c>
      <c r="EN323" s="60" t="n">
        <f aca="false">IF(EH323,MIN(EB323,EL323),-1)</f>
        <v>-1</v>
      </c>
      <c r="EO323" s="60" t="n">
        <f aca="false">CHOOSE($C$7,DJ323/EM323,DJ323/DK323*LN(1+DK323/EM323),DJ323/(2*SQRT(2)*DK323)*LN((EM323+(1+SQRT(2))*DK323)/(EM323+(1-SQRT(2))*DK323)))</f>
        <v>0.218240791233887</v>
      </c>
      <c r="EP323" s="60" t="n">
        <f aca="false">EM323-1-LN(EM323-DK323)-EO323</f>
        <v>-0.107840271021729</v>
      </c>
      <c r="EQ323" s="60" t="n">
        <f aca="false">IF(EH323,CHOOSE($C$7,DJ323/EN323,DJ323/DK323*LN(1+DK323/EN323),DJ323/(2*SQRT(2)*DK323)*LN((EN323+(1+SQRT(2))*DK323)/(EN323+(1-SQRT(2))*DK323))),0)</f>
        <v>0</v>
      </c>
      <c r="ER323" s="60" t="n">
        <f aca="false">IF(EH323,EN323-1-LN(EN323-DK323)-EQ323,0)</f>
        <v>0</v>
      </c>
      <c r="ES323" s="60" t="n">
        <f aca="false">AND(EH323,ER323&lt;EP323)</f>
        <v>0</v>
      </c>
      <c r="ET323" s="60" t="n">
        <f aca="false">IF(ES323,EN323,EM323)</f>
        <v>0.91158844983184</v>
      </c>
      <c r="EU323" s="60" t="n">
        <f aca="false">IF(ES323,EQ323,EO323)</f>
        <v>0.218240791233887</v>
      </c>
      <c r="EV323" s="60" t="n">
        <f aca="false">LN(ET323-DK323)</f>
        <v>-0.198812070380318</v>
      </c>
      <c r="EW323" s="60" t="n">
        <f aca="false">$E$27/DI323*(ET323-1)-EV323-EU323*(2*CV323/DH323-$E$27/DI323)</f>
        <v>-0.107840271021729</v>
      </c>
      <c r="EX323" s="60" t="n">
        <f aca="false">$F$27/DI323*(ET323-1)-EV323-EU323*(2*CW323/DH323-$F$27/DI323)</f>
        <v>0.198812070380318</v>
      </c>
      <c r="EY323" s="60" t="n">
        <f aca="false">$G$27/DI323*(ET323-1)-EV323-EU323*(2*CX323/DH323-$G$27/DI323)</f>
        <v>0.198812070380318</v>
      </c>
      <c r="EZ323" s="60" t="n">
        <f aca="false">$H$27/DI323*(ET323-1)-EV323-EU323*(2*CY323/DH323-$H$27/DI323)</f>
        <v>0.198812070380318</v>
      </c>
      <c r="FA323" s="60" t="n">
        <f aca="false">$I$27/DI323*(ET323-1)-EV323-EU323*(2*CZ323/DH323-$I$27/DI323)</f>
        <v>0.198812070380318</v>
      </c>
      <c r="FB323" s="60" t="n">
        <f aca="false">$J$27/DI323*(ET323-1)-EV323-EU323*(2*DA323/DH323-$J$27/DI323)</f>
        <v>0.198812070380318</v>
      </c>
      <c r="FC323" s="60" t="n">
        <f aca="false">$K$27/DI323*(ET323-1)-EV323-EU323*(2*DB323/DH323-$K$27/DI323)</f>
        <v>0.198812070380318</v>
      </c>
      <c r="FD323" s="60" t="n">
        <f aca="false">$L$27/DI323*(ET323-1)-EV323-EU323*(2*DC323/DH323-$L$27/DI323)</f>
        <v>0.198812070380318</v>
      </c>
      <c r="FE323" s="60" t="n">
        <f aca="false">$M$27/DI323*(ET323-1)-EV323-EU323*(2*DD323/DH323-$M$27/DI323)</f>
        <v>0.198812070380318</v>
      </c>
      <c r="FF323" s="60" t="n">
        <f aca="false">$N$27/DI323*(ET323-1)-EV323-EU323*(2*DE323/DH323-$N$27/DI323)</f>
        <v>0.198812070380318</v>
      </c>
      <c r="FG323" s="60" t="n">
        <f aca="false">$O$27/DI323*(ET323-1)-EV323-EU323*(2*DF323/DH323-$O$27/DI323)</f>
        <v>0.198812070380318</v>
      </c>
      <c r="FH323" s="60" t="n">
        <f aca="false">$P$27/DI323*(ET323-1)-EV323-EU323*(2*DG323/DH323-$P$27/DI323)</f>
        <v>0.198812070380318</v>
      </c>
      <c r="FI323" s="60" t="n">
        <f aca="false">DK323/ET323&gt;$C$22</f>
        <v>0</v>
      </c>
      <c r="FJ323" s="60" t="n">
        <f aca="false">$E$28*SUMPRODUCT($E$31:$P$31,CJ323:CU323,$E$28:$P$28)</f>
        <v>0.184416866619846</v>
      </c>
      <c r="FK323" s="60" t="n">
        <f aca="false">$F$28*SUMPRODUCT($E$32:$P$32,CJ323:CU323,$E$28:$P$28)</f>
        <v>0</v>
      </c>
      <c r="FL323" s="60" t="n">
        <f aca="false">$G$28*SUMPRODUCT($E$33:$P$33,CJ323:CU323,$E$28:$P$28)</f>
        <v>0</v>
      </c>
      <c r="FM323" s="60" t="n">
        <f aca="false">$H$28*SUMPRODUCT($E$34:$P$34,CJ323:CU323,$E$28:$P$28)</f>
        <v>0</v>
      </c>
      <c r="FN323" s="60" t="n">
        <f aca="false">$I$28*SUMPRODUCT($E$35:$P$35,CJ323:CU323,$E$28:$P$28)</f>
        <v>0</v>
      </c>
      <c r="FO323" s="60" t="n">
        <f aca="false">$J$28*SUMPRODUCT($E$36:$P$36,CJ323:CU323,$E$28:$P$28)</f>
        <v>0</v>
      </c>
      <c r="FP323" s="60" t="n">
        <f aca="false">$K$28*SUMPRODUCT($E$37:$P$37,CJ323:CU323,$E$28:$P$28)</f>
        <v>0</v>
      </c>
      <c r="FQ323" s="60" t="n">
        <f aca="false">$L$28*SUMPRODUCT($E$38:$P$38,CJ323:CU323,$E$28:$P$28)</f>
        <v>0</v>
      </c>
      <c r="FR323" s="60" t="n">
        <f aca="false">$M$28*SUMPRODUCT($E$39:$P$39,CJ323:CU323,$E$28:$P$28)</f>
        <v>0</v>
      </c>
      <c r="FS323" s="60" t="n">
        <f aca="false">$N$28*SUMPRODUCT($E$40:$P$40,CJ323:CU323,$E$28:$P$28)</f>
        <v>0</v>
      </c>
      <c r="FT323" s="60" t="n">
        <f aca="false">$O$28*SUMPRODUCT($E$41:$P$41,CJ323:CU323,$E$28:$P$28)</f>
        <v>0</v>
      </c>
      <c r="FU323" s="60" t="n">
        <f aca="false">$P$28*SUMPRODUCT($E$42:$P$42,CJ323:CU323,$E$28:$P$28)</f>
        <v>0</v>
      </c>
      <c r="FV323" s="60" t="n">
        <f aca="false">SUMPRODUCT(CJ323:CU323,FJ323:FU323)</f>
        <v>0.184416866619846</v>
      </c>
      <c r="FW323" s="60" t="n">
        <f aca="false">SUMPRODUCT(CJ323:CU323,$E$27:$P$27)</f>
        <v>2.67389635063809E-005</v>
      </c>
      <c r="FX323" s="60" t="n">
        <f aca="false">FV323*$C$9/($C$10*$C$8)^2</f>
        <v>0.21776909410545</v>
      </c>
      <c r="FY323" s="60" t="n">
        <f aca="false">FW323*$C$9/($C$10*$C$8)</f>
        <v>0.0918845243259994</v>
      </c>
      <c r="FZ323" s="60" t="n">
        <f aca="false">CHOOSE($C$7,-(1+FY323),-1,-(1-FY323))</f>
        <v>-0.908115475674001</v>
      </c>
      <c r="GA323" s="60" t="n">
        <f aca="false">CHOOSE($C$7,FX323,FX323-FY323-FY323^2,FX323-3*FY323^2-2*FY323)</f>
        <v>0.00867174802160559</v>
      </c>
      <c r="GB323" s="60" t="n">
        <f aca="false">CHOOSE($C$7,-FX323*FY323,-FX323*FY323,-(FX323*FY323-FY323^2-FY323^3))</f>
        <v>-0.0107910842936637</v>
      </c>
      <c r="GC323" s="60" t="n">
        <f aca="false">GA323-FZ323^2/3</f>
        <v>-0.266219491031267</v>
      </c>
      <c r="GD323" s="60" t="n">
        <f aca="false">2*FZ323^3/27-FZ323*GA323/3+GB323</f>
        <v>-0.0636400988362784</v>
      </c>
      <c r="GE323" s="60" t="n">
        <f aca="false">GD323^2/4+GC323^3/27</f>
        <v>0.000313710901361829</v>
      </c>
      <c r="GF323" s="60" t="n">
        <f aca="false">-GD323/2-IF(GD323&gt;=0,1,-1)*SQRT(MAX(GE323,0))</f>
        <v>0.0495319352963236</v>
      </c>
      <c r="GG323" s="60" t="n">
        <f aca="false">SIGN(GF323)*ABS(GF323)^(1/3)</f>
        <v>0.367249967174439</v>
      </c>
      <c r="GH323" s="60" t="n">
        <f aca="false">IF(GG323=0,0,GG323-GC323/(3*GG323))</f>
        <v>0.60888329127384</v>
      </c>
      <c r="GI323" s="60" t="n">
        <f aca="false">2*SQRT(MAX(-GC323,0)/3)</f>
        <v>0.595784626668918</v>
      </c>
      <c r="GJ323" s="60" t="n">
        <f aca="false">ACOS(IF(GI323=0,0,MAX(-1,MIN(1,3*GD323/(GC323*GI323)))))</f>
        <v>0</v>
      </c>
      <c r="GK323" s="60" t="n">
        <f aca="false">GI323*COS(GJ323/3)</f>
        <v>0.595784626668918</v>
      </c>
      <c r="GL323" s="60" t="n">
        <f aca="false">IF(GE323&lt;0,GK323,GH323)-FZ323/3</f>
        <v>0.91158844983184</v>
      </c>
      <c r="GM323" s="60" t="n">
        <f aca="false">IFERROR((((GL323+FZ323)*GL323+GA323)*GL323+GB323)/((3*GL323+2*FZ323)*GL323+GA323),0)</f>
        <v>0</v>
      </c>
      <c r="GN323" s="60" t="n">
        <f aca="false">IF(ABS(GM323)&lt;0.1*ABS(GL323),GL323-GM323,GL323)</f>
        <v>0.91158844983184</v>
      </c>
      <c r="GO323" s="60" t="n">
        <f aca="false">IFERROR((((GN323+FZ323)*GN323+GA323)*GN323+GB323)/((3*GN323+2*FZ323)*GN323+GA323),0)</f>
        <v>0</v>
      </c>
      <c r="GP323" s="60" t="n">
        <f aca="false">IF(ABS(GO323)&lt;0.1*ABS(GN323),GN323-GO323,GN323)</f>
        <v>0.91158844983184</v>
      </c>
      <c r="GQ323" s="60" t="n">
        <f aca="false">-GB323/GP323</f>
        <v>0.0118376711504565</v>
      </c>
      <c r="GR323" s="60" t="n">
        <f aca="false">(GA323-GQ323)/GP323</f>
        <v>-0.00347297415783941</v>
      </c>
      <c r="GS323" s="60" t="n">
        <f aca="false">GR323^2-4*GQ323</f>
        <v>-0.0473386230523248</v>
      </c>
      <c r="GT323" s="60" t="n">
        <f aca="false">IF(GS323&gt;=0,(GR323+IF(GR323&gt;=0,1,-1)*SQRT(GS323))/2,0)</f>
        <v>0</v>
      </c>
      <c r="GU323" s="60" t="n">
        <f aca="false">IF(AND(GS323&gt;=0,GT323&lt;&gt;0),MIN(GT323,GQ323/GT323),-1)</f>
        <v>-1</v>
      </c>
      <c r="GV323" s="60" t="n">
        <f aca="false">AND(GS323&gt;=0,GU323&gt;FY323,ABS(GP323-GU323)&gt;=0.00005*MAX(GP323,GU323))</f>
        <v>0</v>
      </c>
      <c r="GW323" s="60" t="n">
        <f aca="false">IF(GV323,IFERROR((((GU323+FZ323)*GU323+GA323)*GU323+GB323)/((3*GU323+2*FZ323)*GU323+GA323),0),0)</f>
        <v>0</v>
      </c>
      <c r="GX323" s="60" t="n">
        <f aca="false">IF(ABS(GW323)&lt;0.1*ABS(GU323),GU323-GW323,GU323)</f>
        <v>-1</v>
      </c>
      <c r="GY323" s="60" t="n">
        <f aca="false">IF(GV323,IFERROR((((GX323+FZ323)*GX323+GA323)*GX323+GB323)/((3*GX323+2*FZ323)*GX323+GA323),0),0)</f>
        <v>0</v>
      </c>
      <c r="GZ323" s="60" t="n">
        <f aca="false">IF(ABS(GY323)&lt;0.1*ABS(GX323),GX323-GY323,GX323)</f>
        <v>-1</v>
      </c>
      <c r="HA323" s="60" t="n">
        <f aca="false">IF(GV323,MAX(GP323,GZ323),GP323)</f>
        <v>0.91158844983184</v>
      </c>
      <c r="HB323" s="60" t="n">
        <f aca="false">IF(GV323,MIN(GP323,GZ323),-1)</f>
        <v>-1</v>
      </c>
      <c r="HC323" s="60" t="n">
        <f aca="false">CHOOSE($C$7,FX323/HA323,FX323/FY323*LN(1+FY323/HA323),FX323/(2*SQRT(2)*FY323)*LN((HA323+(1+SQRT(2))*FY323)/(HA323+(1-SQRT(2))*FY323)))</f>
        <v>0.218240791233887</v>
      </c>
      <c r="HD323" s="60" t="n">
        <f aca="false">HA323-1-LN(HA323-FY323)-HC323</f>
        <v>-0.107840271021729</v>
      </c>
      <c r="HE323" s="60" t="n">
        <f aca="false">IF(GV323,CHOOSE($C$7,FX323/HB323,FX323/FY323*LN(1+FY323/HB323),FX323/(2*SQRT(2)*FY323)*LN((HB323+(1+SQRT(2))*FY323)/(HB323+(1-SQRT(2))*FY323))),0)</f>
        <v>0</v>
      </c>
      <c r="HF323" s="60" t="n">
        <f aca="false">IF(GV323,HB323-1-LN(HB323-FY323)-HE323,0)</f>
        <v>0</v>
      </c>
      <c r="HG323" s="60" t="n">
        <f aca="false">AND(GV323,HF323&lt;HD323)</f>
        <v>0</v>
      </c>
      <c r="HH323" s="60" t="n">
        <f aca="false">IF(HG323,HB323,HA323)</f>
        <v>0.91158844983184</v>
      </c>
      <c r="HI323" s="60" t="n">
        <f aca="false">IF(HG323,HE323,HC323)</f>
        <v>0.218240791233887</v>
      </c>
      <c r="HJ323" s="60" t="n">
        <f aca="false">LN(HH323-FY323)</f>
        <v>-0.198812070380318</v>
      </c>
      <c r="HK323" s="60" t="n">
        <f aca="false">$E$27/FW323*(HH323-1)-HJ323-HI323*(2*FJ323/FV323-$E$27/FW323)</f>
        <v>-0.107840271021729</v>
      </c>
      <c r="HL323" s="60" t="n">
        <f aca="false">$F$27/FW323*(HH323-1)-HJ323-HI323*(2*FK323/FV323-$F$27/FW323)</f>
        <v>0.198812070380318</v>
      </c>
      <c r="HM323" s="60" t="n">
        <f aca="false">$G$27/FW323*(HH323-1)-HJ323-HI323*(2*FL323/FV323-$G$27/FW323)</f>
        <v>0.198812070380318</v>
      </c>
      <c r="HN323" s="60" t="n">
        <f aca="false">$H$27/FW323*(HH323-1)-HJ323-HI323*(2*FM323/FV323-$H$27/FW323)</f>
        <v>0.198812070380318</v>
      </c>
      <c r="HO323" s="60" t="n">
        <f aca="false">$I$27/FW323*(HH323-1)-HJ323-HI323*(2*FN323/FV323-$I$27/FW323)</f>
        <v>0.198812070380318</v>
      </c>
      <c r="HP323" s="60" t="n">
        <f aca="false">$J$27/FW323*(HH323-1)-HJ323-HI323*(2*FO323/FV323-$J$27/FW323)</f>
        <v>0.198812070380318</v>
      </c>
      <c r="HQ323" s="60" t="n">
        <f aca="false">$K$27/FW323*(HH323-1)-HJ323-HI323*(2*FP323/FV323-$K$27/FW323)</f>
        <v>0.198812070380318</v>
      </c>
      <c r="HR323" s="60" t="n">
        <f aca="false">$L$27/FW323*(HH323-1)-HJ323-HI323*(2*FQ323/FV323-$L$27/FW323)</f>
        <v>0.198812070380318</v>
      </c>
      <c r="HS323" s="60" t="n">
        <f aca="false">$M$27/FW323*(HH323-1)-HJ323-HI323*(2*FR323/FV323-$M$27/FW323)</f>
        <v>0.198812070380318</v>
      </c>
      <c r="HT323" s="60" t="n">
        <f aca="false">$N$27/FW323*(HH323-1)-HJ323-HI323*(2*FS323/FV323-$N$27/FW323)</f>
        <v>0.198812070380318</v>
      </c>
      <c r="HU323" s="60" t="n">
        <f aca="false">$O$27/FW323*(HH323-1)-HJ323-HI323*(2*FT323/FV323-$O$27/FW323)</f>
        <v>0.198812070380318</v>
      </c>
      <c r="HV323" s="60" t="n">
        <f aca="false">$P$27/FW323*(HH323-1)-HJ323-HI323*(2*FU323/FV323-$P$27/FW323)</f>
        <v>0.198812070380318</v>
      </c>
      <c r="HW323" s="60" t="n">
        <f aca="false">FY323/HH323&gt;$C$22</f>
        <v>0</v>
      </c>
      <c r="HX323" s="60" t="n">
        <f aca="false">IF($E$13&gt;0,MAX(-300,MIN(300,EW323-HK323)),0)</f>
        <v>0</v>
      </c>
      <c r="HY323" s="60" t="n">
        <f aca="false">IF($F$13&gt;0,MAX(-300,MIN(300,EX323-HL323)),0)</f>
        <v>0</v>
      </c>
      <c r="HZ323" s="60" t="n">
        <f aca="false">IF($G$13&gt;0,MAX(-300,MIN(300,EY323-HM323)),0)</f>
        <v>0</v>
      </c>
      <c r="IA323" s="60" t="n">
        <f aca="false">IF($H$13&gt;0,MAX(-300,MIN(300,EZ323-HN323)),0)</f>
        <v>0</v>
      </c>
      <c r="IB323" s="60" t="n">
        <f aca="false">IF($I$13&gt;0,MAX(-300,MIN(300,FA323-HO323)),0)</f>
        <v>0</v>
      </c>
      <c r="IC323" s="60" t="n">
        <f aca="false">IF($J$13&gt;0,MAX(-300,MIN(300,FB323-HP323)),0)</f>
        <v>0</v>
      </c>
      <c r="ID323" s="60" t="n">
        <f aca="false">IF($K$13&gt;0,MAX(-300,MIN(300,FC323-HQ323)),0)</f>
        <v>0</v>
      </c>
      <c r="IE323" s="60" t="n">
        <f aca="false">IF($L$13&gt;0,MAX(-300,MIN(300,FD323-HR323)),0)</f>
        <v>0</v>
      </c>
      <c r="IF323" s="60" t="n">
        <f aca="false">IF($M$13&gt;0,MAX(-300,MIN(300,FE323-HS323)),0)</f>
        <v>0</v>
      </c>
      <c r="IG323" s="60" t="n">
        <f aca="false">IF($N$13&gt;0,MAX(-300,MIN(300,FF323-HT323)),0)</f>
        <v>0</v>
      </c>
      <c r="IH323" s="60" t="n">
        <f aca="false">IF($O$13&gt;0,MAX(-300,MIN(300,FG323-HU323)),0)</f>
        <v>0</v>
      </c>
      <c r="II323" s="60" t="n">
        <f aca="false">IF($P$13&gt;0,MAX(-300,MIN(300,FH323-HV323)),0)</f>
        <v>0</v>
      </c>
      <c r="IJ323" s="60" t="n">
        <f aca="false">SUMXMY2(HX323:II323,B323:M323)</f>
        <v>0</v>
      </c>
      <c r="IK323" s="60" t="n">
        <f aca="false">SUMSQ(B323:M323)</f>
        <v>0</v>
      </c>
    </row>
    <row r="324" customFormat="false" ht="15" hidden="false" customHeight="false" outlineLevel="0" collapsed="false">
      <c r="A324" s="59" t="n">
        <v>27</v>
      </c>
      <c r="B324" s="60" t="n">
        <f aca="false">HX323</f>
        <v>0</v>
      </c>
      <c r="C324" s="60" t="n">
        <f aca="false">HY323</f>
        <v>0</v>
      </c>
      <c r="D324" s="60" t="n">
        <f aca="false">HZ323</f>
        <v>0</v>
      </c>
      <c r="E324" s="60" t="n">
        <f aca="false">IA323</f>
        <v>0</v>
      </c>
      <c r="F324" s="60" t="n">
        <f aca="false">IB323</f>
        <v>0</v>
      </c>
      <c r="G324" s="60" t="n">
        <f aca="false">IC323</f>
        <v>0</v>
      </c>
      <c r="H324" s="60" t="n">
        <f aca="false">ID323</f>
        <v>0</v>
      </c>
      <c r="I324" s="60" t="n">
        <f aca="false">IE323</f>
        <v>0</v>
      </c>
      <c r="J324" s="60" t="n">
        <f aca="false">IF323</f>
        <v>0</v>
      </c>
      <c r="K324" s="60" t="n">
        <f aca="false">IG323</f>
        <v>0</v>
      </c>
      <c r="L324" s="60" t="n">
        <f aca="false">IH323</f>
        <v>0</v>
      </c>
      <c r="M324" s="60" t="n">
        <f aca="false">II323</f>
        <v>0</v>
      </c>
      <c r="N324" s="60" t="n">
        <f aca="false">EXP(B324)</f>
        <v>1</v>
      </c>
      <c r="O324" s="60" t="n">
        <f aca="false">EXP(C324)</f>
        <v>1</v>
      </c>
      <c r="P324" s="60" t="n">
        <f aca="false">EXP(D324)</f>
        <v>1</v>
      </c>
      <c r="Q324" s="60" t="n">
        <f aca="false">EXP(E324)</f>
        <v>1</v>
      </c>
      <c r="R324" s="60" t="n">
        <f aca="false">EXP(F324)</f>
        <v>1</v>
      </c>
      <c r="S324" s="60" t="n">
        <f aca="false">EXP(G324)</f>
        <v>1</v>
      </c>
      <c r="T324" s="60" t="n">
        <f aca="false">EXP(H324)</f>
        <v>1</v>
      </c>
      <c r="U324" s="60" t="n">
        <f aca="false">EXP(I324)</f>
        <v>1</v>
      </c>
      <c r="V324" s="60" t="n">
        <f aca="false">EXP(J324)</f>
        <v>1</v>
      </c>
      <c r="W324" s="60" t="n">
        <f aca="false">EXP(K324)</f>
        <v>1</v>
      </c>
      <c r="X324" s="60" t="n">
        <f aca="false">EXP(L324)</f>
        <v>1</v>
      </c>
      <c r="Y324" s="60" t="n">
        <f aca="false">EXP(M324)</f>
        <v>1</v>
      </c>
      <c r="Z324" s="60" t="n">
        <f aca="false">MAX(N324:Y324)</f>
        <v>1</v>
      </c>
      <c r="AA324" s="60" t="n">
        <f aca="false">MIN(N324:Y324)</f>
        <v>1</v>
      </c>
      <c r="AB324" s="60" t="n">
        <f aca="false">AND(Z324&gt;1,AA324&lt;1)</f>
        <v>0</v>
      </c>
      <c r="AC324" s="60" t="n">
        <f aca="false">IF(AB324,1/(1-Z324),0)</f>
        <v>0</v>
      </c>
      <c r="AD324" s="60" t="n">
        <f aca="false">IF(AB324,1/(1-AA324),1)</f>
        <v>1</v>
      </c>
      <c r="AE324" s="60" t="n">
        <f aca="false">IF(AB324,MIN(MAX(BI323,AC324+0.000000001*(AD324-AC324)),AD324-0.000000001*(AD324-AC324)),IF(AA324&gt;=1,1,0))</f>
        <v>1</v>
      </c>
      <c r="AF324" s="60" t="n">
        <f aca="false">SUMPRODUCT($E$13:$P$13*(N324:Y324-1)/(1+AE324*(N324:Y324-1)))</f>
        <v>0</v>
      </c>
      <c r="AG324" s="60" t="n">
        <f aca="false">-SUMPRODUCT($E$13:$P$13*(N324:Y324-1)^2/(1+AE324*(N324:Y324-1))^2)</f>
        <v>-0</v>
      </c>
      <c r="AH324" s="60" t="n">
        <f aca="false">IF(OR(NOT(AB324),AG324=0),AE324,IF(AE324-AF324/AG324&lt;=AC324,(AE324+AC324)/2,IF(AE324-AF324/AG324&gt;=AD324,(AE324+AD324)/2,AE324-AF324/AG324)))</f>
        <v>1</v>
      </c>
      <c r="AI324" s="60" t="n">
        <f aca="false">SUMPRODUCT($E$13:$P$13*(N324:Y324-1)/(1+AH324*(N324:Y324-1)))</f>
        <v>0</v>
      </c>
      <c r="AJ324" s="60" t="n">
        <f aca="false">-SUMPRODUCT($E$13:$P$13*(N324:Y324-1)^2/(1+AH324*(N324:Y324-1))^2)</f>
        <v>-0</v>
      </c>
      <c r="AK324" s="60" t="n">
        <f aca="false">IF(OR(NOT(AB324),AJ324=0),AH324,IF(AH324-AI324/AJ324&lt;=AC324,(AH324+AC324)/2,IF(AH324-AI324/AJ324&gt;=AD324,(AH324+AD324)/2,AH324-AI324/AJ324)))</f>
        <v>1</v>
      </c>
      <c r="AL324" s="60" t="n">
        <f aca="false">SUMPRODUCT($E$13:$P$13*(N324:Y324-1)/(1+AK324*(N324:Y324-1)))</f>
        <v>0</v>
      </c>
      <c r="AM324" s="60" t="n">
        <f aca="false">-SUMPRODUCT($E$13:$P$13*(N324:Y324-1)^2/(1+AK324*(N324:Y324-1))^2)</f>
        <v>-0</v>
      </c>
      <c r="AN324" s="60" t="n">
        <f aca="false">IF(OR(NOT(AB324),AM324=0),AK324,IF(AK324-AL324/AM324&lt;=AC324,(AK324+AC324)/2,IF(AK324-AL324/AM324&gt;=AD324,(AK324+AD324)/2,AK324-AL324/AM324)))</f>
        <v>1</v>
      </c>
      <c r="AO324" s="60" t="n">
        <f aca="false">SUMPRODUCT($E$13:$P$13*(N324:Y324-1)/(1+AN324*(N324:Y324-1)))</f>
        <v>0</v>
      </c>
      <c r="AP324" s="60" t="n">
        <f aca="false">-SUMPRODUCT($E$13:$P$13*(N324:Y324-1)^2/(1+AN324*(N324:Y324-1))^2)</f>
        <v>-0</v>
      </c>
      <c r="AQ324" s="60" t="n">
        <f aca="false">IF(OR(NOT(AB324),AP324=0),AN324,IF(AN324-AO324/AP324&lt;=AC324,(AN324+AC324)/2,IF(AN324-AO324/AP324&gt;=AD324,(AN324+AD324)/2,AN324-AO324/AP324)))</f>
        <v>1</v>
      </c>
      <c r="AR324" s="60" t="n">
        <f aca="false">SUMPRODUCT($E$13:$P$13*(N324:Y324-1)/(1+AQ324*(N324:Y324-1)))</f>
        <v>0</v>
      </c>
      <c r="AS324" s="60" t="n">
        <f aca="false">-SUMPRODUCT($E$13:$P$13*(N324:Y324-1)^2/(1+AQ324*(N324:Y324-1))^2)</f>
        <v>-0</v>
      </c>
      <c r="AT324" s="60" t="n">
        <f aca="false">IF(OR(NOT(AB324),AS324=0),AQ324,IF(AQ324-AR324/AS324&lt;=AC324,(AQ324+AC324)/2,IF(AQ324-AR324/AS324&gt;=AD324,(AQ324+AD324)/2,AQ324-AR324/AS324)))</f>
        <v>1</v>
      </c>
      <c r="AU324" s="60" t="n">
        <f aca="false">SUMPRODUCT($E$13:$P$13*(N324:Y324-1)/(1+AT324*(N324:Y324-1)))</f>
        <v>0</v>
      </c>
      <c r="AV324" s="60" t="n">
        <f aca="false">-SUMPRODUCT($E$13:$P$13*(N324:Y324-1)^2/(1+AT324*(N324:Y324-1))^2)</f>
        <v>-0</v>
      </c>
      <c r="AW324" s="60" t="n">
        <f aca="false">IF(OR(NOT(AB324),AV324=0),AT324,IF(AT324-AU324/AV324&lt;=AC324,(AT324+AC324)/2,IF(AT324-AU324/AV324&gt;=AD324,(AT324+AD324)/2,AT324-AU324/AV324)))</f>
        <v>1</v>
      </c>
      <c r="AX324" s="60" t="n">
        <f aca="false">SUMPRODUCT($E$13:$P$13*(N324:Y324-1)/(1+AW324*(N324:Y324-1)))</f>
        <v>0</v>
      </c>
      <c r="AY324" s="60" t="n">
        <f aca="false">-SUMPRODUCT($E$13:$P$13*(N324:Y324-1)^2/(1+AW324*(N324:Y324-1))^2)</f>
        <v>-0</v>
      </c>
      <c r="AZ324" s="60" t="n">
        <f aca="false">IF(OR(NOT(AB324),AY324=0),AW324,IF(AW324-AX324/AY324&lt;=AC324,(AW324+AC324)/2,IF(AW324-AX324/AY324&gt;=AD324,(AW324+AD324)/2,AW324-AX324/AY324)))</f>
        <v>1</v>
      </c>
      <c r="BA324" s="60" t="n">
        <f aca="false">SUMPRODUCT($E$13:$P$13*(N324:Y324-1)/(1+AZ324*(N324:Y324-1)))</f>
        <v>0</v>
      </c>
      <c r="BB324" s="60" t="n">
        <f aca="false">-SUMPRODUCT($E$13:$P$13*(N324:Y324-1)^2/(1+AZ324*(N324:Y324-1))^2)</f>
        <v>-0</v>
      </c>
      <c r="BC324" s="60" t="n">
        <f aca="false">IF(OR(NOT(AB324),BB324=0),AZ324,IF(AZ324-BA324/BB324&lt;=AC324,(AZ324+AC324)/2,IF(AZ324-BA324/BB324&gt;=AD324,(AZ324+AD324)/2,AZ324-BA324/BB324)))</f>
        <v>1</v>
      </c>
      <c r="BD324" s="60" t="n">
        <f aca="false">SUMPRODUCT($E$13:$P$13*(N324:Y324-1)/(1+BC324*(N324:Y324-1)))</f>
        <v>0</v>
      </c>
      <c r="BE324" s="60" t="n">
        <f aca="false">-SUMPRODUCT($E$13:$P$13*(N324:Y324-1)^2/(1+BC324*(N324:Y324-1))^2)</f>
        <v>-0</v>
      </c>
      <c r="BF324" s="60" t="n">
        <f aca="false">IF(OR(NOT(AB324),BE324=0),BC324,IF(BC324-BD324/BE324&lt;=AC324,(BC324+AC324)/2,IF(BC324-BD324/BE324&gt;=AD324,(BC324+AD324)/2,BC324-BD324/BE324)))</f>
        <v>1</v>
      </c>
      <c r="BG324" s="60" t="n">
        <f aca="false">SUMPRODUCT($E$13:$P$13*(N324:Y324-1)/(1+BF324*(N324:Y324-1)))</f>
        <v>0</v>
      </c>
      <c r="BH324" s="60" t="n">
        <f aca="false">-SUMPRODUCT($E$13:$P$13*(N324:Y324-1)^2/(1+BF324*(N324:Y324-1))^2)</f>
        <v>-0</v>
      </c>
      <c r="BI324" s="60" t="n">
        <f aca="false">IF(OR(NOT(AB324),BH324=0),BF324,IF(BF324-BG324/BH324&lt;=AC324,(BF324+AC324)/2,IF(BF324-BG324/BH324&gt;=AD324,(BF324+AD324)/2,BF324-BG324/BH324)))</f>
        <v>1</v>
      </c>
      <c r="BJ324" s="60" t="n">
        <f aca="false">$E$13/(1+BI324*(N324-1))</f>
        <v>1</v>
      </c>
      <c r="BK324" s="60" t="n">
        <f aca="false">$F$13/(1+BI324*(O324-1))</f>
        <v>0</v>
      </c>
      <c r="BL324" s="60" t="n">
        <f aca="false">$G$13/(1+BI324*(P324-1))</f>
        <v>0</v>
      </c>
      <c r="BM324" s="60" t="n">
        <f aca="false">$H$13/(1+BI324*(Q324-1))</f>
        <v>0</v>
      </c>
      <c r="BN324" s="60" t="n">
        <f aca="false">$I$13/(1+BI324*(R324-1))</f>
        <v>0</v>
      </c>
      <c r="BO324" s="60" t="n">
        <f aca="false">$J$13/(1+BI324*(S324-1))</f>
        <v>0</v>
      </c>
      <c r="BP324" s="60" t="n">
        <f aca="false">$K$13/(1+BI324*(T324-1))</f>
        <v>0</v>
      </c>
      <c r="BQ324" s="60" t="n">
        <f aca="false">$L$13/(1+BI324*(U324-1))</f>
        <v>0</v>
      </c>
      <c r="BR324" s="60" t="n">
        <f aca="false">$M$13/(1+BI324*(V324-1))</f>
        <v>0</v>
      </c>
      <c r="BS324" s="60" t="n">
        <f aca="false">$N$13/(1+BI324*(W324-1))</f>
        <v>0</v>
      </c>
      <c r="BT324" s="60" t="n">
        <f aca="false">$O$13/(1+BI324*(X324-1))</f>
        <v>0</v>
      </c>
      <c r="BU324" s="60" t="n">
        <f aca="false">$P$13/(1+BI324*(Y324-1))</f>
        <v>0</v>
      </c>
      <c r="BV324" s="60" t="n">
        <f aca="false">SUM(BJ324:BU324)</f>
        <v>1</v>
      </c>
      <c r="BW324" s="60" t="n">
        <f aca="false">SUMPRODUCT(N324:Y324,BJ324:BU324)</f>
        <v>1</v>
      </c>
      <c r="BX324" s="60" t="n">
        <f aca="false">BJ324/BV324</f>
        <v>1</v>
      </c>
      <c r="BY324" s="60" t="n">
        <f aca="false">BK324/BV324</f>
        <v>0</v>
      </c>
      <c r="BZ324" s="60" t="n">
        <f aca="false">BL324/BV324</f>
        <v>0</v>
      </c>
      <c r="CA324" s="60" t="n">
        <f aca="false">BM324/BV324</f>
        <v>0</v>
      </c>
      <c r="CB324" s="60" t="n">
        <f aca="false">BN324/BV324</f>
        <v>0</v>
      </c>
      <c r="CC324" s="60" t="n">
        <f aca="false">BO324/BV324</f>
        <v>0</v>
      </c>
      <c r="CD324" s="60" t="n">
        <f aca="false">BP324/BV324</f>
        <v>0</v>
      </c>
      <c r="CE324" s="60" t="n">
        <f aca="false">BQ324/BV324</f>
        <v>0</v>
      </c>
      <c r="CF324" s="60" t="n">
        <f aca="false">BR324/BV324</f>
        <v>0</v>
      </c>
      <c r="CG324" s="60" t="n">
        <f aca="false">BS324/BV324</f>
        <v>0</v>
      </c>
      <c r="CH324" s="60" t="n">
        <f aca="false">BT324/BV324</f>
        <v>0</v>
      </c>
      <c r="CI324" s="60" t="n">
        <f aca="false">BU324/BV324</f>
        <v>0</v>
      </c>
      <c r="CJ324" s="60" t="n">
        <f aca="false">N324*BJ324/BW324</f>
        <v>1</v>
      </c>
      <c r="CK324" s="60" t="n">
        <f aca="false">O324*BK324/BW324</f>
        <v>0</v>
      </c>
      <c r="CL324" s="60" t="n">
        <f aca="false">P324*BL324/BW324</f>
        <v>0</v>
      </c>
      <c r="CM324" s="60" t="n">
        <f aca="false">Q324*BM324/BW324</f>
        <v>0</v>
      </c>
      <c r="CN324" s="60" t="n">
        <f aca="false">R324*BN324/BW324</f>
        <v>0</v>
      </c>
      <c r="CO324" s="60" t="n">
        <f aca="false">S324*BO324/BW324</f>
        <v>0</v>
      </c>
      <c r="CP324" s="60" t="n">
        <f aca="false">T324*BP324/BW324</f>
        <v>0</v>
      </c>
      <c r="CQ324" s="60" t="n">
        <f aca="false">U324*BQ324/BW324</f>
        <v>0</v>
      </c>
      <c r="CR324" s="60" t="n">
        <f aca="false">V324*BR324/BW324</f>
        <v>0</v>
      </c>
      <c r="CS324" s="60" t="n">
        <f aca="false">W324*BS324/BW324</f>
        <v>0</v>
      </c>
      <c r="CT324" s="60" t="n">
        <f aca="false">X324*BT324/BW324</f>
        <v>0</v>
      </c>
      <c r="CU324" s="60" t="n">
        <f aca="false">Y324*BU324/BW324</f>
        <v>0</v>
      </c>
      <c r="CV324" s="60" t="n">
        <f aca="false">$E$28*SUMPRODUCT($E$31:$P$31,BX324:CI324,$E$28:$P$28)</f>
        <v>0.184416866619846</v>
      </c>
      <c r="CW324" s="60" t="n">
        <f aca="false">$F$28*SUMPRODUCT($E$32:$P$32,BX324:CI324,$E$28:$P$28)</f>
        <v>0</v>
      </c>
      <c r="CX324" s="60" t="n">
        <f aca="false">$G$28*SUMPRODUCT($E$33:$P$33,BX324:CI324,$E$28:$P$28)</f>
        <v>0</v>
      </c>
      <c r="CY324" s="60" t="n">
        <f aca="false">$H$28*SUMPRODUCT($E$34:$P$34,BX324:CI324,$E$28:$P$28)</f>
        <v>0</v>
      </c>
      <c r="CZ324" s="60" t="n">
        <f aca="false">$I$28*SUMPRODUCT($E$35:$P$35,BX324:CI324,$E$28:$P$28)</f>
        <v>0</v>
      </c>
      <c r="DA324" s="60" t="n">
        <f aca="false">$J$28*SUMPRODUCT($E$36:$P$36,BX324:CI324,$E$28:$P$28)</f>
        <v>0</v>
      </c>
      <c r="DB324" s="60" t="n">
        <f aca="false">$K$28*SUMPRODUCT($E$37:$P$37,BX324:CI324,$E$28:$P$28)</f>
        <v>0</v>
      </c>
      <c r="DC324" s="60" t="n">
        <f aca="false">$L$28*SUMPRODUCT($E$38:$P$38,BX324:CI324,$E$28:$P$28)</f>
        <v>0</v>
      </c>
      <c r="DD324" s="60" t="n">
        <f aca="false">$M$28*SUMPRODUCT($E$39:$P$39,BX324:CI324,$E$28:$P$28)</f>
        <v>0</v>
      </c>
      <c r="DE324" s="60" t="n">
        <f aca="false">$N$28*SUMPRODUCT($E$40:$P$40,BX324:CI324,$E$28:$P$28)</f>
        <v>0</v>
      </c>
      <c r="DF324" s="60" t="n">
        <f aca="false">$O$28*SUMPRODUCT($E$41:$P$41,BX324:CI324,$E$28:$P$28)</f>
        <v>0</v>
      </c>
      <c r="DG324" s="60" t="n">
        <f aca="false">$P$28*SUMPRODUCT($E$42:$P$42,BX324:CI324,$E$28:$P$28)</f>
        <v>0</v>
      </c>
      <c r="DH324" s="60" t="n">
        <f aca="false">SUMPRODUCT(BX324:CI324,CV324:DG324)</f>
        <v>0.184416866619846</v>
      </c>
      <c r="DI324" s="60" t="n">
        <f aca="false">SUMPRODUCT(BX324:CI324,$E$27:$P$27)</f>
        <v>2.67389635063809E-005</v>
      </c>
      <c r="DJ324" s="60" t="n">
        <f aca="false">DH324*$C$9/($C$10*$C$8)^2</f>
        <v>0.21776909410545</v>
      </c>
      <c r="DK324" s="60" t="n">
        <f aca="false">DI324*$C$9/($C$10*$C$8)</f>
        <v>0.0918845243259994</v>
      </c>
      <c r="DL324" s="60" t="n">
        <f aca="false">CHOOSE($C$7,-(1+DK324),-1,-(1-DK324))</f>
        <v>-0.908115475674001</v>
      </c>
      <c r="DM324" s="60" t="n">
        <f aca="false">CHOOSE($C$7,DJ324,DJ324-DK324-DK324^2,DJ324-3*DK324^2-2*DK324)</f>
        <v>0.00867174802160559</v>
      </c>
      <c r="DN324" s="60" t="n">
        <f aca="false">CHOOSE($C$7,-DJ324*DK324,-DJ324*DK324,-(DJ324*DK324-DK324^2-DK324^3))</f>
        <v>-0.0107910842936637</v>
      </c>
      <c r="DO324" s="60" t="n">
        <f aca="false">DM324-DL324^2/3</f>
        <v>-0.266219491031267</v>
      </c>
      <c r="DP324" s="60" t="n">
        <f aca="false">2*DL324^3/27-DL324*DM324/3+DN324</f>
        <v>-0.0636400988362784</v>
      </c>
      <c r="DQ324" s="60" t="n">
        <f aca="false">DP324^2/4+DO324^3/27</f>
        <v>0.000313710901361829</v>
      </c>
      <c r="DR324" s="60" t="n">
        <f aca="false">-DP324/2-IF(DP324&gt;=0,1,-1)*SQRT(MAX(DQ324,0))</f>
        <v>0.0495319352963236</v>
      </c>
      <c r="DS324" s="60" t="n">
        <f aca="false">SIGN(DR324)*ABS(DR324)^(1/3)</f>
        <v>0.367249967174439</v>
      </c>
      <c r="DT324" s="60" t="n">
        <f aca="false">IF(DS324=0,0,DS324-DO324/(3*DS324))</f>
        <v>0.60888329127384</v>
      </c>
      <c r="DU324" s="60" t="n">
        <f aca="false">2*SQRT(MAX(-DO324,0)/3)</f>
        <v>0.595784626668918</v>
      </c>
      <c r="DV324" s="60" t="n">
        <f aca="false">ACOS(IF(DU324=0,0,MAX(-1,MIN(1,3*DP324/(DO324*DU324)))))</f>
        <v>0</v>
      </c>
      <c r="DW324" s="60" t="n">
        <f aca="false">DU324*COS(DV324/3)</f>
        <v>0.595784626668918</v>
      </c>
      <c r="DX324" s="60" t="n">
        <f aca="false">IF(DQ324&lt;0,DW324,DT324)-DL324/3</f>
        <v>0.91158844983184</v>
      </c>
      <c r="DY324" s="60" t="n">
        <f aca="false">IFERROR((((DX324+DL324)*DX324+DM324)*DX324+DN324)/((3*DX324+2*DL324)*DX324+DM324),0)</f>
        <v>0</v>
      </c>
      <c r="DZ324" s="60" t="n">
        <f aca="false">IF(ABS(DY324)&lt;0.1*ABS(DX324),DX324-DY324,DX324)</f>
        <v>0.91158844983184</v>
      </c>
      <c r="EA324" s="60" t="n">
        <f aca="false">IFERROR((((DZ324+DL324)*DZ324+DM324)*DZ324+DN324)/((3*DZ324+2*DL324)*DZ324+DM324),0)</f>
        <v>0</v>
      </c>
      <c r="EB324" s="60" t="n">
        <f aca="false">IF(ABS(EA324)&lt;0.1*ABS(DZ324),DZ324-EA324,DZ324)</f>
        <v>0.91158844983184</v>
      </c>
      <c r="EC324" s="60" t="n">
        <f aca="false">-DN324/EB324</f>
        <v>0.0118376711504565</v>
      </c>
      <c r="ED324" s="60" t="n">
        <f aca="false">(DM324-EC324)/EB324</f>
        <v>-0.00347297415783941</v>
      </c>
      <c r="EE324" s="60" t="n">
        <f aca="false">ED324^2-4*EC324</f>
        <v>-0.0473386230523248</v>
      </c>
      <c r="EF324" s="60" t="n">
        <f aca="false">IF(EE324&gt;=0,(ED324+IF(ED324&gt;=0,1,-1)*SQRT(EE324))/2,0)</f>
        <v>0</v>
      </c>
      <c r="EG324" s="60" t="n">
        <f aca="false">IF(AND(EE324&gt;=0,EF324&lt;&gt;0),MIN(EF324,EC324/EF324),-1)</f>
        <v>-1</v>
      </c>
      <c r="EH324" s="60" t="n">
        <f aca="false">AND(EE324&gt;=0,EG324&gt;DK324,ABS(EB324-EG324)&gt;=0.00005*MAX(EB324,EG324))</f>
        <v>0</v>
      </c>
      <c r="EI324" s="60" t="n">
        <f aca="false">IF(EH324,IFERROR((((EG324+DL324)*EG324+DM324)*EG324+DN324)/((3*EG324+2*DL324)*EG324+DM324),0),0)</f>
        <v>0</v>
      </c>
      <c r="EJ324" s="60" t="n">
        <f aca="false">IF(ABS(EI324)&lt;0.1*ABS(EG324),EG324-EI324,EG324)</f>
        <v>-1</v>
      </c>
      <c r="EK324" s="60" t="n">
        <f aca="false">IF(EH324,IFERROR((((EJ324+DL324)*EJ324+DM324)*EJ324+DN324)/((3*EJ324+2*DL324)*EJ324+DM324),0),0)</f>
        <v>0</v>
      </c>
      <c r="EL324" s="60" t="n">
        <f aca="false">IF(ABS(EK324)&lt;0.1*ABS(EJ324),EJ324-EK324,EJ324)</f>
        <v>-1</v>
      </c>
      <c r="EM324" s="60" t="n">
        <f aca="false">IF(EH324,MAX(EB324,EL324),EB324)</f>
        <v>0.91158844983184</v>
      </c>
      <c r="EN324" s="60" t="n">
        <f aca="false">IF(EH324,MIN(EB324,EL324),-1)</f>
        <v>-1</v>
      </c>
      <c r="EO324" s="60" t="n">
        <f aca="false">CHOOSE($C$7,DJ324/EM324,DJ324/DK324*LN(1+DK324/EM324),DJ324/(2*SQRT(2)*DK324)*LN((EM324+(1+SQRT(2))*DK324)/(EM324+(1-SQRT(2))*DK324)))</f>
        <v>0.218240791233887</v>
      </c>
      <c r="EP324" s="60" t="n">
        <f aca="false">EM324-1-LN(EM324-DK324)-EO324</f>
        <v>-0.107840271021729</v>
      </c>
      <c r="EQ324" s="60" t="n">
        <f aca="false">IF(EH324,CHOOSE($C$7,DJ324/EN324,DJ324/DK324*LN(1+DK324/EN324),DJ324/(2*SQRT(2)*DK324)*LN((EN324+(1+SQRT(2))*DK324)/(EN324+(1-SQRT(2))*DK324))),0)</f>
        <v>0</v>
      </c>
      <c r="ER324" s="60" t="n">
        <f aca="false">IF(EH324,EN324-1-LN(EN324-DK324)-EQ324,0)</f>
        <v>0</v>
      </c>
      <c r="ES324" s="60" t="n">
        <f aca="false">AND(EH324,ER324&lt;EP324)</f>
        <v>0</v>
      </c>
      <c r="ET324" s="60" t="n">
        <f aca="false">IF(ES324,EN324,EM324)</f>
        <v>0.91158844983184</v>
      </c>
      <c r="EU324" s="60" t="n">
        <f aca="false">IF(ES324,EQ324,EO324)</f>
        <v>0.218240791233887</v>
      </c>
      <c r="EV324" s="60" t="n">
        <f aca="false">LN(ET324-DK324)</f>
        <v>-0.198812070380318</v>
      </c>
      <c r="EW324" s="60" t="n">
        <f aca="false">$E$27/DI324*(ET324-1)-EV324-EU324*(2*CV324/DH324-$E$27/DI324)</f>
        <v>-0.107840271021729</v>
      </c>
      <c r="EX324" s="60" t="n">
        <f aca="false">$F$27/DI324*(ET324-1)-EV324-EU324*(2*CW324/DH324-$F$27/DI324)</f>
        <v>0.198812070380318</v>
      </c>
      <c r="EY324" s="60" t="n">
        <f aca="false">$G$27/DI324*(ET324-1)-EV324-EU324*(2*CX324/DH324-$G$27/DI324)</f>
        <v>0.198812070380318</v>
      </c>
      <c r="EZ324" s="60" t="n">
        <f aca="false">$H$27/DI324*(ET324-1)-EV324-EU324*(2*CY324/DH324-$H$27/DI324)</f>
        <v>0.198812070380318</v>
      </c>
      <c r="FA324" s="60" t="n">
        <f aca="false">$I$27/DI324*(ET324-1)-EV324-EU324*(2*CZ324/DH324-$I$27/DI324)</f>
        <v>0.198812070380318</v>
      </c>
      <c r="FB324" s="60" t="n">
        <f aca="false">$J$27/DI324*(ET324-1)-EV324-EU324*(2*DA324/DH324-$J$27/DI324)</f>
        <v>0.198812070380318</v>
      </c>
      <c r="FC324" s="60" t="n">
        <f aca="false">$K$27/DI324*(ET324-1)-EV324-EU324*(2*DB324/DH324-$K$27/DI324)</f>
        <v>0.198812070380318</v>
      </c>
      <c r="FD324" s="60" t="n">
        <f aca="false">$L$27/DI324*(ET324-1)-EV324-EU324*(2*DC324/DH324-$L$27/DI324)</f>
        <v>0.198812070380318</v>
      </c>
      <c r="FE324" s="60" t="n">
        <f aca="false">$M$27/DI324*(ET324-1)-EV324-EU324*(2*DD324/DH324-$M$27/DI324)</f>
        <v>0.198812070380318</v>
      </c>
      <c r="FF324" s="60" t="n">
        <f aca="false">$N$27/DI324*(ET324-1)-EV324-EU324*(2*DE324/DH324-$N$27/DI324)</f>
        <v>0.198812070380318</v>
      </c>
      <c r="FG324" s="60" t="n">
        <f aca="false">$O$27/DI324*(ET324-1)-EV324-EU324*(2*DF324/DH324-$O$27/DI324)</f>
        <v>0.198812070380318</v>
      </c>
      <c r="FH324" s="60" t="n">
        <f aca="false">$P$27/DI324*(ET324-1)-EV324-EU324*(2*DG324/DH324-$P$27/DI324)</f>
        <v>0.198812070380318</v>
      </c>
      <c r="FI324" s="60" t="n">
        <f aca="false">DK324/ET324&gt;$C$22</f>
        <v>0</v>
      </c>
      <c r="FJ324" s="60" t="n">
        <f aca="false">$E$28*SUMPRODUCT($E$31:$P$31,CJ324:CU324,$E$28:$P$28)</f>
        <v>0.184416866619846</v>
      </c>
      <c r="FK324" s="60" t="n">
        <f aca="false">$F$28*SUMPRODUCT($E$32:$P$32,CJ324:CU324,$E$28:$P$28)</f>
        <v>0</v>
      </c>
      <c r="FL324" s="60" t="n">
        <f aca="false">$G$28*SUMPRODUCT($E$33:$P$33,CJ324:CU324,$E$28:$P$28)</f>
        <v>0</v>
      </c>
      <c r="FM324" s="60" t="n">
        <f aca="false">$H$28*SUMPRODUCT($E$34:$P$34,CJ324:CU324,$E$28:$P$28)</f>
        <v>0</v>
      </c>
      <c r="FN324" s="60" t="n">
        <f aca="false">$I$28*SUMPRODUCT($E$35:$P$35,CJ324:CU324,$E$28:$P$28)</f>
        <v>0</v>
      </c>
      <c r="FO324" s="60" t="n">
        <f aca="false">$J$28*SUMPRODUCT($E$36:$P$36,CJ324:CU324,$E$28:$P$28)</f>
        <v>0</v>
      </c>
      <c r="FP324" s="60" t="n">
        <f aca="false">$K$28*SUMPRODUCT($E$37:$P$37,CJ324:CU324,$E$28:$P$28)</f>
        <v>0</v>
      </c>
      <c r="FQ324" s="60" t="n">
        <f aca="false">$L$28*SUMPRODUCT($E$38:$P$38,CJ324:CU324,$E$28:$P$28)</f>
        <v>0</v>
      </c>
      <c r="FR324" s="60" t="n">
        <f aca="false">$M$28*SUMPRODUCT($E$39:$P$39,CJ324:CU324,$E$28:$P$28)</f>
        <v>0</v>
      </c>
      <c r="FS324" s="60" t="n">
        <f aca="false">$N$28*SUMPRODUCT($E$40:$P$40,CJ324:CU324,$E$28:$P$28)</f>
        <v>0</v>
      </c>
      <c r="FT324" s="60" t="n">
        <f aca="false">$O$28*SUMPRODUCT($E$41:$P$41,CJ324:CU324,$E$28:$P$28)</f>
        <v>0</v>
      </c>
      <c r="FU324" s="60" t="n">
        <f aca="false">$P$28*SUMPRODUCT($E$42:$P$42,CJ324:CU324,$E$28:$P$28)</f>
        <v>0</v>
      </c>
      <c r="FV324" s="60" t="n">
        <f aca="false">SUMPRODUCT(CJ324:CU324,FJ324:FU324)</f>
        <v>0.184416866619846</v>
      </c>
      <c r="FW324" s="60" t="n">
        <f aca="false">SUMPRODUCT(CJ324:CU324,$E$27:$P$27)</f>
        <v>2.67389635063809E-005</v>
      </c>
      <c r="FX324" s="60" t="n">
        <f aca="false">FV324*$C$9/($C$10*$C$8)^2</f>
        <v>0.21776909410545</v>
      </c>
      <c r="FY324" s="60" t="n">
        <f aca="false">FW324*$C$9/($C$10*$C$8)</f>
        <v>0.0918845243259994</v>
      </c>
      <c r="FZ324" s="60" t="n">
        <f aca="false">CHOOSE($C$7,-(1+FY324),-1,-(1-FY324))</f>
        <v>-0.908115475674001</v>
      </c>
      <c r="GA324" s="60" t="n">
        <f aca="false">CHOOSE($C$7,FX324,FX324-FY324-FY324^2,FX324-3*FY324^2-2*FY324)</f>
        <v>0.00867174802160559</v>
      </c>
      <c r="GB324" s="60" t="n">
        <f aca="false">CHOOSE($C$7,-FX324*FY324,-FX324*FY324,-(FX324*FY324-FY324^2-FY324^3))</f>
        <v>-0.0107910842936637</v>
      </c>
      <c r="GC324" s="60" t="n">
        <f aca="false">GA324-FZ324^2/3</f>
        <v>-0.266219491031267</v>
      </c>
      <c r="GD324" s="60" t="n">
        <f aca="false">2*FZ324^3/27-FZ324*GA324/3+GB324</f>
        <v>-0.0636400988362784</v>
      </c>
      <c r="GE324" s="60" t="n">
        <f aca="false">GD324^2/4+GC324^3/27</f>
        <v>0.000313710901361829</v>
      </c>
      <c r="GF324" s="60" t="n">
        <f aca="false">-GD324/2-IF(GD324&gt;=0,1,-1)*SQRT(MAX(GE324,0))</f>
        <v>0.0495319352963236</v>
      </c>
      <c r="GG324" s="60" t="n">
        <f aca="false">SIGN(GF324)*ABS(GF324)^(1/3)</f>
        <v>0.367249967174439</v>
      </c>
      <c r="GH324" s="60" t="n">
        <f aca="false">IF(GG324=0,0,GG324-GC324/(3*GG324))</f>
        <v>0.60888329127384</v>
      </c>
      <c r="GI324" s="60" t="n">
        <f aca="false">2*SQRT(MAX(-GC324,0)/3)</f>
        <v>0.595784626668918</v>
      </c>
      <c r="GJ324" s="60" t="n">
        <f aca="false">ACOS(IF(GI324=0,0,MAX(-1,MIN(1,3*GD324/(GC324*GI324)))))</f>
        <v>0</v>
      </c>
      <c r="GK324" s="60" t="n">
        <f aca="false">GI324*COS(GJ324/3)</f>
        <v>0.595784626668918</v>
      </c>
      <c r="GL324" s="60" t="n">
        <f aca="false">IF(GE324&lt;0,GK324,GH324)-FZ324/3</f>
        <v>0.91158844983184</v>
      </c>
      <c r="GM324" s="60" t="n">
        <f aca="false">IFERROR((((GL324+FZ324)*GL324+GA324)*GL324+GB324)/((3*GL324+2*FZ324)*GL324+GA324),0)</f>
        <v>0</v>
      </c>
      <c r="GN324" s="60" t="n">
        <f aca="false">IF(ABS(GM324)&lt;0.1*ABS(GL324),GL324-GM324,GL324)</f>
        <v>0.91158844983184</v>
      </c>
      <c r="GO324" s="60" t="n">
        <f aca="false">IFERROR((((GN324+FZ324)*GN324+GA324)*GN324+GB324)/((3*GN324+2*FZ324)*GN324+GA324),0)</f>
        <v>0</v>
      </c>
      <c r="GP324" s="60" t="n">
        <f aca="false">IF(ABS(GO324)&lt;0.1*ABS(GN324),GN324-GO324,GN324)</f>
        <v>0.91158844983184</v>
      </c>
      <c r="GQ324" s="60" t="n">
        <f aca="false">-GB324/GP324</f>
        <v>0.0118376711504565</v>
      </c>
      <c r="GR324" s="60" t="n">
        <f aca="false">(GA324-GQ324)/GP324</f>
        <v>-0.00347297415783941</v>
      </c>
      <c r="GS324" s="60" t="n">
        <f aca="false">GR324^2-4*GQ324</f>
        <v>-0.0473386230523248</v>
      </c>
      <c r="GT324" s="60" t="n">
        <f aca="false">IF(GS324&gt;=0,(GR324+IF(GR324&gt;=0,1,-1)*SQRT(GS324))/2,0)</f>
        <v>0</v>
      </c>
      <c r="GU324" s="60" t="n">
        <f aca="false">IF(AND(GS324&gt;=0,GT324&lt;&gt;0),MIN(GT324,GQ324/GT324),-1)</f>
        <v>-1</v>
      </c>
      <c r="GV324" s="60" t="n">
        <f aca="false">AND(GS324&gt;=0,GU324&gt;FY324,ABS(GP324-GU324)&gt;=0.00005*MAX(GP324,GU324))</f>
        <v>0</v>
      </c>
      <c r="GW324" s="60" t="n">
        <f aca="false">IF(GV324,IFERROR((((GU324+FZ324)*GU324+GA324)*GU324+GB324)/((3*GU324+2*FZ324)*GU324+GA324),0),0)</f>
        <v>0</v>
      </c>
      <c r="GX324" s="60" t="n">
        <f aca="false">IF(ABS(GW324)&lt;0.1*ABS(GU324),GU324-GW324,GU324)</f>
        <v>-1</v>
      </c>
      <c r="GY324" s="60" t="n">
        <f aca="false">IF(GV324,IFERROR((((GX324+FZ324)*GX324+GA324)*GX324+GB324)/((3*GX324+2*FZ324)*GX324+GA324),0),0)</f>
        <v>0</v>
      </c>
      <c r="GZ324" s="60" t="n">
        <f aca="false">IF(ABS(GY324)&lt;0.1*ABS(GX324),GX324-GY324,GX324)</f>
        <v>-1</v>
      </c>
      <c r="HA324" s="60" t="n">
        <f aca="false">IF(GV324,MAX(GP324,GZ324),GP324)</f>
        <v>0.91158844983184</v>
      </c>
      <c r="HB324" s="60" t="n">
        <f aca="false">IF(GV324,MIN(GP324,GZ324),-1)</f>
        <v>-1</v>
      </c>
      <c r="HC324" s="60" t="n">
        <f aca="false">CHOOSE($C$7,FX324/HA324,FX324/FY324*LN(1+FY324/HA324),FX324/(2*SQRT(2)*FY324)*LN((HA324+(1+SQRT(2))*FY324)/(HA324+(1-SQRT(2))*FY324)))</f>
        <v>0.218240791233887</v>
      </c>
      <c r="HD324" s="60" t="n">
        <f aca="false">HA324-1-LN(HA324-FY324)-HC324</f>
        <v>-0.107840271021729</v>
      </c>
      <c r="HE324" s="60" t="n">
        <f aca="false">IF(GV324,CHOOSE($C$7,FX324/HB324,FX324/FY324*LN(1+FY324/HB324),FX324/(2*SQRT(2)*FY324)*LN((HB324+(1+SQRT(2))*FY324)/(HB324+(1-SQRT(2))*FY324))),0)</f>
        <v>0</v>
      </c>
      <c r="HF324" s="60" t="n">
        <f aca="false">IF(GV324,HB324-1-LN(HB324-FY324)-HE324,0)</f>
        <v>0</v>
      </c>
      <c r="HG324" s="60" t="n">
        <f aca="false">AND(GV324,HF324&lt;HD324)</f>
        <v>0</v>
      </c>
      <c r="HH324" s="60" t="n">
        <f aca="false">IF(HG324,HB324,HA324)</f>
        <v>0.91158844983184</v>
      </c>
      <c r="HI324" s="60" t="n">
        <f aca="false">IF(HG324,HE324,HC324)</f>
        <v>0.218240791233887</v>
      </c>
      <c r="HJ324" s="60" t="n">
        <f aca="false">LN(HH324-FY324)</f>
        <v>-0.198812070380318</v>
      </c>
      <c r="HK324" s="60" t="n">
        <f aca="false">$E$27/FW324*(HH324-1)-HJ324-HI324*(2*FJ324/FV324-$E$27/FW324)</f>
        <v>-0.107840271021729</v>
      </c>
      <c r="HL324" s="60" t="n">
        <f aca="false">$F$27/FW324*(HH324-1)-HJ324-HI324*(2*FK324/FV324-$F$27/FW324)</f>
        <v>0.198812070380318</v>
      </c>
      <c r="HM324" s="60" t="n">
        <f aca="false">$G$27/FW324*(HH324-1)-HJ324-HI324*(2*FL324/FV324-$G$27/FW324)</f>
        <v>0.198812070380318</v>
      </c>
      <c r="HN324" s="60" t="n">
        <f aca="false">$H$27/FW324*(HH324-1)-HJ324-HI324*(2*FM324/FV324-$H$27/FW324)</f>
        <v>0.198812070380318</v>
      </c>
      <c r="HO324" s="60" t="n">
        <f aca="false">$I$27/FW324*(HH324-1)-HJ324-HI324*(2*FN324/FV324-$I$27/FW324)</f>
        <v>0.198812070380318</v>
      </c>
      <c r="HP324" s="60" t="n">
        <f aca="false">$J$27/FW324*(HH324-1)-HJ324-HI324*(2*FO324/FV324-$J$27/FW324)</f>
        <v>0.198812070380318</v>
      </c>
      <c r="HQ324" s="60" t="n">
        <f aca="false">$K$27/FW324*(HH324-1)-HJ324-HI324*(2*FP324/FV324-$K$27/FW324)</f>
        <v>0.198812070380318</v>
      </c>
      <c r="HR324" s="60" t="n">
        <f aca="false">$L$27/FW324*(HH324-1)-HJ324-HI324*(2*FQ324/FV324-$L$27/FW324)</f>
        <v>0.198812070380318</v>
      </c>
      <c r="HS324" s="60" t="n">
        <f aca="false">$M$27/FW324*(HH324-1)-HJ324-HI324*(2*FR324/FV324-$M$27/FW324)</f>
        <v>0.198812070380318</v>
      </c>
      <c r="HT324" s="60" t="n">
        <f aca="false">$N$27/FW324*(HH324-1)-HJ324-HI324*(2*FS324/FV324-$N$27/FW324)</f>
        <v>0.198812070380318</v>
      </c>
      <c r="HU324" s="60" t="n">
        <f aca="false">$O$27/FW324*(HH324-1)-HJ324-HI324*(2*FT324/FV324-$O$27/FW324)</f>
        <v>0.198812070380318</v>
      </c>
      <c r="HV324" s="60" t="n">
        <f aca="false">$P$27/FW324*(HH324-1)-HJ324-HI324*(2*FU324/FV324-$P$27/FW324)</f>
        <v>0.198812070380318</v>
      </c>
      <c r="HW324" s="60" t="n">
        <f aca="false">FY324/HH324&gt;$C$22</f>
        <v>0</v>
      </c>
      <c r="HX324" s="60" t="n">
        <f aca="false">IF($E$13&gt;0,MAX(-300,MIN(300,EW324-HK324)),0)</f>
        <v>0</v>
      </c>
      <c r="HY324" s="60" t="n">
        <f aca="false">IF($F$13&gt;0,MAX(-300,MIN(300,EX324-HL324)),0)</f>
        <v>0</v>
      </c>
      <c r="HZ324" s="60" t="n">
        <f aca="false">IF($G$13&gt;0,MAX(-300,MIN(300,EY324-HM324)),0)</f>
        <v>0</v>
      </c>
      <c r="IA324" s="60" t="n">
        <f aca="false">IF($H$13&gt;0,MAX(-300,MIN(300,EZ324-HN324)),0)</f>
        <v>0</v>
      </c>
      <c r="IB324" s="60" t="n">
        <f aca="false">IF($I$13&gt;0,MAX(-300,MIN(300,FA324-HO324)),0)</f>
        <v>0</v>
      </c>
      <c r="IC324" s="60" t="n">
        <f aca="false">IF($J$13&gt;0,MAX(-300,MIN(300,FB324-HP324)),0)</f>
        <v>0</v>
      </c>
      <c r="ID324" s="60" t="n">
        <f aca="false">IF($K$13&gt;0,MAX(-300,MIN(300,FC324-HQ324)),0)</f>
        <v>0</v>
      </c>
      <c r="IE324" s="60" t="n">
        <f aca="false">IF($L$13&gt;0,MAX(-300,MIN(300,FD324-HR324)),0)</f>
        <v>0</v>
      </c>
      <c r="IF324" s="60" t="n">
        <f aca="false">IF($M$13&gt;0,MAX(-300,MIN(300,FE324-HS324)),0)</f>
        <v>0</v>
      </c>
      <c r="IG324" s="60" t="n">
        <f aca="false">IF($N$13&gt;0,MAX(-300,MIN(300,FF324-HT324)),0)</f>
        <v>0</v>
      </c>
      <c r="IH324" s="60" t="n">
        <f aca="false">IF($O$13&gt;0,MAX(-300,MIN(300,FG324-HU324)),0)</f>
        <v>0</v>
      </c>
      <c r="II324" s="60" t="n">
        <f aca="false">IF($P$13&gt;0,MAX(-300,MIN(300,FH324-HV324)),0)</f>
        <v>0</v>
      </c>
      <c r="IJ324" s="60" t="n">
        <f aca="false">SUMXMY2(HX324:II324,B324:M324)</f>
        <v>0</v>
      </c>
      <c r="IK324" s="60" t="n">
        <f aca="false">SUMSQ(B324:M324)</f>
        <v>0</v>
      </c>
    </row>
    <row r="325" customFormat="false" ht="15" hidden="false" customHeight="false" outlineLevel="0" collapsed="false">
      <c r="A325" s="59" t="n">
        <v>28</v>
      </c>
      <c r="B325" s="60" t="n">
        <f aca="false">HX324</f>
        <v>0</v>
      </c>
      <c r="C325" s="60" t="n">
        <f aca="false">HY324</f>
        <v>0</v>
      </c>
      <c r="D325" s="60" t="n">
        <f aca="false">HZ324</f>
        <v>0</v>
      </c>
      <c r="E325" s="60" t="n">
        <f aca="false">IA324</f>
        <v>0</v>
      </c>
      <c r="F325" s="60" t="n">
        <f aca="false">IB324</f>
        <v>0</v>
      </c>
      <c r="G325" s="60" t="n">
        <f aca="false">IC324</f>
        <v>0</v>
      </c>
      <c r="H325" s="60" t="n">
        <f aca="false">ID324</f>
        <v>0</v>
      </c>
      <c r="I325" s="60" t="n">
        <f aca="false">IE324</f>
        <v>0</v>
      </c>
      <c r="J325" s="60" t="n">
        <f aca="false">IF324</f>
        <v>0</v>
      </c>
      <c r="K325" s="60" t="n">
        <f aca="false">IG324</f>
        <v>0</v>
      </c>
      <c r="L325" s="60" t="n">
        <f aca="false">IH324</f>
        <v>0</v>
      </c>
      <c r="M325" s="60" t="n">
        <f aca="false">II324</f>
        <v>0</v>
      </c>
      <c r="N325" s="60" t="n">
        <f aca="false">EXP(B325)</f>
        <v>1</v>
      </c>
      <c r="O325" s="60" t="n">
        <f aca="false">EXP(C325)</f>
        <v>1</v>
      </c>
      <c r="P325" s="60" t="n">
        <f aca="false">EXP(D325)</f>
        <v>1</v>
      </c>
      <c r="Q325" s="60" t="n">
        <f aca="false">EXP(E325)</f>
        <v>1</v>
      </c>
      <c r="R325" s="60" t="n">
        <f aca="false">EXP(F325)</f>
        <v>1</v>
      </c>
      <c r="S325" s="60" t="n">
        <f aca="false">EXP(G325)</f>
        <v>1</v>
      </c>
      <c r="T325" s="60" t="n">
        <f aca="false">EXP(H325)</f>
        <v>1</v>
      </c>
      <c r="U325" s="60" t="n">
        <f aca="false">EXP(I325)</f>
        <v>1</v>
      </c>
      <c r="V325" s="60" t="n">
        <f aca="false">EXP(J325)</f>
        <v>1</v>
      </c>
      <c r="W325" s="60" t="n">
        <f aca="false">EXP(K325)</f>
        <v>1</v>
      </c>
      <c r="X325" s="60" t="n">
        <f aca="false">EXP(L325)</f>
        <v>1</v>
      </c>
      <c r="Y325" s="60" t="n">
        <f aca="false">EXP(M325)</f>
        <v>1</v>
      </c>
      <c r="Z325" s="60" t="n">
        <f aca="false">MAX(N325:Y325)</f>
        <v>1</v>
      </c>
      <c r="AA325" s="60" t="n">
        <f aca="false">MIN(N325:Y325)</f>
        <v>1</v>
      </c>
      <c r="AB325" s="60" t="n">
        <f aca="false">AND(Z325&gt;1,AA325&lt;1)</f>
        <v>0</v>
      </c>
      <c r="AC325" s="60" t="n">
        <f aca="false">IF(AB325,1/(1-Z325),0)</f>
        <v>0</v>
      </c>
      <c r="AD325" s="60" t="n">
        <f aca="false">IF(AB325,1/(1-AA325),1)</f>
        <v>1</v>
      </c>
      <c r="AE325" s="60" t="n">
        <f aca="false">IF(AB325,MIN(MAX(BI324,AC325+0.000000001*(AD325-AC325)),AD325-0.000000001*(AD325-AC325)),IF(AA325&gt;=1,1,0))</f>
        <v>1</v>
      </c>
      <c r="AF325" s="60" t="n">
        <f aca="false">SUMPRODUCT($E$13:$P$13*(N325:Y325-1)/(1+AE325*(N325:Y325-1)))</f>
        <v>0</v>
      </c>
      <c r="AG325" s="60" t="n">
        <f aca="false">-SUMPRODUCT($E$13:$P$13*(N325:Y325-1)^2/(1+AE325*(N325:Y325-1))^2)</f>
        <v>-0</v>
      </c>
      <c r="AH325" s="60" t="n">
        <f aca="false">IF(OR(NOT(AB325),AG325=0),AE325,IF(AE325-AF325/AG325&lt;=AC325,(AE325+AC325)/2,IF(AE325-AF325/AG325&gt;=AD325,(AE325+AD325)/2,AE325-AF325/AG325)))</f>
        <v>1</v>
      </c>
      <c r="AI325" s="60" t="n">
        <f aca="false">SUMPRODUCT($E$13:$P$13*(N325:Y325-1)/(1+AH325*(N325:Y325-1)))</f>
        <v>0</v>
      </c>
      <c r="AJ325" s="60" t="n">
        <f aca="false">-SUMPRODUCT($E$13:$P$13*(N325:Y325-1)^2/(1+AH325*(N325:Y325-1))^2)</f>
        <v>-0</v>
      </c>
      <c r="AK325" s="60" t="n">
        <f aca="false">IF(OR(NOT(AB325),AJ325=0),AH325,IF(AH325-AI325/AJ325&lt;=AC325,(AH325+AC325)/2,IF(AH325-AI325/AJ325&gt;=AD325,(AH325+AD325)/2,AH325-AI325/AJ325)))</f>
        <v>1</v>
      </c>
      <c r="AL325" s="60" t="n">
        <f aca="false">SUMPRODUCT($E$13:$P$13*(N325:Y325-1)/(1+AK325*(N325:Y325-1)))</f>
        <v>0</v>
      </c>
      <c r="AM325" s="60" t="n">
        <f aca="false">-SUMPRODUCT($E$13:$P$13*(N325:Y325-1)^2/(1+AK325*(N325:Y325-1))^2)</f>
        <v>-0</v>
      </c>
      <c r="AN325" s="60" t="n">
        <f aca="false">IF(OR(NOT(AB325),AM325=0),AK325,IF(AK325-AL325/AM325&lt;=AC325,(AK325+AC325)/2,IF(AK325-AL325/AM325&gt;=AD325,(AK325+AD325)/2,AK325-AL325/AM325)))</f>
        <v>1</v>
      </c>
      <c r="AO325" s="60" t="n">
        <f aca="false">SUMPRODUCT($E$13:$P$13*(N325:Y325-1)/(1+AN325*(N325:Y325-1)))</f>
        <v>0</v>
      </c>
      <c r="AP325" s="60" t="n">
        <f aca="false">-SUMPRODUCT($E$13:$P$13*(N325:Y325-1)^2/(1+AN325*(N325:Y325-1))^2)</f>
        <v>-0</v>
      </c>
      <c r="AQ325" s="60" t="n">
        <f aca="false">IF(OR(NOT(AB325),AP325=0),AN325,IF(AN325-AO325/AP325&lt;=AC325,(AN325+AC325)/2,IF(AN325-AO325/AP325&gt;=AD325,(AN325+AD325)/2,AN325-AO325/AP325)))</f>
        <v>1</v>
      </c>
      <c r="AR325" s="60" t="n">
        <f aca="false">SUMPRODUCT($E$13:$P$13*(N325:Y325-1)/(1+AQ325*(N325:Y325-1)))</f>
        <v>0</v>
      </c>
      <c r="AS325" s="60" t="n">
        <f aca="false">-SUMPRODUCT($E$13:$P$13*(N325:Y325-1)^2/(1+AQ325*(N325:Y325-1))^2)</f>
        <v>-0</v>
      </c>
      <c r="AT325" s="60" t="n">
        <f aca="false">IF(OR(NOT(AB325),AS325=0),AQ325,IF(AQ325-AR325/AS325&lt;=AC325,(AQ325+AC325)/2,IF(AQ325-AR325/AS325&gt;=AD325,(AQ325+AD325)/2,AQ325-AR325/AS325)))</f>
        <v>1</v>
      </c>
      <c r="AU325" s="60" t="n">
        <f aca="false">SUMPRODUCT($E$13:$P$13*(N325:Y325-1)/(1+AT325*(N325:Y325-1)))</f>
        <v>0</v>
      </c>
      <c r="AV325" s="60" t="n">
        <f aca="false">-SUMPRODUCT($E$13:$P$13*(N325:Y325-1)^2/(1+AT325*(N325:Y325-1))^2)</f>
        <v>-0</v>
      </c>
      <c r="AW325" s="60" t="n">
        <f aca="false">IF(OR(NOT(AB325),AV325=0),AT325,IF(AT325-AU325/AV325&lt;=AC325,(AT325+AC325)/2,IF(AT325-AU325/AV325&gt;=AD325,(AT325+AD325)/2,AT325-AU325/AV325)))</f>
        <v>1</v>
      </c>
      <c r="AX325" s="60" t="n">
        <f aca="false">SUMPRODUCT($E$13:$P$13*(N325:Y325-1)/(1+AW325*(N325:Y325-1)))</f>
        <v>0</v>
      </c>
      <c r="AY325" s="60" t="n">
        <f aca="false">-SUMPRODUCT($E$13:$P$13*(N325:Y325-1)^2/(1+AW325*(N325:Y325-1))^2)</f>
        <v>-0</v>
      </c>
      <c r="AZ325" s="60" t="n">
        <f aca="false">IF(OR(NOT(AB325),AY325=0),AW325,IF(AW325-AX325/AY325&lt;=AC325,(AW325+AC325)/2,IF(AW325-AX325/AY325&gt;=AD325,(AW325+AD325)/2,AW325-AX325/AY325)))</f>
        <v>1</v>
      </c>
      <c r="BA325" s="60" t="n">
        <f aca="false">SUMPRODUCT($E$13:$P$13*(N325:Y325-1)/(1+AZ325*(N325:Y325-1)))</f>
        <v>0</v>
      </c>
      <c r="BB325" s="60" t="n">
        <f aca="false">-SUMPRODUCT($E$13:$P$13*(N325:Y325-1)^2/(1+AZ325*(N325:Y325-1))^2)</f>
        <v>-0</v>
      </c>
      <c r="BC325" s="60" t="n">
        <f aca="false">IF(OR(NOT(AB325),BB325=0),AZ325,IF(AZ325-BA325/BB325&lt;=AC325,(AZ325+AC325)/2,IF(AZ325-BA325/BB325&gt;=AD325,(AZ325+AD325)/2,AZ325-BA325/BB325)))</f>
        <v>1</v>
      </c>
      <c r="BD325" s="60" t="n">
        <f aca="false">SUMPRODUCT($E$13:$P$13*(N325:Y325-1)/(1+BC325*(N325:Y325-1)))</f>
        <v>0</v>
      </c>
      <c r="BE325" s="60" t="n">
        <f aca="false">-SUMPRODUCT($E$13:$P$13*(N325:Y325-1)^2/(1+BC325*(N325:Y325-1))^2)</f>
        <v>-0</v>
      </c>
      <c r="BF325" s="60" t="n">
        <f aca="false">IF(OR(NOT(AB325),BE325=0),BC325,IF(BC325-BD325/BE325&lt;=AC325,(BC325+AC325)/2,IF(BC325-BD325/BE325&gt;=AD325,(BC325+AD325)/2,BC325-BD325/BE325)))</f>
        <v>1</v>
      </c>
      <c r="BG325" s="60" t="n">
        <f aca="false">SUMPRODUCT($E$13:$P$13*(N325:Y325-1)/(1+BF325*(N325:Y325-1)))</f>
        <v>0</v>
      </c>
      <c r="BH325" s="60" t="n">
        <f aca="false">-SUMPRODUCT($E$13:$P$13*(N325:Y325-1)^2/(1+BF325*(N325:Y325-1))^2)</f>
        <v>-0</v>
      </c>
      <c r="BI325" s="60" t="n">
        <f aca="false">IF(OR(NOT(AB325),BH325=0),BF325,IF(BF325-BG325/BH325&lt;=AC325,(BF325+AC325)/2,IF(BF325-BG325/BH325&gt;=AD325,(BF325+AD325)/2,BF325-BG325/BH325)))</f>
        <v>1</v>
      </c>
      <c r="BJ325" s="60" t="n">
        <f aca="false">$E$13/(1+BI325*(N325-1))</f>
        <v>1</v>
      </c>
      <c r="BK325" s="60" t="n">
        <f aca="false">$F$13/(1+BI325*(O325-1))</f>
        <v>0</v>
      </c>
      <c r="BL325" s="60" t="n">
        <f aca="false">$G$13/(1+BI325*(P325-1))</f>
        <v>0</v>
      </c>
      <c r="BM325" s="60" t="n">
        <f aca="false">$H$13/(1+BI325*(Q325-1))</f>
        <v>0</v>
      </c>
      <c r="BN325" s="60" t="n">
        <f aca="false">$I$13/(1+BI325*(R325-1))</f>
        <v>0</v>
      </c>
      <c r="BO325" s="60" t="n">
        <f aca="false">$J$13/(1+BI325*(S325-1))</f>
        <v>0</v>
      </c>
      <c r="BP325" s="60" t="n">
        <f aca="false">$K$13/(1+BI325*(T325-1))</f>
        <v>0</v>
      </c>
      <c r="BQ325" s="60" t="n">
        <f aca="false">$L$13/(1+BI325*(U325-1))</f>
        <v>0</v>
      </c>
      <c r="BR325" s="60" t="n">
        <f aca="false">$M$13/(1+BI325*(V325-1))</f>
        <v>0</v>
      </c>
      <c r="BS325" s="60" t="n">
        <f aca="false">$N$13/(1+BI325*(W325-1))</f>
        <v>0</v>
      </c>
      <c r="BT325" s="60" t="n">
        <f aca="false">$O$13/(1+BI325*(X325-1))</f>
        <v>0</v>
      </c>
      <c r="BU325" s="60" t="n">
        <f aca="false">$P$13/(1+BI325*(Y325-1))</f>
        <v>0</v>
      </c>
      <c r="BV325" s="60" t="n">
        <f aca="false">SUM(BJ325:BU325)</f>
        <v>1</v>
      </c>
      <c r="BW325" s="60" t="n">
        <f aca="false">SUMPRODUCT(N325:Y325,BJ325:BU325)</f>
        <v>1</v>
      </c>
      <c r="BX325" s="60" t="n">
        <f aca="false">BJ325/BV325</f>
        <v>1</v>
      </c>
      <c r="BY325" s="60" t="n">
        <f aca="false">BK325/BV325</f>
        <v>0</v>
      </c>
      <c r="BZ325" s="60" t="n">
        <f aca="false">BL325/BV325</f>
        <v>0</v>
      </c>
      <c r="CA325" s="60" t="n">
        <f aca="false">BM325/BV325</f>
        <v>0</v>
      </c>
      <c r="CB325" s="60" t="n">
        <f aca="false">BN325/BV325</f>
        <v>0</v>
      </c>
      <c r="CC325" s="60" t="n">
        <f aca="false">BO325/BV325</f>
        <v>0</v>
      </c>
      <c r="CD325" s="60" t="n">
        <f aca="false">BP325/BV325</f>
        <v>0</v>
      </c>
      <c r="CE325" s="60" t="n">
        <f aca="false">BQ325/BV325</f>
        <v>0</v>
      </c>
      <c r="CF325" s="60" t="n">
        <f aca="false">BR325/BV325</f>
        <v>0</v>
      </c>
      <c r="CG325" s="60" t="n">
        <f aca="false">BS325/BV325</f>
        <v>0</v>
      </c>
      <c r="CH325" s="60" t="n">
        <f aca="false">BT325/BV325</f>
        <v>0</v>
      </c>
      <c r="CI325" s="60" t="n">
        <f aca="false">BU325/BV325</f>
        <v>0</v>
      </c>
      <c r="CJ325" s="60" t="n">
        <f aca="false">N325*BJ325/BW325</f>
        <v>1</v>
      </c>
      <c r="CK325" s="60" t="n">
        <f aca="false">O325*BK325/BW325</f>
        <v>0</v>
      </c>
      <c r="CL325" s="60" t="n">
        <f aca="false">P325*BL325/BW325</f>
        <v>0</v>
      </c>
      <c r="CM325" s="60" t="n">
        <f aca="false">Q325*BM325/BW325</f>
        <v>0</v>
      </c>
      <c r="CN325" s="60" t="n">
        <f aca="false">R325*BN325/BW325</f>
        <v>0</v>
      </c>
      <c r="CO325" s="60" t="n">
        <f aca="false">S325*BO325/BW325</f>
        <v>0</v>
      </c>
      <c r="CP325" s="60" t="n">
        <f aca="false">T325*BP325/BW325</f>
        <v>0</v>
      </c>
      <c r="CQ325" s="60" t="n">
        <f aca="false">U325*BQ325/BW325</f>
        <v>0</v>
      </c>
      <c r="CR325" s="60" t="n">
        <f aca="false">V325*BR325/BW325</f>
        <v>0</v>
      </c>
      <c r="CS325" s="60" t="n">
        <f aca="false">W325*BS325/BW325</f>
        <v>0</v>
      </c>
      <c r="CT325" s="60" t="n">
        <f aca="false">X325*BT325/BW325</f>
        <v>0</v>
      </c>
      <c r="CU325" s="60" t="n">
        <f aca="false">Y325*BU325/BW325</f>
        <v>0</v>
      </c>
      <c r="CV325" s="60" t="n">
        <f aca="false">$E$28*SUMPRODUCT($E$31:$P$31,BX325:CI325,$E$28:$P$28)</f>
        <v>0.184416866619846</v>
      </c>
      <c r="CW325" s="60" t="n">
        <f aca="false">$F$28*SUMPRODUCT($E$32:$P$32,BX325:CI325,$E$28:$P$28)</f>
        <v>0</v>
      </c>
      <c r="CX325" s="60" t="n">
        <f aca="false">$G$28*SUMPRODUCT($E$33:$P$33,BX325:CI325,$E$28:$P$28)</f>
        <v>0</v>
      </c>
      <c r="CY325" s="60" t="n">
        <f aca="false">$H$28*SUMPRODUCT($E$34:$P$34,BX325:CI325,$E$28:$P$28)</f>
        <v>0</v>
      </c>
      <c r="CZ325" s="60" t="n">
        <f aca="false">$I$28*SUMPRODUCT($E$35:$P$35,BX325:CI325,$E$28:$P$28)</f>
        <v>0</v>
      </c>
      <c r="DA325" s="60" t="n">
        <f aca="false">$J$28*SUMPRODUCT($E$36:$P$36,BX325:CI325,$E$28:$P$28)</f>
        <v>0</v>
      </c>
      <c r="DB325" s="60" t="n">
        <f aca="false">$K$28*SUMPRODUCT($E$37:$P$37,BX325:CI325,$E$28:$P$28)</f>
        <v>0</v>
      </c>
      <c r="DC325" s="60" t="n">
        <f aca="false">$L$28*SUMPRODUCT($E$38:$P$38,BX325:CI325,$E$28:$P$28)</f>
        <v>0</v>
      </c>
      <c r="DD325" s="60" t="n">
        <f aca="false">$M$28*SUMPRODUCT($E$39:$P$39,BX325:CI325,$E$28:$P$28)</f>
        <v>0</v>
      </c>
      <c r="DE325" s="60" t="n">
        <f aca="false">$N$28*SUMPRODUCT($E$40:$P$40,BX325:CI325,$E$28:$P$28)</f>
        <v>0</v>
      </c>
      <c r="DF325" s="60" t="n">
        <f aca="false">$O$28*SUMPRODUCT($E$41:$P$41,BX325:CI325,$E$28:$P$28)</f>
        <v>0</v>
      </c>
      <c r="DG325" s="60" t="n">
        <f aca="false">$P$28*SUMPRODUCT($E$42:$P$42,BX325:CI325,$E$28:$P$28)</f>
        <v>0</v>
      </c>
      <c r="DH325" s="60" t="n">
        <f aca="false">SUMPRODUCT(BX325:CI325,CV325:DG325)</f>
        <v>0.184416866619846</v>
      </c>
      <c r="DI325" s="60" t="n">
        <f aca="false">SUMPRODUCT(BX325:CI325,$E$27:$P$27)</f>
        <v>2.67389635063809E-005</v>
      </c>
      <c r="DJ325" s="60" t="n">
        <f aca="false">DH325*$C$9/($C$10*$C$8)^2</f>
        <v>0.21776909410545</v>
      </c>
      <c r="DK325" s="60" t="n">
        <f aca="false">DI325*$C$9/($C$10*$C$8)</f>
        <v>0.0918845243259994</v>
      </c>
      <c r="DL325" s="60" t="n">
        <f aca="false">CHOOSE($C$7,-(1+DK325),-1,-(1-DK325))</f>
        <v>-0.908115475674001</v>
      </c>
      <c r="DM325" s="60" t="n">
        <f aca="false">CHOOSE($C$7,DJ325,DJ325-DK325-DK325^2,DJ325-3*DK325^2-2*DK325)</f>
        <v>0.00867174802160559</v>
      </c>
      <c r="DN325" s="60" t="n">
        <f aca="false">CHOOSE($C$7,-DJ325*DK325,-DJ325*DK325,-(DJ325*DK325-DK325^2-DK325^3))</f>
        <v>-0.0107910842936637</v>
      </c>
      <c r="DO325" s="60" t="n">
        <f aca="false">DM325-DL325^2/3</f>
        <v>-0.266219491031267</v>
      </c>
      <c r="DP325" s="60" t="n">
        <f aca="false">2*DL325^3/27-DL325*DM325/3+DN325</f>
        <v>-0.0636400988362784</v>
      </c>
      <c r="DQ325" s="60" t="n">
        <f aca="false">DP325^2/4+DO325^3/27</f>
        <v>0.000313710901361829</v>
      </c>
      <c r="DR325" s="60" t="n">
        <f aca="false">-DP325/2-IF(DP325&gt;=0,1,-1)*SQRT(MAX(DQ325,0))</f>
        <v>0.0495319352963236</v>
      </c>
      <c r="DS325" s="60" t="n">
        <f aca="false">SIGN(DR325)*ABS(DR325)^(1/3)</f>
        <v>0.367249967174439</v>
      </c>
      <c r="DT325" s="60" t="n">
        <f aca="false">IF(DS325=0,0,DS325-DO325/(3*DS325))</f>
        <v>0.60888329127384</v>
      </c>
      <c r="DU325" s="60" t="n">
        <f aca="false">2*SQRT(MAX(-DO325,0)/3)</f>
        <v>0.595784626668918</v>
      </c>
      <c r="DV325" s="60" t="n">
        <f aca="false">ACOS(IF(DU325=0,0,MAX(-1,MIN(1,3*DP325/(DO325*DU325)))))</f>
        <v>0</v>
      </c>
      <c r="DW325" s="60" t="n">
        <f aca="false">DU325*COS(DV325/3)</f>
        <v>0.595784626668918</v>
      </c>
      <c r="DX325" s="60" t="n">
        <f aca="false">IF(DQ325&lt;0,DW325,DT325)-DL325/3</f>
        <v>0.91158844983184</v>
      </c>
      <c r="DY325" s="60" t="n">
        <f aca="false">IFERROR((((DX325+DL325)*DX325+DM325)*DX325+DN325)/((3*DX325+2*DL325)*DX325+DM325),0)</f>
        <v>0</v>
      </c>
      <c r="DZ325" s="60" t="n">
        <f aca="false">IF(ABS(DY325)&lt;0.1*ABS(DX325),DX325-DY325,DX325)</f>
        <v>0.91158844983184</v>
      </c>
      <c r="EA325" s="60" t="n">
        <f aca="false">IFERROR((((DZ325+DL325)*DZ325+DM325)*DZ325+DN325)/((3*DZ325+2*DL325)*DZ325+DM325),0)</f>
        <v>0</v>
      </c>
      <c r="EB325" s="60" t="n">
        <f aca="false">IF(ABS(EA325)&lt;0.1*ABS(DZ325),DZ325-EA325,DZ325)</f>
        <v>0.91158844983184</v>
      </c>
      <c r="EC325" s="60" t="n">
        <f aca="false">-DN325/EB325</f>
        <v>0.0118376711504565</v>
      </c>
      <c r="ED325" s="60" t="n">
        <f aca="false">(DM325-EC325)/EB325</f>
        <v>-0.00347297415783941</v>
      </c>
      <c r="EE325" s="60" t="n">
        <f aca="false">ED325^2-4*EC325</f>
        <v>-0.0473386230523248</v>
      </c>
      <c r="EF325" s="60" t="n">
        <f aca="false">IF(EE325&gt;=0,(ED325+IF(ED325&gt;=0,1,-1)*SQRT(EE325))/2,0)</f>
        <v>0</v>
      </c>
      <c r="EG325" s="60" t="n">
        <f aca="false">IF(AND(EE325&gt;=0,EF325&lt;&gt;0),MIN(EF325,EC325/EF325),-1)</f>
        <v>-1</v>
      </c>
      <c r="EH325" s="60" t="n">
        <f aca="false">AND(EE325&gt;=0,EG325&gt;DK325,ABS(EB325-EG325)&gt;=0.00005*MAX(EB325,EG325))</f>
        <v>0</v>
      </c>
      <c r="EI325" s="60" t="n">
        <f aca="false">IF(EH325,IFERROR((((EG325+DL325)*EG325+DM325)*EG325+DN325)/((3*EG325+2*DL325)*EG325+DM325),0),0)</f>
        <v>0</v>
      </c>
      <c r="EJ325" s="60" t="n">
        <f aca="false">IF(ABS(EI325)&lt;0.1*ABS(EG325),EG325-EI325,EG325)</f>
        <v>-1</v>
      </c>
      <c r="EK325" s="60" t="n">
        <f aca="false">IF(EH325,IFERROR((((EJ325+DL325)*EJ325+DM325)*EJ325+DN325)/((3*EJ325+2*DL325)*EJ325+DM325),0),0)</f>
        <v>0</v>
      </c>
      <c r="EL325" s="60" t="n">
        <f aca="false">IF(ABS(EK325)&lt;0.1*ABS(EJ325),EJ325-EK325,EJ325)</f>
        <v>-1</v>
      </c>
      <c r="EM325" s="60" t="n">
        <f aca="false">IF(EH325,MAX(EB325,EL325),EB325)</f>
        <v>0.91158844983184</v>
      </c>
      <c r="EN325" s="60" t="n">
        <f aca="false">IF(EH325,MIN(EB325,EL325),-1)</f>
        <v>-1</v>
      </c>
      <c r="EO325" s="60" t="n">
        <f aca="false">CHOOSE($C$7,DJ325/EM325,DJ325/DK325*LN(1+DK325/EM325),DJ325/(2*SQRT(2)*DK325)*LN((EM325+(1+SQRT(2))*DK325)/(EM325+(1-SQRT(2))*DK325)))</f>
        <v>0.218240791233887</v>
      </c>
      <c r="EP325" s="60" t="n">
        <f aca="false">EM325-1-LN(EM325-DK325)-EO325</f>
        <v>-0.107840271021729</v>
      </c>
      <c r="EQ325" s="60" t="n">
        <f aca="false">IF(EH325,CHOOSE($C$7,DJ325/EN325,DJ325/DK325*LN(1+DK325/EN325),DJ325/(2*SQRT(2)*DK325)*LN((EN325+(1+SQRT(2))*DK325)/(EN325+(1-SQRT(2))*DK325))),0)</f>
        <v>0</v>
      </c>
      <c r="ER325" s="60" t="n">
        <f aca="false">IF(EH325,EN325-1-LN(EN325-DK325)-EQ325,0)</f>
        <v>0</v>
      </c>
      <c r="ES325" s="60" t="n">
        <f aca="false">AND(EH325,ER325&lt;EP325)</f>
        <v>0</v>
      </c>
      <c r="ET325" s="60" t="n">
        <f aca="false">IF(ES325,EN325,EM325)</f>
        <v>0.91158844983184</v>
      </c>
      <c r="EU325" s="60" t="n">
        <f aca="false">IF(ES325,EQ325,EO325)</f>
        <v>0.218240791233887</v>
      </c>
      <c r="EV325" s="60" t="n">
        <f aca="false">LN(ET325-DK325)</f>
        <v>-0.198812070380318</v>
      </c>
      <c r="EW325" s="60" t="n">
        <f aca="false">$E$27/DI325*(ET325-1)-EV325-EU325*(2*CV325/DH325-$E$27/DI325)</f>
        <v>-0.107840271021729</v>
      </c>
      <c r="EX325" s="60" t="n">
        <f aca="false">$F$27/DI325*(ET325-1)-EV325-EU325*(2*CW325/DH325-$F$27/DI325)</f>
        <v>0.198812070380318</v>
      </c>
      <c r="EY325" s="60" t="n">
        <f aca="false">$G$27/DI325*(ET325-1)-EV325-EU325*(2*CX325/DH325-$G$27/DI325)</f>
        <v>0.198812070380318</v>
      </c>
      <c r="EZ325" s="60" t="n">
        <f aca="false">$H$27/DI325*(ET325-1)-EV325-EU325*(2*CY325/DH325-$H$27/DI325)</f>
        <v>0.198812070380318</v>
      </c>
      <c r="FA325" s="60" t="n">
        <f aca="false">$I$27/DI325*(ET325-1)-EV325-EU325*(2*CZ325/DH325-$I$27/DI325)</f>
        <v>0.198812070380318</v>
      </c>
      <c r="FB325" s="60" t="n">
        <f aca="false">$J$27/DI325*(ET325-1)-EV325-EU325*(2*DA325/DH325-$J$27/DI325)</f>
        <v>0.198812070380318</v>
      </c>
      <c r="FC325" s="60" t="n">
        <f aca="false">$K$27/DI325*(ET325-1)-EV325-EU325*(2*DB325/DH325-$K$27/DI325)</f>
        <v>0.198812070380318</v>
      </c>
      <c r="FD325" s="60" t="n">
        <f aca="false">$L$27/DI325*(ET325-1)-EV325-EU325*(2*DC325/DH325-$L$27/DI325)</f>
        <v>0.198812070380318</v>
      </c>
      <c r="FE325" s="60" t="n">
        <f aca="false">$M$27/DI325*(ET325-1)-EV325-EU325*(2*DD325/DH325-$M$27/DI325)</f>
        <v>0.198812070380318</v>
      </c>
      <c r="FF325" s="60" t="n">
        <f aca="false">$N$27/DI325*(ET325-1)-EV325-EU325*(2*DE325/DH325-$N$27/DI325)</f>
        <v>0.198812070380318</v>
      </c>
      <c r="FG325" s="60" t="n">
        <f aca="false">$O$27/DI325*(ET325-1)-EV325-EU325*(2*DF325/DH325-$O$27/DI325)</f>
        <v>0.198812070380318</v>
      </c>
      <c r="FH325" s="60" t="n">
        <f aca="false">$P$27/DI325*(ET325-1)-EV325-EU325*(2*DG325/DH325-$P$27/DI325)</f>
        <v>0.198812070380318</v>
      </c>
      <c r="FI325" s="60" t="n">
        <f aca="false">DK325/ET325&gt;$C$22</f>
        <v>0</v>
      </c>
      <c r="FJ325" s="60" t="n">
        <f aca="false">$E$28*SUMPRODUCT($E$31:$P$31,CJ325:CU325,$E$28:$P$28)</f>
        <v>0.184416866619846</v>
      </c>
      <c r="FK325" s="60" t="n">
        <f aca="false">$F$28*SUMPRODUCT($E$32:$P$32,CJ325:CU325,$E$28:$P$28)</f>
        <v>0</v>
      </c>
      <c r="FL325" s="60" t="n">
        <f aca="false">$G$28*SUMPRODUCT($E$33:$P$33,CJ325:CU325,$E$28:$P$28)</f>
        <v>0</v>
      </c>
      <c r="FM325" s="60" t="n">
        <f aca="false">$H$28*SUMPRODUCT($E$34:$P$34,CJ325:CU325,$E$28:$P$28)</f>
        <v>0</v>
      </c>
      <c r="FN325" s="60" t="n">
        <f aca="false">$I$28*SUMPRODUCT($E$35:$P$35,CJ325:CU325,$E$28:$P$28)</f>
        <v>0</v>
      </c>
      <c r="FO325" s="60" t="n">
        <f aca="false">$J$28*SUMPRODUCT($E$36:$P$36,CJ325:CU325,$E$28:$P$28)</f>
        <v>0</v>
      </c>
      <c r="FP325" s="60" t="n">
        <f aca="false">$K$28*SUMPRODUCT($E$37:$P$37,CJ325:CU325,$E$28:$P$28)</f>
        <v>0</v>
      </c>
      <c r="FQ325" s="60" t="n">
        <f aca="false">$L$28*SUMPRODUCT($E$38:$P$38,CJ325:CU325,$E$28:$P$28)</f>
        <v>0</v>
      </c>
      <c r="FR325" s="60" t="n">
        <f aca="false">$M$28*SUMPRODUCT($E$39:$P$39,CJ325:CU325,$E$28:$P$28)</f>
        <v>0</v>
      </c>
      <c r="FS325" s="60" t="n">
        <f aca="false">$N$28*SUMPRODUCT($E$40:$P$40,CJ325:CU325,$E$28:$P$28)</f>
        <v>0</v>
      </c>
      <c r="FT325" s="60" t="n">
        <f aca="false">$O$28*SUMPRODUCT($E$41:$P$41,CJ325:CU325,$E$28:$P$28)</f>
        <v>0</v>
      </c>
      <c r="FU325" s="60" t="n">
        <f aca="false">$P$28*SUMPRODUCT($E$42:$P$42,CJ325:CU325,$E$28:$P$28)</f>
        <v>0</v>
      </c>
      <c r="FV325" s="60" t="n">
        <f aca="false">SUMPRODUCT(CJ325:CU325,FJ325:FU325)</f>
        <v>0.184416866619846</v>
      </c>
      <c r="FW325" s="60" t="n">
        <f aca="false">SUMPRODUCT(CJ325:CU325,$E$27:$P$27)</f>
        <v>2.67389635063809E-005</v>
      </c>
      <c r="FX325" s="60" t="n">
        <f aca="false">FV325*$C$9/($C$10*$C$8)^2</f>
        <v>0.21776909410545</v>
      </c>
      <c r="FY325" s="60" t="n">
        <f aca="false">FW325*$C$9/($C$10*$C$8)</f>
        <v>0.0918845243259994</v>
      </c>
      <c r="FZ325" s="60" t="n">
        <f aca="false">CHOOSE($C$7,-(1+FY325),-1,-(1-FY325))</f>
        <v>-0.908115475674001</v>
      </c>
      <c r="GA325" s="60" t="n">
        <f aca="false">CHOOSE($C$7,FX325,FX325-FY325-FY325^2,FX325-3*FY325^2-2*FY325)</f>
        <v>0.00867174802160559</v>
      </c>
      <c r="GB325" s="60" t="n">
        <f aca="false">CHOOSE($C$7,-FX325*FY325,-FX325*FY325,-(FX325*FY325-FY325^2-FY325^3))</f>
        <v>-0.0107910842936637</v>
      </c>
      <c r="GC325" s="60" t="n">
        <f aca="false">GA325-FZ325^2/3</f>
        <v>-0.266219491031267</v>
      </c>
      <c r="GD325" s="60" t="n">
        <f aca="false">2*FZ325^3/27-FZ325*GA325/3+GB325</f>
        <v>-0.0636400988362784</v>
      </c>
      <c r="GE325" s="60" t="n">
        <f aca="false">GD325^2/4+GC325^3/27</f>
        <v>0.000313710901361829</v>
      </c>
      <c r="GF325" s="60" t="n">
        <f aca="false">-GD325/2-IF(GD325&gt;=0,1,-1)*SQRT(MAX(GE325,0))</f>
        <v>0.0495319352963236</v>
      </c>
      <c r="GG325" s="60" t="n">
        <f aca="false">SIGN(GF325)*ABS(GF325)^(1/3)</f>
        <v>0.367249967174439</v>
      </c>
      <c r="GH325" s="60" t="n">
        <f aca="false">IF(GG325=0,0,GG325-GC325/(3*GG325))</f>
        <v>0.60888329127384</v>
      </c>
      <c r="GI325" s="60" t="n">
        <f aca="false">2*SQRT(MAX(-GC325,0)/3)</f>
        <v>0.595784626668918</v>
      </c>
      <c r="GJ325" s="60" t="n">
        <f aca="false">ACOS(IF(GI325=0,0,MAX(-1,MIN(1,3*GD325/(GC325*GI325)))))</f>
        <v>0</v>
      </c>
      <c r="GK325" s="60" t="n">
        <f aca="false">GI325*COS(GJ325/3)</f>
        <v>0.595784626668918</v>
      </c>
      <c r="GL325" s="60" t="n">
        <f aca="false">IF(GE325&lt;0,GK325,GH325)-FZ325/3</f>
        <v>0.91158844983184</v>
      </c>
      <c r="GM325" s="60" t="n">
        <f aca="false">IFERROR((((GL325+FZ325)*GL325+GA325)*GL325+GB325)/((3*GL325+2*FZ325)*GL325+GA325),0)</f>
        <v>0</v>
      </c>
      <c r="GN325" s="60" t="n">
        <f aca="false">IF(ABS(GM325)&lt;0.1*ABS(GL325),GL325-GM325,GL325)</f>
        <v>0.91158844983184</v>
      </c>
      <c r="GO325" s="60" t="n">
        <f aca="false">IFERROR((((GN325+FZ325)*GN325+GA325)*GN325+GB325)/((3*GN325+2*FZ325)*GN325+GA325),0)</f>
        <v>0</v>
      </c>
      <c r="GP325" s="60" t="n">
        <f aca="false">IF(ABS(GO325)&lt;0.1*ABS(GN325),GN325-GO325,GN325)</f>
        <v>0.91158844983184</v>
      </c>
      <c r="GQ325" s="60" t="n">
        <f aca="false">-GB325/GP325</f>
        <v>0.0118376711504565</v>
      </c>
      <c r="GR325" s="60" t="n">
        <f aca="false">(GA325-GQ325)/GP325</f>
        <v>-0.00347297415783941</v>
      </c>
      <c r="GS325" s="60" t="n">
        <f aca="false">GR325^2-4*GQ325</f>
        <v>-0.0473386230523248</v>
      </c>
      <c r="GT325" s="60" t="n">
        <f aca="false">IF(GS325&gt;=0,(GR325+IF(GR325&gt;=0,1,-1)*SQRT(GS325))/2,0)</f>
        <v>0</v>
      </c>
      <c r="GU325" s="60" t="n">
        <f aca="false">IF(AND(GS325&gt;=0,GT325&lt;&gt;0),MIN(GT325,GQ325/GT325),-1)</f>
        <v>-1</v>
      </c>
      <c r="GV325" s="60" t="n">
        <f aca="false">AND(GS325&gt;=0,GU325&gt;FY325,ABS(GP325-GU325)&gt;=0.00005*MAX(GP325,GU325))</f>
        <v>0</v>
      </c>
      <c r="GW325" s="60" t="n">
        <f aca="false">IF(GV325,IFERROR((((GU325+FZ325)*GU325+GA325)*GU325+GB325)/((3*GU325+2*FZ325)*GU325+GA325),0),0)</f>
        <v>0</v>
      </c>
      <c r="GX325" s="60" t="n">
        <f aca="false">IF(ABS(GW325)&lt;0.1*ABS(GU325),GU325-GW325,GU325)</f>
        <v>-1</v>
      </c>
      <c r="GY325" s="60" t="n">
        <f aca="false">IF(GV325,IFERROR((((GX325+FZ325)*GX325+GA325)*GX325+GB325)/((3*GX325+2*FZ325)*GX325+GA325),0),0)</f>
        <v>0</v>
      </c>
      <c r="GZ325" s="60" t="n">
        <f aca="false">IF(ABS(GY325)&lt;0.1*ABS(GX325),GX325-GY325,GX325)</f>
        <v>-1</v>
      </c>
      <c r="HA325" s="60" t="n">
        <f aca="false">IF(GV325,MAX(GP325,GZ325),GP325)</f>
        <v>0.91158844983184</v>
      </c>
      <c r="HB325" s="60" t="n">
        <f aca="false">IF(GV325,MIN(GP325,GZ325),-1)</f>
        <v>-1</v>
      </c>
      <c r="HC325" s="60" t="n">
        <f aca="false">CHOOSE($C$7,FX325/HA325,FX325/FY325*LN(1+FY325/HA325),FX325/(2*SQRT(2)*FY325)*LN((HA325+(1+SQRT(2))*FY325)/(HA325+(1-SQRT(2))*FY325)))</f>
        <v>0.218240791233887</v>
      </c>
      <c r="HD325" s="60" t="n">
        <f aca="false">HA325-1-LN(HA325-FY325)-HC325</f>
        <v>-0.107840271021729</v>
      </c>
      <c r="HE325" s="60" t="n">
        <f aca="false">IF(GV325,CHOOSE($C$7,FX325/HB325,FX325/FY325*LN(1+FY325/HB325),FX325/(2*SQRT(2)*FY325)*LN((HB325+(1+SQRT(2))*FY325)/(HB325+(1-SQRT(2))*FY325))),0)</f>
        <v>0</v>
      </c>
      <c r="HF325" s="60" t="n">
        <f aca="false">IF(GV325,HB325-1-LN(HB325-FY325)-HE325,0)</f>
        <v>0</v>
      </c>
      <c r="HG325" s="60" t="n">
        <f aca="false">AND(GV325,HF325&lt;HD325)</f>
        <v>0</v>
      </c>
      <c r="HH325" s="60" t="n">
        <f aca="false">IF(HG325,HB325,HA325)</f>
        <v>0.91158844983184</v>
      </c>
      <c r="HI325" s="60" t="n">
        <f aca="false">IF(HG325,HE325,HC325)</f>
        <v>0.218240791233887</v>
      </c>
      <c r="HJ325" s="60" t="n">
        <f aca="false">LN(HH325-FY325)</f>
        <v>-0.198812070380318</v>
      </c>
      <c r="HK325" s="60" t="n">
        <f aca="false">$E$27/FW325*(HH325-1)-HJ325-HI325*(2*FJ325/FV325-$E$27/FW325)</f>
        <v>-0.107840271021729</v>
      </c>
      <c r="HL325" s="60" t="n">
        <f aca="false">$F$27/FW325*(HH325-1)-HJ325-HI325*(2*FK325/FV325-$F$27/FW325)</f>
        <v>0.198812070380318</v>
      </c>
      <c r="HM325" s="60" t="n">
        <f aca="false">$G$27/FW325*(HH325-1)-HJ325-HI325*(2*FL325/FV325-$G$27/FW325)</f>
        <v>0.198812070380318</v>
      </c>
      <c r="HN325" s="60" t="n">
        <f aca="false">$H$27/FW325*(HH325-1)-HJ325-HI325*(2*FM325/FV325-$H$27/FW325)</f>
        <v>0.198812070380318</v>
      </c>
      <c r="HO325" s="60" t="n">
        <f aca="false">$I$27/FW325*(HH325-1)-HJ325-HI325*(2*FN325/FV325-$I$27/FW325)</f>
        <v>0.198812070380318</v>
      </c>
      <c r="HP325" s="60" t="n">
        <f aca="false">$J$27/FW325*(HH325-1)-HJ325-HI325*(2*FO325/FV325-$J$27/FW325)</f>
        <v>0.198812070380318</v>
      </c>
      <c r="HQ325" s="60" t="n">
        <f aca="false">$K$27/FW325*(HH325-1)-HJ325-HI325*(2*FP325/FV325-$K$27/FW325)</f>
        <v>0.198812070380318</v>
      </c>
      <c r="HR325" s="60" t="n">
        <f aca="false">$L$27/FW325*(HH325-1)-HJ325-HI325*(2*FQ325/FV325-$L$27/FW325)</f>
        <v>0.198812070380318</v>
      </c>
      <c r="HS325" s="60" t="n">
        <f aca="false">$M$27/FW325*(HH325-1)-HJ325-HI325*(2*FR325/FV325-$M$27/FW325)</f>
        <v>0.198812070380318</v>
      </c>
      <c r="HT325" s="60" t="n">
        <f aca="false">$N$27/FW325*(HH325-1)-HJ325-HI325*(2*FS325/FV325-$N$27/FW325)</f>
        <v>0.198812070380318</v>
      </c>
      <c r="HU325" s="60" t="n">
        <f aca="false">$O$27/FW325*(HH325-1)-HJ325-HI325*(2*FT325/FV325-$O$27/FW325)</f>
        <v>0.198812070380318</v>
      </c>
      <c r="HV325" s="60" t="n">
        <f aca="false">$P$27/FW325*(HH325-1)-HJ325-HI325*(2*FU325/FV325-$P$27/FW325)</f>
        <v>0.198812070380318</v>
      </c>
      <c r="HW325" s="60" t="n">
        <f aca="false">FY325/HH325&gt;$C$22</f>
        <v>0</v>
      </c>
      <c r="HX325" s="60" t="n">
        <f aca="false">IF($E$13&gt;0,MAX(-300,MIN(300,EW325-HK325)),0)</f>
        <v>0</v>
      </c>
      <c r="HY325" s="60" t="n">
        <f aca="false">IF($F$13&gt;0,MAX(-300,MIN(300,EX325-HL325)),0)</f>
        <v>0</v>
      </c>
      <c r="HZ325" s="60" t="n">
        <f aca="false">IF($G$13&gt;0,MAX(-300,MIN(300,EY325-HM325)),0)</f>
        <v>0</v>
      </c>
      <c r="IA325" s="60" t="n">
        <f aca="false">IF($H$13&gt;0,MAX(-300,MIN(300,EZ325-HN325)),0)</f>
        <v>0</v>
      </c>
      <c r="IB325" s="60" t="n">
        <f aca="false">IF($I$13&gt;0,MAX(-300,MIN(300,FA325-HO325)),0)</f>
        <v>0</v>
      </c>
      <c r="IC325" s="60" t="n">
        <f aca="false">IF($J$13&gt;0,MAX(-300,MIN(300,FB325-HP325)),0)</f>
        <v>0</v>
      </c>
      <c r="ID325" s="60" t="n">
        <f aca="false">IF($K$13&gt;0,MAX(-300,MIN(300,FC325-HQ325)),0)</f>
        <v>0</v>
      </c>
      <c r="IE325" s="60" t="n">
        <f aca="false">IF($L$13&gt;0,MAX(-300,MIN(300,FD325-HR325)),0)</f>
        <v>0</v>
      </c>
      <c r="IF325" s="60" t="n">
        <f aca="false">IF($M$13&gt;0,MAX(-300,MIN(300,FE325-HS325)),0)</f>
        <v>0</v>
      </c>
      <c r="IG325" s="60" t="n">
        <f aca="false">IF($N$13&gt;0,MAX(-300,MIN(300,FF325-HT325)),0)</f>
        <v>0</v>
      </c>
      <c r="IH325" s="60" t="n">
        <f aca="false">IF($O$13&gt;0,MAX(-300,MIN(300,FG325-HU325)),0)</f>
        <v>0</v>
      </c>
      <c r="II325" s="60" t="n">
        <f aca="false">IF($P$13&gt;0,MAX(-300,MIN(300,FH325-HV325)),0)</f>
        <v>0</v>
      </c>
      <c r="IJ325" s="60" t="n">
        <f aca="false">SUMXMY2(HX325:II325,B325:M325)</f>
        <v>0</v>
      </c>
      <c r="IK325" s="60" t="n">
        <f aca="false">SUMSQ(B325:M325)</f>
        <v>0</v>
      </c>
    </row>
    <row r="326" customFormat="false" ht="15" hidden="false" customHeight="false" outlineLevel="0" collapsed="false">
      <c r="A326" s="59" t="n">
        <v>29</v>
      </c>
      <c r="B326" s="60" t="n">
        <f aca="false">HX325</f>
        <v>0</v>
      </c>
      <c r="C326" s="60" t="n">
        <f aca="false">HY325</f>
        <v>0</v>
      </c>
      <c r="D326" s="60" t="n">
        <f aca="false">HZ325</f>
        <v>0</v>
      </c>
      <c r="E326" s="60" t="n">
        <f aca="false">IA325</f>
        <v>0</v>
      </c>
      <c r="F326" s="60" t="n">
        <f aca="false">IB325</f>
        <v>0</v>
      </c>
      <c r="G326" s="60" t="n">
        <f aca="false">IC325</f>
        <v>0</v>
      </c>
      <c r="H326" s="60" t="n">
        <f aca="false">ID325</f>
        <v>0</v>
      </c>
      <c r="I326" s="60" t="n">
        <f aca="false">IE325</f>
        <v>0</v>
      </c>
      <c r="J326" s="60" t="n">
        <f aca="false">IF325</f>
        <v>0</v>
      </c>
      <c r="K326" s="60" t="n">
        <f aca="false">IG325</f>
        <v>0</v>
      </c>
      <c r="L326" s="60" t="n">
        <f aca="false">IH325</f>
        <v>0</v>
      </c>
      <c r="M326" s="60" t="n">
        <f aca="false">II325</f>
        <v>0</v>
      </c>
      <c r="N326" s="60" t="n">
        <f aca="false">EXP(B326)</f>
        <v>1</v>
      </c>
      <c r="O326" s="60" t="n">
        <f aca="false">EXP(C326)</f>
        <v>1</v>
      </c>
      <c r="P326" s="60" t="n">
        <f aca="false">EXP(D326)</f>
        <v>1</v>
      </c>
      <c r="Q326" s="60" t="n">
        <f aca="false">EXP(E326)</f>
        <v>1</v>
      </c>
      <c r="R326" s="60" t="n">
        <f aca="false">EXP(F326)</f>
        <v>1</v>
      </c>
      <c r="S326" s="60" t="n">
        <f aca="false">EXP(G326)</f>
        <v>1</v>
      </c>
      <c r="T326" s="60" t="n">
        <f aca="false">EXP(H326)</f>
        <v>1</v>
      </c>
      <c r="U326" s="60" t="n">
        <f aca="false">EXP(I326)</f>
        <v>1</v>
      </c>
      <c r="V326" s="60" t="n">
        <f aca="false">EXP(J326)</f>
        <v>1</v>
      </c>
      <c r="W326" s="60" t="n">
        <f aca="false">EXP(K326)</f>
        <v>1</v>
      </c>
      <c r="X326" s="60" t="n">
        <f aca="false">EXP(L326)</f>
        <v>1</v>
      </c>
      <c r="Y326" s="60" t="n">
        <f aca="false">EXP(M326)</f>
        <v>1</v>
      </c>
      <c r="Z326" s="60" t="n">
        <f aca="false">MAX(N326:Y326)</f>
        <v>1</v>
      </c>
      <c r="AA326" s="60" t="n">
        <f aca="false">MIN(N326:Y326)</f>
        <v>1</v>
      </c>
      <c r="AB326" s="60" t="n">
        <f aca="false">AND(Z326&gt;1,AA326&lt;1)</f>
        <v>0</v>
      </c>
      <c r="AC326" s="60" t="n">
        <f aca="false">IF(AB326,1/(1-Z326),0)</f>
        <v>0</v>
      </c>
      <c r="AD326" s="60" t="n">
        <f aca="false">IF(AB326,1/(1-AA326),1)</f>
        <v>1</v>
      </c>
      <c r="AE326" s="60" t="n">
        <f aca="false">IF(AB326,MIN(MAX(BI325,AC326+0.000000001*(AD326-AC326)),AD326-0.000000001*(AD326-AC326)),IF(AA326&gt;=1,1,0))</f>
        <v>1</v>
      </c>
      <c r="AF326" s="60" t="n">
        <f aca="false">SUMPRODUCT($E$13:$P$13*(N326:Y326-1)/(1+AE326*(N326:Y326-1)))</f>
        <v>0</v>
      </c>
      <c r="AG326" s="60" t="n">
        <f aca="false">-SUMPRODUCT($E$13:$P$13*(N326:Y326-1)^2/(1+AE326*(N326:Y326-1))^2)</f>
        <v>-0</v>
      </c>
      <c r="AH326" s="60" t="n">
        <f aca="false">IF(OR(NOT(AB326),AG326=0),AE326,IF(AE326-AF326/AG326&lt;=AC326,(AE326+AC326)/2,IF(AE326-AF326/AG326&gt;=AD326,(AE326+AD326)/2,AE326-AF326/AG326)))</f>
        <v>1</v>
      </c>
      <c r="AI326" s="60" t="n">
        <f aca="false">SUMPRODUCT($E$13:$P$13*(N326:Y326-1)/(1+AH326*(N326:Y326-1)))</f>
        <v>0</v>
      </c>
      <c r="AJ326" s="60" t="n">
        <f aca="false">-SUMPRODUCT($E$13:$P$13*(N326:Y326-1)^2/(1+AH326*(N326:Y326-1))^2)</f>
        <v>-0</v>
      </c>
      <c r="AK326" s="60" t="n">
        <f aca="false">IF(OR(NOT(AB326),AJ326=0),AH326,IF(AH326-AI326/AJ326&lt;=AC326,(AH326+AC326)/2,IF(AH326-AI326/AJ326&gt;=AD326,(AH326+AD326)/2,AH326-AI326/AJ326)))</f>
        <v>1</v>
      </c>
      <c r="AL326" s="60" t="n">
        <f aca="false">SUMPRODUCT($E$13:$P$13*(N326:Y326-1)/(1+AK326*(N326:Y326-1)))</f>
        <v>0</v>
      </c>
      <c r="AM326" s="60" t="n">
        <f aca="false">-SUMPRODUCT($E$13:$P$13*(N326:Y326-1)^2/(1+AK326*(N326:Y326-1))^2)</f>
        <v>-0</v>
      </c>
      <c r="AN326" s="60" t="n">
        <f aca="false">IF(OR(NOT(AB326),AM326=0),AK326,IF(AK326-AL326/AM326&lt;=AC326,(AK326+AC326)/2,IF(AK326-AL326/AM326&gt;=AD326,(AK326+AD326)/2,AK326-AL326/AM326)))</f>
        <v>1</v>
      </c>
      <c r="AO326" s="60" t="n">
        <f aca="false">SUMPRODUCT($E$13:$P$13*(N326:Y326-1)/(1+AN326*(N326:Y326-1)))</f>
        <v>0</v>
      </c>
      <c r="AP326" s="60" t="n">
        <f aca="false">-SUMPRODUCT($E$13:$P$13*(N326:Y326-1)^2/(1+AN326*(N326:Y326-1))^2)</f>
        <v>-0</v>
      </c>
      <c r="AQ326" s="60" t="n">
        <f aca="false">IF(OR(NOT(AB326),AP326=0),AN326,IF(AN326-AO326/AP326&lt;=AC326,(AN326+AC326)/2,IF(AN326-AO326/AP326&gt;=AD326,(AN326+AD326)/2,AN326-AO326/AP326)))</f>
        <v>1</v>
      </c>
      <c r="AR326" s="60" t="n">
        <f aca="false">SUMPRODUCT($E$13:$P$13*(N326:Y326-1)/(1+AQ326*(N326:Y326-1)))</f>
        <v>0</v>
      </c>
      <c r="AS326" s="60" t="n">
        <f aca="false">-SUMPRODUCT($E$13:$P$13*(N326:Y326-1)^2/(1+AQ326*(N326:Y326-1))^2)</f>
        <v>-0</v>
      </c>
      <c r="AT326" s="60" t="n">
        <f aca="false">IF(OR(NOT(AB326),AS326=0),AQ326,IF(AQ326-AR326/AS326&lt;=AC326,(AQ326+AC326)/2,IF(AQ326-AR326/AS326&gt;=AD326,(AQ326+AD326)/2,AQ326-AR326/AS326)))</f>
        <v>1</v>
      </c>
      <c r="AU326" s="60" t="n">
        <f aca="false">SUMPRODUCT($E$13:$P$13*(N326:Y326-1)/(1+AT326*(N326:Y326-1)))</f>
        <v>0</v>
      </c>
      <c r="AV326" s="60" t="n">
        <f aca="false">-SUMPRODUCT($E$13:$P$13*(N326:Y326-1)^2/(1+AT326*(N326:Y326-1))^2)</f>
        <v>-0</v>
      </c>
      <c r="AW326" s="60" t="n">
        <f aca="false">IF(OR(NOT(AB326),AV326=0),AT326,IF(AT326-AU326/AV326&lt;=AC326,(AT326+AC326)/2,IF(AT326-AU326/AV326&gt;=AD326,(AT326+AD326)/2,AT326-AU326/AV326)))</f>
        <v>1</v>
      </c>
      <c r="AX326" s="60" t="n">
        <f aca="false">SUMPRODUCT($E$13:$P$13*(N326:Y326-1)/(1+AW326*(N326:Y326-1)))</f>
        <v>0</v>
      </c>
      <c r="AY326" s="60" t="n">
        <f aca="false">-SUMPRODUCT($E$13:$P$13*(N326:Y326-1)^2/(1+AW326*(N326:Y326-1))^2)</f>
        <v>-0</v>
      </c>
      <c r="AZ326" s="60" t="n">
        <f aca="false">IF(OR(NOT(AB326),AY326=0),AW326,IF(AW326-AX326/AY326&lt;=AC326,(AW326+AC326)/2,IF(AW326-AX326/AY326&gt;=AD326,(AW326+AD326)/2,AW326-AX326/AY326)))</f>
        <v>1</v>
      </c>
      <c r="BA326" s="60" t="n">
        <f aca="false">SUMPRODUCT($E$13:$P$13*(N326:Y326-1)/(1+AZ326*(N326:Y326-1)))</f>
        <v>0</v>
      </c>
      <c r="BB326" s="60" t="n">
        <f aca="false">-SUMPRODUCT($E$13:$P$13*(N326:Y326-1)^2/(1+AZ326*(N326:Y326-1))^2)</f>
        <v>-0</v>
      </c>
      <c r="BC326" s="60" t="n">
        <f aca="false">IF(OR(NOT(AB326),BB326=0),AZ326,IF(AZ326-BA326/BB326&lt;=AC326,(AZ326+AC326)/2,IF(AZ326-BA326/BB326&gt;=AD326,(AZ326+AD326)/2,AZ326-BA326/BB326)))</f>
        <v>1</v>
      </c>
      <c r="BD326" s="60" t="n">
        <f aca="false">SUMPRODUCT($E$13:$P$13*(N326:Y326-1)/(1+BC326*(N326:Y326-1)))</f>
        <v>0</v>
      </c>
      <c r="BE326" s="60" t="n">
        <f aca="false">-SUMPRODUCT($E$13:$P$13*(N326:Y326-1)^2/(1+BC326*(N326:Y326-1))^2)</f>
        <v>-0</v>
      </c>
      <c r="BF326" s="60" t="n">
        <f aca="false">IF(OR(NOT(AB326),BE326=0),BC326,IF(BC326-BD326/BE326&lt;=AC326,(BC326+AC326)/2,IF(BC326-BD326/BE326&gt;=AD326,(BC326+AD326)/2,BC326-BD326/BE326)))</f>
        <v>1</v>
      </c>
      <c r="BG326" s="60" t="n">
        <f aca="false">SUMPRODUCT($E$13:$P$13*(N326:Y326-1)/(1+BF326*(N326:Y326-1)))</f>
        <v>0</v>
      </c>
      <c r="BH326" s="60" t="n">
        <f aca="false">-SUMPRODUCT($E$13:$P$13*(N326:Y326-1)^2/(1+BF326*(N326:Y326-1))^2)</f>
        <v>-0</v>
      </c>
      <c r="BI326" s="60" t="n">
        <f aca="false">IF(OR(NOT(AB326),BH326=0),BF326,IF(BF326-BG326/BH326&lt;=AC326,(BF326+AC326)/2,IF(BF326-BG326/BH326&gt;=AD326,(BF326+AD326)/2,BF326-BG326/BH326)))</f>
        <v>1</v>
      </c>
      <c r="BJ326" s="60" t="n">
        <f aca="false">$E$13/(1+BI326*(N326-1))</f>
        <v>1</v>
      </c>
      <c r="BK326" s="60" t="n">
        <f aca="false">$F$13/(1+BI326*(O326-1))</f>
        <v>0</v>
      </c>
      <c r="BL326" s="60" t="n">
        <f aca="false">$G$13/(1+BI326*(P326-1))</f>
        <v>0</v>
      </c>
      <c r="BM326" s="60" t="n">
        <f aca="false">$H$13/(1+BI326*(Q326-1))</f>
        <v>0</v>
      </c>
      <c r="BN326" s="60" t="n">
        <f aca="false">$I$13/(1+BI326*(R326-1))</f>
        <v>0</v>
      </c>
      <c r="BO326" s="60" t="n">
        <f aca="false">$J$13/(1+BI326*(S326-1))</f>
        <v>0</v>
      </c>
      <c r="BP326" s="60" t="n">
        <f aca="false">$K$13/(1+BI326*(T326-1))</f>
        <v>0</v>
      </c>
      <c r="BQ326" s="60" t="n">
        <f aca="false">$L$13/(1+BI326*(U326-1))</f>
        <v>0</v>
      </c>
      <c r="BR326" s="60" t="n">
        <f aca="false">$M$13/(1+BI326*(V326-1))</f>
        <v>0</v>
      </c>
      <c r="BS326" s="60" t="n">
        <f aca="false">$N$13/(1+BI326*(W326-1))</f>
        <v>0</v>
      </c>
      <c r="BT326" s="60" t="n">
        <f aca="false">$O$13/(1+BI326*(X326-1))</f>
        <v>0</v>
      </c>
      <c r="BU326" s="60" t="n">
        <f aca="false">$P$13/(1+BI326*(Y326-1))</f>
        <v>0</v>
      </c>
      <c r="BV326" s="60" t="n">
        <f aca="false">SUM(BJ326:BU326)</f>
        <v>1</v>
      </c>
      <c r="BW326" s="60" t="n">
        <f aca="false">SUMPRODUCT(N326:Y326,BJ326:BU326)</f>
        <v>1</v>
      </c>
      <c r="BX326" s="60" t="n">
        <f aca="false">BJ326/BV326</f>
        <v>1</v>
      </c>
      <c r="BY326" s="60" t="n">
        <f aca="false">BK326/BV326</f>
        <v>0</v>
      </c>
      <c r="BZ326" s="60" t="n">
        <f aca="false">BL326/BV326</f>
        <v>0</v>
      </c>
      <c r="CA326" s="60" t="n">
        <f aca="false">BM326/BV326</f>
        <v>0</v>
      </c>
      <c r="CB326" s="60" t="n">
        <f aca="false">BN326/BV326</f>
        <v>0</v>
      </c>
      <c r="CC326" s="60" t="n">
        <f aca="false">BO326/BV326</f>
        <v>0</v>
      </c>
      <c r="CD326" s="60" t="n">
        <f aca="false">BP326/BV326</f>
        <v>0</v>
      </c>
      <c r="CE326" s="60" t="n">
        <f aca="false">BQ326/BV326</f>
        <v>0</v>
      </c>
      <c r="CF326" s="60" t="n">
        <f aca="false">BR326/BV326</f>
        <v>0</v>
      </c>
      <c r="CG326" s="60" t="n">
        <f aca="false">BS326/BV326</f>
        <v>0</v>
      </c>
      <c r="CH326" s="60" t="n">
        <f aca="false">BT326/BV326</f>
        <v>0</v>
      </c>
      <c r="CI326" s="60" t="n">
        <f aca="false">BU326/BV326</f>
        <v>0</v>
      </c>
      <c r="CJ326" s="60" t="n">
        <f aca="false">N326*BJ326/BW326</f>
        <v>1</v>
      </c>
      <c r="CK326" s="60" t="n">
        <f aca="false">O326*BK326/BW326</f>
        <v>0</v>
      </c>
      <c r="CL326" s="60" t="n">
        <f aca="false">P326*BL326/BW326</f>
        <v>0</v>
      </c>
      <c r="CM326" s="60" t="n">
        <f aca="false">Q326*BM326/BW326</f>
        <v>0</v>
      </c>
      <c r="CN326" s="60" t="n">
        <f aca="false">R326*BN326/BW326</f>
        <v>0</v>
      </c>
      <c r="CO326" s="60" t="n">
        <f aca="false">S326*BO326/BW326</f>
        <v>0</v>
      </c>
      <c r="CP326" s="60" t="n">
        <f aca="false">T326*BP326/BW326</f>
        <v>0</v>
      </c>
      <c r="CQ326" s="60" t="n">
        <f aca="false">U326*BQ326/BW326</f>
        <v>0</v>
      </c>
      <c r="CR326" s="60" t="n">
        <f aca="false">V326*BR326/BW326</f>
        <v>0</v>
      </c>
      <c r="CS326" s="60" t="n">
        <f aca="false">W326*BS326/BW326</f>
        <v>0</v>
      </c>
      <c r="CT326" s="60" t="n">
        <f aca="false">X326*BT326/BW326</f>
        <v>0</v>
      </c>
      <c r="CU326" s="60" t="n">
        <f aca="false">Y326*BU326/BW326</f>
        <v>0</v>
      </c>
      <c r="CV326" s="60" t="n">
        <f aca="false">$E$28*SUMPRODUCT($E$31:$P$31,BX326:CI326,$E$28:$P$28)</f>
        <v>0.184416866619846</v>
      </c>
      <c r="CW326" s="60" t="n">
        <f aca="false">$F$28*SUMPRODUCT($E$32:$P$32,BX326:CI326,$E$28:$P$28)</f>
        <v>0</v>
      </c>
      <c r="CX326" s="60" t="n">
        <f aca="false">$G$28*SUMPRODUCT($E$33:$P$33,BX326:CI326,$E$28:$P$28)</f>
        <v>0</v>
      </c>
      <c r="CY326" s="60" t="n">
        <f aca="false">$H$28*SUMPRODUCT($E$34:$P$34,BX326:CI326,$E$28:$P$28)</f>
        <v>0</v>
      </c>
      <c r="CZ326" s="60" t="n">
        <f aca="false">$I$28*SUMPRODUCT($E$35:$P$35,BX326:CI326,$E$28:$P$28)</f>
        <v>0</v>
      </c>
      <c r="DA326" s="60" t="n">
        <f aca="false">$J$28*SUMPRODUCT($E$36:$P$36,BX326:CI326,$E$28:$P$28)</f>
        <v>0</v>
      </c>
      <c r="DB326" s="60" t="n">
        <f aca="false">$K$28*SUMPRODUCT($E$37:$P$37,BX326:CI326,$E$28:$P$28)</f>
        <v>0</v>
      </c>
      <c r="DC326" s="60" t="n">
        <f aca="false">$L$28*SUMPRODUCT($E$38:$P$38,BX326:CI326,$E$28:$P$28)</f>
        <v>0</v>
      </c>
      <c r="DD326" s="60" t="n">
        <f aca="false">$M$28*SUMPRODUCT($E$39:$P$39,BX326:CI326,$E$28:$P$28)</f>
        <v>0</v>
      </c>
      <c r="DE326" s="60" t="n">
        <f aca="false">$N$28*SUMPRODUCT($E$40:$P$40,BX326:CI326,$E$28:$P$28)</f>
        <v>0</v>
      </c>
      <c r="DF326" s="60" t="n">
        <f aca="false">$O$28*SUMPRODUCT($E$41:$P$41,BX326:CI326,$E$28:$P$28)</f>
        <v>0</v>
      </c>
      <c r="DG326" s="60" t="n">
        <f aca="false">$P$28*SUMPRODUCT($E$42:$P$42,BX326:CI326,$E$28:$P$28)</f>
        <v>0</v>
      </c>
      <c r="DH326" s="60" t="n">
        <f aca="false">SUMPRODUCT(BX326:CI326,CV326:DG326)</f>
        <v>0.184416866619846</v>
      </c>
      <c r="DI326" s="60" t="n">
        <f aca="false">SUMPRODUCT(BX326:CI326,$E$27:$P$27)</f>
        <v>2.67389635063809E-005</v>
      </c>
      <c r="DJ326" s="60" t="n">
        <f aca="false">DH326*$C$9/($C$10*$C$8)^2</f>
        <v>0.21776909410545</v>
      </c>
      <c r="DK326" s="60" t="n">
        <f aca="false">DI326*$C$9/($C$10*$C$8)</f>
        <v>0.0918845243259994</v>
      </c>
      <c r="DL326" s="60" t="n">
        <f aca="false">CHOOSE($C$7,-(1+DK326),-1,-(1-DK326))</f>
        <v>-0.908115475674001</v>
      </c>
      <c r="DM326" s="60" t="n">
        <f aca="false">CHOOSE($C$7,DJ326,DJ326-DK326-DK326^2,DJ326-3*DK326^2-2*DK326)</f>
        <v>0.00867174802160559</v>
      </c>
      <c r="DN326" s="60" t="n">
        <f aca="false">CHOOSE($C$7,-DJ326*DK326,-DJ326*DK326,-(DJ326*DK326-DK326^2-DK326^3))</f>
        <v>-0.0107910842936637</v>
      </c>
      <c r="DO326" s="60" t="n">
        <f aca="false">DM326-DL326^2/3</f>
        <v>-0.266219491031267</v>
      </c>
      <c r="DP326" s="60" t="n">
        <f aca="false">2*DL326^3/27-DL326*DM326/3+DN326</f>
        <v>-0.0636400988362784</v>
      </c>
      <c r="DQ326" s="60" t="n">
        <f aca="false">DP326^2/4+DO326^3/27</f>
        <v>0.000313710901361829</v>
      </c>
      <c r="DR326" s="60" t="n">
        <f aca="false">-DP326/2-IF(DP326&gt;=0,1,-1)*SQRT(MAX(DQ326,0))</f>
        <v>0.0495319352963236</v>
      </c>
      <c r="DS326" s="60" t="n">
        <f aca="false">SIGN(DR326)*ABS(DR326)^(1/3)</f>
        <v>0.367249967174439</v>
      </c>
      <c r="DT326" s="60" t="n">
        <f aca="false">IF(DS326=0,0,DS326-DO326/(3*DS326))</f>
        <v>0.60888329127384</v>
      </c>
      <c r="DU326" s="60" t="n">
        <f aca="false">2*SQRT(MAX(-DO326,0)/3)</f>
        <v>0.595784626668918</v>
      </c>
      <c r="DV326" s="60" t="n">
        <f aca="false">ACOS(IF(DU326=0,0,MAX(-1,MIN(1,3*DP326/(DO326*DU326)))))</f>
        <v>0</v>
      </c>
      <c r="DW326" s="60" t="n">
        <f aca="false">DU326*COS(DV326/3)</f>
        <v>0.595784626668918</v>
      </c>
      <c r="DX326" s="60" t="n">
        <f aca="false">IF(DQ326&lt;0,DW326,DT326)-DL326/3</f>
        <v>0.91158844983184</v>
      </c>
      <c r="DY326" s="60" t="n">
        <f aca="false">IFERROR((((DX326+DL326)*DX326+DM326)*DX326+DN326)/((3*DX326+2*DL326)*DX326+DM326),0)</f>
        <v>0</v>
      </c>
      <c r="DZ326" s="60" t="n">
        <f aca="false">IF(ABS(DY326)&lt;0.1*ABS(DX326),DX326-DY326,DX326)</f>
        <v>0.91158844983184</v>
      </c>
      <c r="EA326" s="60" t="n">
        <f aca="false">IFERROR((((DZ326+DL326)*DZ326+DM326)*DZ326+DN326)/((3*DZ326+2*DL326)*DZ326+DM326),0)</f>
        <v>0</v>
      </c>
      <c r="EB326" s="60" t="n">
        <f aca="false">IF(ABS(EA326)&lt;0.1*ABS(DZ326),DZ326-EA326,DZ326)</f>
        <v>0.91158844983184</v>
      </c>
      <c r="EC326" s="60" t="n">
        <f aca="false">-DN326/EB326</f>
        <v>0.0118376711504565</v>
      </c>
      <c r="ED326" s="60" t="n">
        <f aca="false">(DM326-EC326)/EB326</f>
        <v>-0.00347297415783941</v>
      </c>
      <c r="EE326" s="60" t="n">
        <f aca="false">ED326^2-4*EC326</f>
        <v>-0.0473386230523248</v>
      </c>
      <c r="EF326" s="60" t="n">
        <f aca="false">IF(EE326&gt;=0,(ED326+IF(ED326&gt;=0,1,-1)*SQRT(EE326))/2,0)</f>
        <v>0</v>
      </c>
      <c r="EG326" s="60" t="n">
        <f aca="false">IF(AND(EE326&gt;=0,EF326&lt;&gt;0),MIN(EF326,EC326/EF326),-1)</f>
        <v>-1</v>
      </c>
      <c r="EH326" s="60" t="n">
        <f aca="false">AND(EE326&gt;=0,EG326&gt;DK326,ABS(EB326-EG326)&gt;=0.00005*MAX(EB326,EG326))</f>
        <v>0</v>
      </c>
      <c r="EI326" s="60" t="n">
        <f aca="false">IF(EH326,IFERROR((((EG326+DL326)*EG326+DM326)*EG326+DN326)/((3*EG326+2*DL326)*EG326+DM326),0),0)</f>
        <v>0</v>
      </c>
      <c r="EJ326" s="60" t="n">
        <f aca="false">IF(ABS(EI326)&lt;0.1*ABS(EG326),EG326-EI326,EG326)</f>
        <v>-1</v>
      </c>
      <c r="EK326" s="60" t="n">
        <f aca="false">IF(EH326,IFERROR((((EJ326+DL326)*EJ326+DM326)*EJ326+DN326)/((3*EJ326+2*DL326)*EJ326+DM326),0),0)</f>
        <v>0</v>
      </c>
      <c r="EL326" s="60" t="n">
        <f aca="false">IF(ABS(EK326)&lt;0.1*ABS(EJ326),EJ326-EK326,EJ326)</f>
        <v>-1</v>
      </c>
      <c r="EM326" s="60" t="n">
        <f aca="false">IF(EH326,MAX(EB326,EL326),EB326)</f>
        <v>0.91158844983184</v>
      </c>
      <c r="EN326" s="60" t="n">
        <f aca="false">IF(EH326,MIN(EB326,EL326),-1)</f>
        <v>-1</v>
      </c>
      <c r="EO326" s="60" t="n">
        <f aca="false">CHOOSE($C$7,DJ326/EM326,DJ326/DK326*LN(1+DK326/EM326),DJ326/(2*SQRT(2)*DK326)*LN((EM326+(1+SQRT(2))*DK326)/(EM326+(1-SQRT(2))*DK326)))</f>
        <v>0.218240791233887</v>
      </c>
      <c r="EP326" s="60" t="n">
        <f aca="false">EM326-1-LN(EM326-DK326)-EO326</f>
        <v>-0.107840271021729</v>
      </c>
      <c r="EQ326" s="60" t="n">
        <f aca="false">IF(EH326,CHOOSE($C$7,DJ326/EN326,DJ326/DK326*LN(1+DK326/EN326),DJ326/(2*SQRT(2)*DK326)*LN((EN326+(1+SQRT(2))*DK326)/(EN326+(1-SQRT(2))*DK326))),0)</f>
        <v>0</v>
      </c>
      <c r="ER326" s="60" t="n">
        <f aca="false">IF(EH326,EN326-1-LN(EN326-DK326)-EQ326,0)</f>
        <v>0</v>
      </c>
      <c r="ES326" s="60" t="n">
        <f aca="false">AND(EH326,ER326&lt;EP326)</f>
        <v>0</v>
      </c>
      <c r="ET326" s="60" t="n">
        <f aca="false">IF(ES326,EN326,EM326)</f>
        <v>0.91158844983184</v>
      </c>
      <c r="EU326" s="60" t="n">
        <f aca="false">IF(ES326,EQ326,EO326)</f>
        <v>0.218240791233887</v>
      </c>
      <c r="EV326" s="60" t="n">
        <f aca="false">LN(ET326-DK326)</f>
        <v>-0.198812070380318</v>
      </c>
      <c r="EW326" s="60" t="n">
        <f aca="false">$E$27/DI326*(ET326-1)-EV326-EU326*(2*CV326/DH326-$E$27/DI326)</f>
        <v>-0.107840271021729</v>
      </c>
      <c r="EX326" s="60" t="n">
        <f aca="false">$F$27/DI326*(ET326-1)-EV326-EU326*(2*CW326/DH326-$F$27/DI326)</f>
        <v>0.198812070380318</v>
      </c>
      <c r="EY326" s="60" t="n">
        <f aca="false">$G$27/DI326*(ET326-1)-EV326-EU326*(2*CX326/DH326-$G$27/DI326)</f>
        <v>0.198812070380318</v>
      </c>
      <c r="EZ326" s="60" t="n">
        <f aca="false">$H$27/DI326*(ET326-1)-EV326-EU326*(2*CY326/DH326-$H$27/DI326)</f>
        <v>0.198812070380318</v>
      </c>
      <c r="FA326" s="60" t="n">
        <f aca="false">$I$27/DI326*(ET326-1)-EV326-EU326*(2*CZ326/DH326-$I$27/DI326)</f>
        <v>0.198812070380318</v>
      </c>
      <c r="FB326" s="60" t="n">
        <f aca="false">$J$27/DI326*(ET326-1)-EV326-EU326*(2*DA326/DH326-$J$27/DI326)</f>
        <v>0.198812070380318</v>
      </c>
      <c r="FC326" s="60" t="n">
        <f aca="false">$K$27/DI326*(ET326-1)-EV326-EU326*(2*DB326/DH326-$K$27/DI326)</f>
        <v>0.198812070380318</v>
      </c>
      <c r="FD326" s="60" t="n">
        <f aca="false">$L$27/DI326*(ET326-1)-EV326-EU326*(2*DC326/DH326-$L$27/DI326)</f>
        <v>0.198812070380318</v>
      </c>
      <c r="FE326" s="60" t="n">
        <f aca="false">$M$27/DI326*(ET326-1)-EV326-EU326*(2*DD326/DH326-$M$27/DI326)</f>
        <v>0.198812070380318</v>
      </c>
      <c r="FF326" s="60" t="n">
        <f aca="false">$N$27/DI326*(ET326-1)-EV326-EU326*(2*DE326/DH326-$N$27/DI326)</f>
        <v>0.198812070380318</v>
      </c>
      <c r="FG326" s="60" t="n">
        <f aca="false">$O$27/DI326*(ET326-1)-EV326-EU326*(2*DF326/DH326-$O$27/DI326)</f>
        <v>0.198812070380318</v>
      </c>
      <c r="FH326" s="60" t="n">
        <f aca="false">$P$27/DI326*(ET326-1)-EV326-EU326*(2*DG326/DH326-$P$27/DI326)</f>
        <v>0.198812070380318</v>
      </c>
      <c r="FI326" s="60" t="n">
        <f aca="false">DK326/ET326&gt;$C$22</f>
        <v>0</v>
      </c>
      <c r="FJ326" s="60" t="n">
        <f aca="false">$E$28*SUMPRODUCT($E$31:$P$31,CJ326:CU326,$E$28:$P$28)</f>
        <v>0.184416866619846</v>
      </c>
      <c r="FK326" s="60" t="n">
        <f aca="false">$F$28*SUMPRODUCT($E$32:$P$32,CJ326:CU326,$E$28:$P$28)</f>
        <v>0</v>
      </c>
      <c r="FL326" s="60" t="n">
        <f aca="false">$G$28*SUMPRODUCT($E$33:$P$33,CJ326:CU326,$E$28:$P$28)</f>
        <v>0</v>
      </c>
      <c r="FM326" s="60" t="n">
        <f aca="false">$H$28*SUMPRODUCT($E$34:$P$34,CJ326:CU326,$E$28:$P$28)</f>
        <v>0</v>
      </c>
      <c r="FN326" s="60" t="n">
        <f aca="false">$I$28*SUMPRODUCT($E$35:$P$35,CJ326:CU326,$E$28:$P$28)</f>
        <v>0</v>
      </c>
      <c r="FO326" s="60" t="n">
        <f aca="false">$J$28*SUMPRODUCT($E$36:$P$36,CJ326:CU326,$E$28:$P$28)</f>
        <v>0</v>
      </c>
      <c r="FP326" s="60" t="n">
        <f aca="false">$K$28*SUMPRODUCT($E$37:$P$37,CJ326:CU326,$E$28:$P$28)</f>
        <v>0</v>
      </c>
      <c r="FQ326" s="60" t="n">
        <f aca="false">$L$28*SUMPRODUCT($E$38:$P$38,CJ326:CU326,$E$28:$P$28)</f>
        <v>0</v>
      </c>
      <c r="FR326" s="60" t="n">
        <f aca="false">$M$28*SUMPRODUCT($E$39:$P$39,CJ326:CU326,$E$28:$P$28)</f>
        <v>0</v>
      </c>
      <c r="FS326" s="60" t="n">
        <f aca="false">$N$28*SUMPRODUCT($E$40:$P$40,CJ326:CU326,$E$28:$P$28)</f>
        <v>0</v>
      </c>
      <c r="FT326" s="60" t="n">
        <f aca="false">$O$28*SUMPRODUCT($E$41:$P$41,CJ326:CU326,$E$28:$P$28)</f>
        <v>0</v>
      </c>
      <c r="FU326" s="60" t="n">
        <f aca="false">$P$28*SUMPRODUCT($E$42:$P$42,CJ326:CU326,$E$28:$P$28)</f>
        <v>0</v>
      </c>
      <c r="FV326" s="60" t="n">
        <f aca="false">SUMPRODUCT(CJ326:CU326,FJ326:FU326)</f>
        <v>0.184416866619846</v>
      </c>
      <c r="FW326" s="60" t="n">
        <f aca="false">SUMPRODUCT(CJ326:CU326,$E$27:$P$27)</f>
        <v>2.67389635063809E-005</v>
      </c>
      <c r="FX326" s="60" t="n">
        <f aca="false">FV326*$C$9/($C$10*$C$8)^2</f>
        <v>0.21776909410545</v>
      </c>
      <c r="FY326" s="60" t="n">
        <f aca="false">FW326*$C$9/($C$10*$C$8)</f>
        <v>0.0918845243259994</v>
      </c>
      <c r="FZ326" s="60" t="n">
        <f aca="false">CHOOSE($C$7,-(1+FY326),-1,-(1-FY326))</f>
        <v>-0.908115475674001</v>
      </c>
      <c r="GA326" s="60" t="n">
        <f aca="false">CHOOSE($C$7,FX326,FX326-FY326-FY326^2,FX326-3*FY326^2-2*FY326)</f>
        <v>0.00867174802160559</v>
      </c>
      <c r="GB326" s="60" t="n">
        <f aca="false">CHOOSE($C$7,-FX326*FY326,-FX326*FY326,-(FX326*FY326-FY326^2-FY326^3))</f>
        <v>-0.0107910842936637</v>
      </c>
      <c r="GC326" s="60" t="n">
        <f aca="false">GA326-FZ326^2/3</f>
        <v>-0.266219491031267</v>
      </c>
      <c r="GD326" s="60" t="n">
        <f aca="false">2*FZ326^3/27-FZ326*GA326/3+GB326</f>
        <v>-0.0636400988362784</v>
      </c>
      <c r="GE326" s="60" t="n">
        <f aca="false">GD326^2/4+GC326^3/27</f>
        <v>0.000313710901361829</v>
      </c>
      <c r="GF326" s="60" t="n">
        <f aca="false">-GD326/2-IF(GD326&gt;=0,1,-1)*SQRT(MAX(GE326,0))</f>
        <v>0.0495319352963236</v>
      </c>
      <c r="GG326" s="60" t="n">
        <f aca="false">SIGN(GF326)*ABS(GF326)^(1/3)</f>
        <v>0.367249967174439</v>
      </c>
      <c r="GH326" s="60" t="n">
        <f aca="false">IF(GG326=0,0,GG326-GC326/(3*GG326))</f>
        <v>0.60888329127384</v>
      </c>
      <c r="GI326" s="60" t="n">
        <f aca="false">2*SQRT(MAX(-GC326,0)/3)</f>
        <v>0.595784626668918</v>
      </c>
      <c r="GJ326" s="60" t="n">
        <f aca="false">ACOS(IF(GI326=0,0,MAX(-1,MIN(1,3*GD326/(GC326*GI326)))))</f>
        <v>0</v>
      </c>
      <c r="GK326" s="60" t="n">
        <f aca="false">GI326*COS(GJ326/3)</f>
        <v>0.595784626668918</v>
      </c>
      <c r="GL326" s="60" t="n">
        <f aca="false">IF(GE326&lt;0,GK326,GH326)-FZ326/3</f>
        <v>0.91158844983184</v>
      </c>
      <c r="GM326" s="60" t="n">
        <f aca="false">IFERROR((((GL326+FZ326)*GL326+GA326)*GL326+GB326)/((3*GL326+2*FZ326)*GL326+GA326),0)</f>
        <v>0</v>
      </c>
      <c r="GN326" s="60" t="n">
        <f aca="false">IF(ABS(GM326)&lt;0.1*ABS(GL326),GL326-GM326,GL326)</f>
        <v>0.91158844983184</v>
      </c>
      <c r="GO326" s="60" t="n">
        <f aca="false">IFERROR((((GN326+FZ326)*GN326+GA326)*GN326+GB326)/((3*GN326+2*FZ326)*GN326+GA326),0)</f>
        <v>0</v>
      </c>
      <c r="GP326" s="60" t="n">
        <f aca="false">IF(ABS(GO326)&lt;0.1*ABS(GN326),GN326-GO326,GN326)</f>
        <v>0.91158844983184</v>
      </c>
      <c r="GQ326" s="60" t="n">
        <f aca="false">-GB326/GP326</f>
        <v>0.0118376711504565</v>
      </c>
      <c r="GR326" s="60" t="n">
        <f aca="false">(GA326-GQ326)/GP326</f>
        <v>-0.00347297415783941</v>
      </c>
      <c r="GS326" s="60" t="n">
        <f aca="false">GR326^2-4*GQ326</f>
        <v>-0.0473386230523248</v>
      </c>
      <c r="GT326" s="60" t="n">
        <f aca="false">IF(GS326&gt;=0,(GR326+IF(GR326&gt;=0,1,-1)*SQRT(GS326))/2,0)</f>
        <v>0</v>
      </c>
      <c r="GU326" s="60" t="n">
        <f aca="false">IF(AND(GS326&gt;=0,GT326&lt;&gt;0),MIN(GT326,GQ326/GT326),-1)</f>
        <v>-1</v>
      </c>
      <c r="GV326" s="60" t="n">
        <f aca="false">AND(GS326&gt;=0,GU326&gt;FY326,ABS(GP326-GU326)&gt;=0.00005*MAX(GP326,GU326))</f>
        <v>0</v>
      </c>
      <c r="GW326" s="60" t="n">
        <f aca="false">IF(GV326,IFERROR((((GU326+FZ326)*GU326+GA326)*GU326+GB326)/((3*GU326+2*FZ326)*GU326+GA326),0),0)</f>
        <v>0</v>
      </c>
      <c r="GX326" s="60" t="n">
        <f aca="false">IF(ABS(GW326)&lt;0.1*ABS(GU326),GU326-GW326,GU326)</f>
        <v>-1</v>
      </c>
      <c r="GY326" s="60" t="n">
        <f aca="false">IF(GV326,IFERROR((((GX326+FZ326)*GX326+GA326)*GX326+GB326)/((3*GX326+2*FZ326)*GX326+GA326),0),0)</f>
        <v>0</v>
      </c>
      <c r="GZ326" s="60" t="n">
        <f aca="false">IF(ABS(GY326)&lt;0.1*ABS(GX326),GX326-GY326,GX326)</f>
        <v>-1</v>
      </c>
      <c r="HA326" s="60" t="n">
        <f aca="false">IF(GV326,MAX(GP326,GZ326),GP326)</f>
        <v>0.91158844983184</v>
      </c>
      <c r="HB326" s="60" t="n">
        <f aca="false">IF(GV326,MIN(GP326,GZ326),-1)</f>
        <v>-1</v>
      </c>
      <c r="HC326" s="60" t="n">
        <f aca="false">CHOOSE($C$7,FX326/HA326,FX326/FY326*LN(1+FY326/HA326),FX326/(2*SQRT(2)*FY326)*LN((HA326+(1+SQRT(2))*FY326)/(HA326+(1-SQRT(2))*FY326)))</f>
        <v>0.218240791233887</v>
      </c>
      <c r="HD326" s="60" t="n">
        <f aca="false">HA326-1-LN(HA326-FY326)-HC326</f>
        <v>-0.107840271021729</v>
      </c>
      <c r="HE326" s="60" t="n">
        <f aca="false">IF(GV326,CHOOSE($C$7,FX326/HB326,FX326/FY326*LN(1+FY326/HB326),FX326/(2*SQRT(2)*FY326)*LN((HB326+(1+SQRT(2))*FY326)/(HB326+(1-SQRT(2))*FY326))),0)</f>
        <v>0</v>
      </c>
      <c r="HF326" s="60" t="n">
        <f aca="false">IF(GV326,HB326-1-LN(HB326-FY326)-HE326,0)</f>
        <v>0</v>
      </c>
      <c r="HG326" s="60" t="n">
        <f aca="false">AND(GV326,HF326&lt;HD326)</f>
        <v>0</v>
      </c>
      <c r="HH326" s="60" t="n">
        <f aca="false">IF(HG326,HB326,HA326)</f>
        <v>0.91158844983184</v>
      </c>
      <c r="HI326" s="60" t="n">
        <f aca="false">IF(HG326,HE326,HC326)</f>
        <v>0.218240791233887</v>
      </c>
      <c r="HJ326" s="60" t="n">
        <f aca="false">LN(HH326-FY326)</f>
        <v>-0.198812070380318</v>
      </c>
      <c r="HK326" s="60" t="n">
        <f aca="false">$E$27/FW326*(HH326-1)-HJ326-HI326*(2*FJ326/FV326-$E$27/FW326)</f>
        <v>-0.107840271021729</v>
      </c>
      <c r="HL326" s="60" t="n">
        <f aca="false">$F$27/FW326*(HH326-1)-HJ326-HI326*(2*FK326/FV326-$F$27/FW326)</f>
        <v>0.198812070380318</v>
      </c>
      <c r="HM326" s="60" t="n">
        <f aca="false">$G$27/FW326*(HH326-1)-HJ326-HI326*(2*FL326/FV326-$G$27/FW326)</f>
        <v>0.198812070380318</v>
      </c>
      <c r="HN326" s="60" t="n">
        <f aca="false">$H$27/FW326*(HH326-1)-HJ326-HI326*(2*FM326/FV326-$H$27/FW326)</f>
        <v>0.198812070380318</v>
      </c>
      <c r="HO326" s="60" t="n">
        <f aca="false">$I$27/FW326*(HH326-1)-HJ326-HI326*(2*FN326/FV326-$I$27/FW326)</f>
        <v>0.198812070380318</v>
      </c>
      <c r="HP326" s="60" t="n">
        <f aca="false">$J$27/FW326*(HH326-1)-HJ326-HI326*(2*FO326/FV326-$J$27/FW326)</f>
        <v>0.198812070380318</v>
      </c>
      <c r="HQ326" s="60" t="n">
        <f aca="false">$K$27/FW326*(HH326-1)-HJ326-HI326*(2*FP326/FV326-$K$27/FW326)</f>
        <v>0.198812070380318</v>
      </c>
      <c r="HR326" s="60" t="n">
        <f aca="false">$L$27/FW326*(HH326-1)-HJ326-HI326*(2*FQ326/FV326-$L$27/FW326)</f>
        <v>0.198812070380318</v>
      </c>
      <c r="HS326" s="60" t="n">
        <f aca="false">$M$27/FW326*(HH326-1)-HJ326-HI326*(2*FR326/FV326-$M$27/FW326)</f>
        <v>0.198812070380318</v>
      </c>
      <c r="HT326" s="60" t="n">
        <f aca="false">$N$27/FW326*(HH326-1)-HJ326-HI326*(2*FS326/FV326-$N$27/FW326)</f>
        <v>0.198812070380318</v>
      </c>
      <c r="HU326" s="60" t="n">
        <f aca="false">$O$27/FW326*(HH326-1)-HJ326-HI326*(2*FT326/FV326-$O$27/FW326)</f>
        <v>0.198812070380318</v>
      </c>
      <c r="HV326" s="60" t="n">
        <f aca="false">$P$27/FW326*(HH326-1)-HJ326-HI326*(2*FU326/FV326-$P$27/FW326)</f>
        <v>0.198812070380318</v>
      </c>
      <c r="HW326" s="60" t="n">
        <f aca="false">FY326/HH326&gt;$C$22</f>
        <v>0</v>
      </c>
      <c r="HX326" s="60" t="n">
        <f aca="false">IF($E$13&gt;0,MAX(-300,MIN(300,EW326-HK326)),0)</f>
        <v>0</v>
      </c>
      <c r="HY326" s="60" t="n">
        <f aca="false">IF($F$13&gt;0,MAX(-300,MIN(300,EX326-HL326)),0)</f>
        <v>0</v>
      </c>
      <c r="HZ326" s="60" t="n">
        <f aca="false">IF($G$13&gt;0,MAX(-300,MIN(300,EY326-HM326)),0)</f>
        <v>0</v>
      </c>
      <c r="IA326" s="60" t="n">
        <f aca="false">IF($H$13&gt;0,MAX(-300,MIN(300,EZ326-HN326)),0)</f>
        <v>0</v>
      </c>
      <c r="IB326" s="60" t="n">
        <f aca="false">IF($I$13&gt;0,MAX(-300,MIN(300,FA326-HO326)),0)</f>
        <v>0</v>
      </c>
      <c r="IC326" s="60" t="n">
        <f aca="false">IF($J$13&gt;0,MAX(-300,MIN(300,FB326-HP326)),0)</f>
        <v>0</v>
      </c>
      <c r="ID326" s="60" t="n">
        <f aca="false">IF($K$13&gt;0,MAX(-300,MIN(300,FC326-HQ326)),0)</f>
        <v>0</v>
      </c>
      <c r="IE326" s="60" t="n">
        <f aca="false">IF($L$13&gt;0,MAX(-300,MIN(300,FD326-HR326)),0)</f>
        <v>0</v>
      </c>
      <c r="IF326" s="60" t="n">
        <f aca="false">IF($M$13&gt;0,MAX(-300,MIN(300,FE326-HS326)),0)</f>
        <v>0</v>
      </c>
      <c r="IG326" s="60" t="n">
        <f aca="false">IF($N$13&gt;0,MAX(-300,MIN(300,FF326-HT326)),0)</f>
        <v>0</v>
      </c>
      <c r="IH326" s="60" t="n">
        <f aca="false">IF($O$13&gt;0,MAX(-300,MIN(300,FG326-HU326)),0)</f>
        <v>0</v>
      </c>
      <c r="II326" s="60" t="n">
        <f aca="false">IF($P$13&gt;0,MAX(-300,MIN(300,FH326-HV326)),0)</f>
        <v>0</v>
      </c>
      <c r="IJ326" s="60" t="n">
        <f aca="false">SUMXMY2(HX326:II326,B326:M326)</f>
        <v>0</v>
      </c>
      <c r="IK326" s="60" t="n">
        <f aca="false">SUMSQ(B326:M326)</f>
        <v>0</v>
      </c>
    </row>
    <row r="327" customFormat="false" ht="15" hidden="false" customHeight="false" outlineLevel="0" collapsed="false">
      <c r="A327" s="59" t="n">
        <v>30</v>
      </c>
      <c r="B327" s="60" t="n">
        <f aca="false">HX326</f>
        <v>0</v>
      </c>
      <c r="C327" s="60" t="n">
        <f aca="false">HY326</f>
        <v>0</v>
      </c>
      <c r="D327" s="60" t="n">
        <f aca="false">HZ326</f>
        <v>0</v>
      </c>
      <c r="E327" s="60" t="n">
        <f aca="false">IA326</f>
        <v>0</v>
      </c>
      <c r="F327" s="60" t="n">
        <f aca="false">IB326</f>
        <v>0</v>
      </c>
      <c r="G327" s="60" t="n">
        <f aca="false">IC326</f>
        <v>0</v>
      </c>
      <c r="H327" s="60" t="n">
        <f aca="false">ID326</f>
        <v>0</v>
      </c>
      <c r="I327" s="60" t="n">
        <f aca="false">IE326</f>
        <v>0</v>
      </c>
      <c r="J327" s="60" t="n">
        <f aca="false">IF326</f>
        <v>0</v>
      </c>
      <c r="K327" s="60" t="n">
        <f aca="false">IG326</f>
        <v>0</v>
      </c>
      <c r="L327" s="60" t="n">
        <f aca="false">IH326</f>
        <v>0</v>
      </c>
      <c r="M327" s="60" t="n">
        <f aca="false">II326</f>
        <v>0</v>
      </c>
      <c r="N327" s="60" t="n">
        <f aca="false">EXP(B327)</f>
        <v>1</v>
      </c>
      <c r="O327" s="60" t="n">
        <f aca="false">EXP(C327)</f>
        <v>1</v>
      </c>
      <c r="P327" s="60" t="n">
        <f aca="false">EXP(D327)</f>
        <v>1</v>
      </c>
      <c r="Q327" s="60" t="n">
        <f aca="false">EXP(E327)</f>
        <v>1</v>
      </c>
      <c r="R327" s="60" t="n">
        <f aca="false">EXP(F327)</f>
        <v>1</v>
      </c>
      <c r="S327" s="60" t="n">
        <f aca="false">EXP(G327)</f>
        <v>1</v>
      </c>
      <c r="T327" s="60" t="n">
        <f aca="false">EXP(H327)</f>
        <v>1</v>
      </c>
      <c r="U327" s="60" t="n">
        <f aca="false">EXP(I327)</f>
        <v>1</v>
      </c>
      <c r="V327" s="60" t="n">
        <f aca="false">EXP(J327)</f>
        <v>1</v>
      </c>
      <c r="W327" s="60" t="n">
        <f aca="false">EXP(K327)</f>
        <v>1</v>
      </c>
      <c r="X327" s="60" t="n">
        <f aca="false">EXP(L327)</f>
        <v>1</v>
      </c>
      <c r="Y327" s="60" t="n">
        <f aca="false">EXP(M327)</f>
        <v>1</v>
      </c>
      <c r="Z327" s="60" t="n">
        <f aca="false">MAX(N327:Y327)</f>
        <v>1</v>
      </c>
      <c r="AA327" s="60" t="n">
        <f aca="false">MIN(N327:Y327)</f>
        <v>1</v>
      </c>
      <c r="AB327" s="60" t="n">
        <f aca="false">AND(Z327&gt;1,AA327&lt;1)</f>
        <v>0</v>
      </c>
      <c r="AC327" s="60" t="n">
        <f aca="false">IF(AB327,1/(1-Z327),0)</f>
        <v>0</v>
      </c>
      <c r="AD327" s="60" t="n">
        <f aca="false">IF(AB327,1/(1-AA327),1)</f>
        <v>1</v>
      </c>
      <c r="AE327" s="60" t="n">
        <f aca="false">IF(AB327,MIN(MAX(BI326,AC327+0.000000001*(AD327-AC327)),AD327-0.000000001*(AD327-AC327)),IF(AA327&gt;=1,1,0))</f>
        <v>1</v>
      </c>
      <c r="AF327" s="60" t="n">
        <f aca="false">SUMPRODUCT($E$13:$P$13*(N327:Y327-1)/(1+AE327*(N327:Y327-1)))</f>
        <v>0</v>
      </c>
      <c r="AG327" s="60" t="n">
        <f aca="false">-SUMPRODUCT($E$13:$P$13*(N327:Y327-1)^2/(1+AE327*(N327:Y327-1))^2)</f>
        <v>-0</v>
      </c>
      <c r="AH327" s="60" t="n">
        <f aca="false">IF(OR(NOT(AB327),AG327=0),AE327,IF(AE327-AF327/AG327&lt;=AC327,(AE327+AC327)/2,IF(AE327-AF327/AG327&gt;=AD327,(AE327+AD327)/2,AE327-AF327/AG327)))</f>
        <v>1</v>
      </c>
      <c r="AI327" s="60" t="n">
        <f aca="false">SUMPRODUCT($E$13:$P$13*(N327:Y327-1)/(1+AH327*(N327:Y327-1)))</f>
        <v>0</v>
      </c>
      <c r="AJ327" s="60" t="n">
        <f aca="false">-SUMPRODUCT($E$13:$P$13*(N327:Y327-1)^2/(1+AH327*(N327:Y327-1))^2)</f>
        <v>-0</v>
      </c>
      <c r="AK327" s="60" t="n">
        <f aca="false">IF(OR(NOT(AB327),AJ327=0),AH327,IF(AH327-AI327/AJ327&lt;=AC327,(AH327+AC327)/2,IF(AH327-AI327/AJ327&gt;=AD327,(AH327+AD327)/2,AH327-AI327/AJ327)))</f>
        <v>1</v>
      </c>
      <c r="AL327" s="60" t="n">
        <f aca="false">SUMPRODUCT($E$13:$P$13*(N327:Y327-1)/(1+AK327*(N327:Y327-1)))</f>
        <v>0</v>
      </c>
      <c r="AM327" s="60" t="n">
        <f aca="false">-SUMPRODUCT($E$13:$P$13*(N327:Y327-1)^2/(1+AK327*(N327:Y327-1))^2)</f>
        <v>-0</v>
      </c>
      <c r="AN327" s="60" t="n">
        <f aca="false">IF(OR(NOT(AB327),AM327=0),AK327,IF(AK327-AL327/AM327&lt;=AC327,(AK327+AC327)/2,IF(AK327-AL327/AM327&gt;=AD327,(AK327+AD327)/2,AK327-AL327/AM327)))</f>
        <v>1</v>
      </c>
      <c r="AO327" s="60" t="n">
        <f aca="false">SUMPRODUCT($E$13:$P$13*(N327:Y327-1)/(1+AN327*(N327:Y327-1)))</f>
        <v>0</v>
      </c>
      <c r="AP327" s="60" t="n">
        <f aca="false">-SUMPRODUCT($E$13:$P$13*(N327:Y327-1)^2/(1+AN327*(N327:Y327-1))^2)</f>
        <v>-0</v>
      </c>
      <c r="AQ327" s="60" t="n">
        <f aca="false">IF(OR(NOT(AB327),AP327=0),AN327,IF(AN327-AO327/AP327&lt;=AC327,(AN327+AC327)/2,IF(AN327-AO327/AP327&gt;=AD327,(AN327+AD327)/2,AN327-AO327/AP327)))</f>
        <v>1</v>
      </c>
      <c r="AR327" s="60" t="n">
        <f aca="false">SUMPRODUCT($E$13:$P$13*(N327:Y327-1)/(1+AQ327*(N327:Y327-1)))</f>
        <v>0</v>
      </c>
      <c r="AS327" s="60" t="n">
        <f aca="false">-SUMPRODUCT($E$13:$P$13*(N327:Y327-1)^2/(1+AQ327*(N327:Y327-1))^2)</f>
        <v>-0</v>
      </c>
      <c r="AT327" s="60" t="n">
        <f aca="false">IF(OR(NOT(AB327),AS327=0),AQ327,IF(AQ327-AR327/AS327&lt;=AC327,(AQ327+AC327)/2,IF(AQ327-AR327/AS327&gt;=AD327,(AQ327+AD327)/2,AQ327-AR327/AS327)))</f>
        <v>1</v>
      </c>
      <c r="AU327" s="60" t="n">
        <f aca="false">SUMPRODUCT($E$13:$P$13*(N327:Y327-1)/(1+AT327*(N327:Y327-1)))</f>
        <v>0</v>
      </c>
      <c r="AV327" s="60" t="n">
        <f aca="false">-SUMPRODUCT($E$13:$P$13*(N327:Y327-1)^2/(1+AT327*(N327:Y327-1))^2)</f>
        <v>-0</v>
      </c>
      <c r="AW327" s="60" t="n">
        <f aca="false">IF(OR(NOT(AB327),AV327=0),AT327,IF(AT327-AU327/AV327&lt;=AC327,(AT327+AC327)/2,IF(AT327-AU327/AV327&gt;=AD327,(AT327+AD327)/2,AT327-AU327/AV327)))</f>
        <v>1</v>
      </c>
      <c r="AX327" s="60" t="n">
        <f aca="false">SUMPRODUCT($E$13:$P$13*(N327:Y327-1)/(1+AW327*(N327:Y327-1)))</f>
        <v>0</v>
      </c>
      <c r="AY327" s="60" t="n">
        <f aca="false">-SUMPRODUCT($E$13:$P$13*(N327:Y327-1)^2/(1+AW327*(N327:Y327-1))^2)</f>
        <v>-0</v>
      </c>
      <c r="AZ327" s="60" t="n">
        <f aca="false">IF(OR(NOT(AB327),AY327=0),AW327,IF(AW327-AX327/AY327&lt;=AC327,(AW327+AC327)/2,IF(AW327-AX327/AY327&gt;=AD327,(AW327+AD327)/2,AW327-AX327/AY327)))</f>
        <v>1</v>
      </c>
      <c r="BA327" s="60" t="n">
        <f aca="false">SUMPRODUCT($E$13:$P$13*(N327:Y327-1)/(1+AZ327*(N327:Y327-1)))</f>
        <v>0</v>
      </c>
      <c r="BB327" s="60" t="n">
        <f aca="false">-SUMPRODUCT($E$13:$P$13*(N327:Y327-1)^2/(1+AZ327*(N327:Y327-1))^2)</f>
        <v>-0</v>
      </c>
      <c r="BC327" s="60" t="n">
        <f aca="false">IF(OR(NOT(AB327),BB327=0),AZ327,IF(AZ327-BA327/BB327&lt;=AC327,(AZ327+AC327)/2,IF(AZ327-BA327/BB327&gt;=AD327,(AZ327+AD327)/2,AZ327-BA327/BB327)))</f>
        <v>1</v>
      </c>
      <c r="BD327" s="60" t="n">
        <f aca="false">SUMPRODUCT($E$13:$P$13*(N327:Y327-1)/(1+BC327*(N327:Y327-1)))</f>
        <v>0</v>
      </c>
      <c r="BE327" s="60" t="n">
        <f aca="false">-SUMPRODUCT($E$13:$P$13*(N327:Y327-1)^2/(1+BC327*(N327:Y327-1))^2)</f>
        <v>-0</v>
      </c>
      <c r="BF327" s="60" t="n">
        <f aca="false">IF(OR(NOT(AB327),BE327=0),BC327,IF(BC327-BD327/BE327&lt;=AC327,(BC327+AC327)/2,IF(BC327-BD327/BE327&gt;=AD327,(BC327+AD327)/2,BC327-BD327/BE327)))</f>
        <v>1</v>
      </c>
      <c r="BG327" s="60" t="n">
        <f aca="false">SUMPRODUCT($E$13:$P$13*(N327:Y327-1)/(1+BF327*(N327:Y327-1)))</f>
        <v>0</v>
      </c>
      <c r="BH327" s="60" t="n">
        <f aca="false">-SUMPRODUCT($E$13:$P$13*(N327:Y327-1)^2/(1+BF327*(N327:Y327-1))^2)</f>
        <v>-0</v>
      </c>
      <c r="BI327" s="60" t="n">
        <f aca="false">IF(OR(NOT(AB327),BH327=0),BF327,IF(BF327-BG327/BH327&lt;=AC327,(BF327+AC327)/2,IF(BF327-BG327/BH327&gt;=AD327,(BF327+AD327)/2,BF327-BG327/BH327)))</f>
        <v>1</v>
      </c>
      <c r="BJ327" s="60" t="n">
        <f aca="false">$E$13/(1+BI327*(N327-1))</f>
        <v>1</v>
      </c>
      <c r="BK327" s="60" t="n">
        <f aca="false">$F$13/(1+BI327*(O327-1))</f>
        <v>0</v>
      </c>
      <c r="BL327" s="60" t="n">
        <f aca="false">$G$13/(1+BI327*(P327-1))</f>
        <v>0</v>
      </c>
      <c r="BM327" s="60" t="n">
        <f aca="false">$H$13/(1+BI327*(Q327-1))</f>
        <v>0</v>
      </c>
      <c r="BN327" s="60" t="n">
        <f aca="false">$I$13/(1+BI327*(R327-1))</f>
        <v>0</v>
      </c>
      <c r="BO327" s="60" t="n">
        <f aca="false">$J$13/(1+BI327*(S327-1))</f>
        <v>0</v>
      </c>
      <c r="BP327" s="60" t="n">
        <f aca="false">$K$13/(1+BI327*(T327-1))</f>
        <v>0</v>
      </c>
      <c r="BQ327" s="60" t="n">
        <f aca="false">$L$13/(1+BI327*(U327-1))</f>
        <v>0</v>
      </c>
      <c r="BR327" s="60" t="n">
        <f aca="false">$M$13/(1+BI327*(V327-1))</f>
        <v>0</v>
      </c>
      <c r="BS327" s="60" t="n">
        <f aca="false">$N$13/(1+BI327*(W327-1))</f>
        <v>0</v>
      </c>
      <c r="BT327" s="60" t="n">
        <f aca="false">$O$13/(1+BI327*(X327-1))</f>
        <v>0</v>
      </c>
      <c r="BU327" s="60" t="n">
        <f aca="false">$P$13/(1+BI327*(Y327-1))</f>
        <v>0</v>
      </c>
      <c r="BV327" s="60" t="n">
        <f aca="false">SUM(BJ327:BU327)</f>
        <v>1</v>
      </c>
      <c r="BW327" s="60" t="n">
        <f aca="false">SUMPRODUCT(N327:Y327,BJ327:BU327)</f>
        <v>1</v>
      </c>
      <c r="BX327" s="60" t="n">
        <f aca="false">BJ327/BV327</f>
        <v>1</v>
      </c>
      <c r="BY327" s="60" t="n">
        <f aca="false">BK327/BV327</f>
        <v>0</v>
      </c>
      <c r="BZ327" s="60" t="n">
        <f aca="false">BL327/BV327</f>
        <v>0</v>
      </c>
      <c r="CA327" s="60" t="n">
        <f aca="false">BM327/BV327</f>
        <v>0</v>
      </c>
      <c r="CB327" s="60" t="n">
        <f aca="false">BN327/BV327</f>
        <v>0</v>
      </c>
      <c r="CC327" s="60" t="n">
        <f aca="false">BO327/BV327</f>
        <v>0</v>
      </c>
      <c r="CD327" s="60" t="n">
        <f aca="false">BP327/BV327</f>
        <v>0</v>
      </c>
      <c r="CE327" s="60" t="n">
        <f aca="false">BQ327/BV327</f>
        <v>0</v>
      </c>
      <c r="CF327" s="60" t="n">
        <f aca="false">BR327/BV327</f>
        <v>0</v>
      </c>
      <c r="CG327" s="60" t="n">
        <f aca="false">BS327/BV327</f>
        <v>0</v>
      </c>
      <c r="CH327" s="60" t="n">
        <f aca="false">BT327/BV327</f>
        <v>0</v>
      </c>
      <c r="CI327" s="60" t="n">
        <f aca="false">BU327/BV327</f>
        <v>0</v>
      </c>
      <c r="CJ327" s="60" t="n">
        <f aca="false">N327*BJ327/BW327</f>
        <v>1</v>
      </c>
      <c r="CK327" s="60" t="n">
        <f aca="false">O327*BK327/BW327</f>
        <v>0</v>
      </c>
      <c r="CL327" s="60" t="n">
        <f aca="false">P327*BL327/BW327</f>
        <v>0</v>
      </c>
      <c r="CM327" s="60" t="n">
        <f aca="false">Q327*BM327/BW327</f>
        <v>0</v>
      </c>
      <c r="CN327" s="60" t="n">
        <f aca="false">R327*BN327/BW327</f>
        <v>0</v>
      </c>
      <c r="CO327" s="60" t="n">
        <f aca="false">S327*BO327/BW327</f>
        <v>0</v>
      </c>
      <c r="CP327" s="60" t="n">
        <f aca="false">T327*BP327/BW327</f>
        <v>0</v>
      </c>
      <c r="CQ327" s="60" t="n">
        <f aca="false">U327*BQ327/BW327</f>
        <v>0</v>
      </c>
      <c r="CR327" s="60" t="n">
        <f aca="false">V327*BR327/BW327</f>
        <v>0</v>
      </c>
      <c r="CS327" s="60" t="n">
        <f aca="false">W327*BS327/BW327</f>
        <v>0</v>
      </c>
      <c r="CT327" s="60" t="n">
        <f aca="false">X327*BT327/BW327</f>
        <v>0</v>
      </c>
      <c r="CU327" s="60" t="n">
        <f aca="false">Y327*BU327/BW327</f>
        <v>0</v>
      </c>
      <c r="CV327" s="60" t="n">
        <f aca="false">$E$28*SUMPRODUCT($E$31:$P$31,BX327:CI327,$E$28:$P$28)</f>
        <v>0.184416866619846</v>
      </c>
      <c r="CW327" s="60" t="n">
        <f aca="false">$F$28*SUMPRODUCT($E$32:$P$32,BX327:CI327,$E$28:$P$28)</f>
        <v>0</v>
      </c>
      <c r="CX327" s="60" t="n">
        <f aca="false">$G$28*SUMPRODUCT($E$33:$P$33,BX327:CI327,$E$28:$P$28)</f>
        <v>0</v>
      </c>
      <c r="CY327" s="60" t="n">
        <f aca="false">$H$28*SUMPRODUCT($E$34:$P$34,BX327:CI327,$E$28:$P$28)</f>
        <v>0</v>
      </c>
      <c r="CZ327" s="60" t="n">
        <f aca="false">$I$28*SUMPRODUCT($E$35:$P$35,BX327:CI327,$E$28:$P$28)</f>
        <v>0</v>
      </c>
      <c r="DA327" s="60" t="n">
        <f aca="false">$J$28*SUMPRODUCT($E$36:$P$36,BX327:CI327,$E$28:$P$28)</f>
        <v>0</v>
      </c>
      <c r="DB327" s="60" t="n">
        <f aca="false">$K$28*SUMPRODUCT($E$37:$P$37,BX327:CI327,$E$28:$P$28)</f>
        <v>0</v>
      </c>
      <c r="DC327" s="60" t="n">
        <f aca="false">$L$28*SUMPRODUCT($E$38:$P$38,BX327:CI327,$E$28:$P$28)</f>
        <v>0</v>
      </c>
      <c r="DD327" s="60" t="n">
        <f aca="false">$M$28*SUMPRODUCT($E$39:$P$39,BX327:CI327,$E$28:$P$28)</f>
        <v>0</v>
      </c>
      <c r="DE327" s="60" t="n">
        <f aca="false">$N$28*SUMPRODUCT($E$40:$P$40,BX327:CI327,$E$28:$P$28)</f>
        <v>0</v>
      </c>
      <c r="DF327" s="60" t="n">
        <f aca="false">$O$28*SUMPRODUCT($E$41:$P$41,BX327:CI327,$E$28:$P$28)</f>
        <v>0</v>
      </c>
      <c r="DG327" s="60" t="n">
        <f aca="false">$P$28*SUMPRODUCT($E$42:$P$42,BX327:CI327,$E$28:$P$28)</f>
        <v>0</v>
      </c>
      <c r="DH327" s="60" t="n">
        <f aca="false">SUMPRODUCT(BX327:CI327,CV327:DG327)</f>
        <v>0.184416866619846</v>
      </c>
      <c r="DI327" s="60" t="n">
        <f aca="false">SUMPRODUCT(BX327:CI327,$E$27:$P$27)</f>
        <v>2.67389635063809E-005</v>
      </c>
      <c r="DJ327" s="60" t="n">
        <f aca="false">DH327*$C$9/($C$10*$C$8)^2</f>
        <v>0.21776909410545</v>
      </c>
      <c r="DK327" s="60" t="n">
        <f aca="false">DI327*$C$9/($C$10*$C$8)</f>
        <v>0.0918845243259994</v>
      </c>
      <c r="DL327" s="60" t="n">
        <f aca="false">CHOOSE($C$7,-(1+DK327),-1,-(1-DK327))</f>
        <v>-0.908115475674001</v>
      </c>
      <c r="DM327" s="60" t="n">
        <f aca="false">CHOOSE($C$7,DJ327,DJ327-DK327-DK327^2,DJ327-3*DK327^2-2*DK327)</f>
        <v>0.00867174802160559</v>
      </c>
      <c r="DN327" s="60" t="n">
        <f aca="false">CHOOSE($C$7,-DJ327*DK327,-DJ327*DK327,-(DJ327*DK327-DK327^2-DK327^3))</f>
        <v>-0.0107910842936637</v>
      </c>
      <c r="DO327" s="60" t="n">
        <f aca="false">DM327-DL327^2/3</f>
        <v>-0.266219491031267</v>
      </c>
      <c r="DP327" s="60" t="n">
        <f aca="false">2*DL327^3/27-DL327*DM327/3+DN327</f>
        <v>-0.0636400988362784</v>
      </c>
      <c r="DQ327" s="60" t="n">
        <f aca="false">DP327^2/4+DO327^3/27</f>
        <v>0.000313710901361829</v>
      </c>
      <c r="DR327" s="60" t="n">
        <f aca="false">-DP327/2-IF(DP327&gt;=0,1,-1)*SQRT(MAX(DQ327,0))</f>
        <v>0.0495319352963236</v>
      </c>
      <c r="DS327" s="60" t="n">
        <f aca="false">SIGN(DR327)*ABS(DR327)^(1/3)</f>
        <v>0.367249967174439</v>
      </c>
      <c r="DT327" s="60" t="n">
        <f aca="false">IF(DS327=0,0,DS327-DO327/(3*DS327))</f>
        <v>0.60888329127384</v>
      </c>
      <c r="DU327" s="60" t="n">
        <f aca="false">2*SQRT(MAX(-DO327,0)/3)</f>
        <v>0.595784626668918</v>
      </c>
      <c r="DV327" s="60" t="n">
        <f aca="false">ACOS(IF(DU327=0,0,MAX(-1,MIN(1,3*DP327/(DO327*DU327)))))</f>
        <v>0</v>
      </c>
      <c r="DW327" s="60" t="n">
        <f aca="false">DU327*COS(DV327/3)</f>
        <v>0.595784626668918</v>
      </c>
      <c r="DX327" s="60" t="n">
        <f aca="false">IF(DQ327&lt;0,DW327,DT327)-DL327/3</f>
        <v>0.91158844983184</v>
      </c>
      <c r="DY327" s="60" t="n">
        <f aca="false">IFERROR((((DX327+DL327)*DX327+DM327)*DX327+DN327)/((3*DX327+2*DL327)*DX327+DM327),0)</f>
        <v>0</v>
      </c>
      <c r="DZ327" s="60" t="n">
        <f aca="false">IF(ABS(DY327)&lt;0.1*ABS(DX327),DX327-DY327,DX327)</f>
        <v>0.91158844983184</v>
      </c>
      <c r="EA327" s="60" t="n">
        <f aca="false">IFERROR((((DZ327+DL327)*DZ327+DM327)*DZ327+DN327)/((3*DZ327+2*DL327)*DZ327+DM327),0)</f>
        <v>0</v>
      </c>
      <c r="EB327" s="60" t="n">
        <f aca="false">IF(ABS(EA327)&lt;0.1*ABS(DZ327),DZ327-EA327,DZ327)</f>
        <v>0.91158844983184</v>
      </c>
      <c r="EC327" s="60" t="n">
        <f aca="false">-DN327/EB327</f>
        <v>0.0118376711504565</v>
      </c>
      <c r="ED327" s="60" t="n">
        <f aca="false">(DM327-EC327)/EB327</f>
        <v>-0.00347297415783941</v>
      </c>
      <c r="EE327" s="60" t="n">
        <f aca="false">ED327^2-4*EC327</f>
        <v>-0.0473386230523248</v>
      </c>
      <c r="EF327" s="60" t="n">
        <f aca="false">IF(EE327&gt;=0,(ED327+IF(ED327&gt;=0,1,-1)*SQRT(EE327))/2,0)</f>
        <v>0</v>
      </c>
      <c r="EG327" s="60" t="n">
        <f aca="false">IF(AND(EE327&gt;=0,EF327&lt;&gt;0),MIN(EF327,EC327/EF327),-1)</f>
        <v>-1</v>
      </c>
      <c r="EH327" s="60" t="n">
        <f aca="false">AND(EE327&gt;=0,EG327&gt;DK327,ABS(EB327-EG327)&gt;=0.00005*MAX(EB327,EG327))</f>
        <v>0</v>
      </c>
      <c r="EI327" s="60" t="n">
        <f aca="false">IF(EH327,IFERROR((((EG327+DL327)*EG327+DM327)*EG327+DN327)/((3*EG327+2*DL327)*EG327+DM327),0),0)</f>
        <v>0</v>
      </c>
      <c r="EJ327" s="60" t="n">
        <f aca="false">IF(ABS(EI327)&lt;0.1*ABS(EG327),EG327-EI327,EG327)</f>
        <v>-1</v>
      </c>
      <c r="EK327" s="60" t="n">
        <f aca="false">IF(EH327,IFERROR((((EJ327+DL327)*EJ327+DM327)*EJ327+DN327)/((3*EJ327+2*DL327)*EJ327+DM327),0),0)</f>
        <v>0</v>
      </c>
      <c r="EL327" s="60" t="n">
        <f aca="false">IF(ABS(EK327)&lt;0.1*ABS(EJ327),EJ327-EK327,EJ327)</f>
        <v>-1</v>
      </c>
      <c r="EM327" s="60" t="n">
        <f aca="false">IF(EH327,MAX(EB327,EL327),EB327)</f>
        <v>0.91158844983184</v>
      </c>
      <c r="EN327" s="60" t="n">
        <f aca="false">IF(EH327,MIN(EB327,EL327),-1)</f>
        <v>-1</v>
      </c>
      <c r="EO327" s="60" t="n">
        <f aca="false">CHOOSE($C$7,DJ327/EM327,DJ327/DK327*LN(1+DK327/EM327),DJ327/(2*SQRT(2)*DK327)*LN((EM327+(1+SQRT(2))*DK327)/(EM327+(1-SQRT(2))*DK327)))</f>
        <v>0.218240791233887</v>
      </c>
      <c r="EP327" s="60" t="n">
        <f aca="false">EM327-1-LN(EM327-DK327)-EO327</f>
        <v>-0.107840271021729</v>
      </c>
      <c r="EQ327" s="60" t="n">
        <f aca="false">IF(EH327,CHOOSE($C$7,DJ327/EN327,DJ327/DK327*LN(1+DK327/EN327),DJ327/(2*SQRT(2)*DK327)*LN((EN327+(1+SQRT(2))*DK327)/(EN327+(1-SQRT(2))*DK327))),0)</f>
        <v>0</v>
      </c>
      <c r="ER327" s="60" t="n">
        <f aca="false">IF(EH327,EN327-1-LN(EN327-DK327)-EQ327,0)</f>
        <v>0</v>
      </c>
      <c r="ES327" s="60" t="n">
        <f aca="false">AND(EH327,ER327&lt;EP327)</f>
        <v>0</v>
      </c>
      <c r="ET327" s="60" t="n">
        <f aca="false">IF(ES327,EN327,EM327)</f>
        <v>0.91158844983184</v>
      </c>
      <c r="EU327" s="60" t="n">
        <f aca="false">IF(ES327,EQ327,EO327)</f>
        <v>0.218240791233887</v>
      </c>
      <c r="EV327" s="60" t="n">
        <f aca="false">LN(ET327-DK327)</f>
        <v>-0.198812070380318</v>
      </c>
      <c r="EW327" s="60" t="n">
        <f aca="false">$E$27/DI327*(ET327-1)-EV327-EU327*(2*CV327/DH327-$E$27/DI327)</f>
        <v>-0.107840271021729</v>
      </c>
      <c r="EX327" s="60" t="n">
        <f aca="false">$F$27/DI327*(ET327-1)-EV327-EU327*(2*CW327/DH327-$F$27/DI327)</f>
        <v>0.198812070380318</v>
      </c>
      <c r="EY327" s="60" t="n">
        <f aca="false">$G$27/DI327*(ET327-1)-EV327-EU327*(2*CX327/DH327-$G$27/DI327)</f>
        <v>0.198812070380318</v>
      </c>
      <c r="EZ327" s="60" t="n">
        <f aca="false">$H$27/DI327*(ET327-1)-EV327-EU327*(2*CY327/DH327-$H$27/DI327)</f>
        <v>0.198812070380318</v>
      </c>
      <c r="FA327" s="60" t="n">
        <f aca="false">$I$27/DI327*(ET327-1)-EV327-EU327*(2*CZ327/DH327-$I$27/DI327)</f>
        <v>0.198812070380318</v>
      </c>
      <c r="FB327" s="60" t="n">
        <f aca="false">$J$27/DI327*(ET327-1)-EV327-EU327*(2*DA327/DH327-$J$27/DI327)</f>
        <v>0.198812070380318</v>
      </c>
      <c r="FC327" s="60" t="n">
        <f aca="false">$K$27/DI327*(ET327-1)-EV327-EU327*(2*DB327/DH327-$K$27/DI327)</f>
        <v>0.198812070380318</v>
      </c>
      <c r="FD327" s="60" t="n">
        <f aca="false">$L$27/DI327*(ET327-1)-EV327-EU327*(2*DC327/DH327-$L$27/DI327)</f>
        <v>0.198812070380318</v>
      </c>
      <c r="FE327" s="60" t="n">
        <f aca="false">$M$27/DI327*(ET327-1)-EV327-EU327*(2*DD327/DH327-$M$27/DI327)</f>
        <v>0.198812070380318</v>
      </c>
      <c r="FF327" s="60" t="n">
        <f aca="false">$N$27/DI327*(ET327-1)-EV327-EU327*(2*DE327/DH327-$N$27/DI327)</f>
        <v>0.198812070380318</v>
      </c>
      <c r="FG327" s="60" t="n">
        <f aca="false">$O$27/DI327*(ET327-1)-EV327-EU327*(2*DF327/DH327-$O$27/DI327)</f>
        <v>0.198812070380318</v>
      </c>
      <c r="FH327" s="60" t="n">
        <f aca="false">$P$27/DI327*(ET327-1)-EV327-EU327*(2*DG327/DH327-$P$27/DI327)</f>
        <v>0.198812070380318</v>
      </c>
      <c r="FI327" s="60" t="n">
        <f aca="false">DK327/ET327&gt;$C$22</f>
        <v>0</v>
      </c>
      <c r="FJ327" s="60" t="n">
        <f aca="false">$E$28*SUMPRODUCT($E$31:$P$31,CJ327:CU327,$E$28:$P$28)</f>
        <v>0.184416866619846</v>
      </c>
      <c r="FK327" s="60" t="n">
        <f aca="false">$F$28*SUMPRODUCT($E$32:$P$32,CJ327:CU327,$E$28:$P$28)</f>
        <v>0</v>
      </c>
      <c r="FL327" s="60" t="n">
        <f aca="false">$G$28*SUMPRODUCT($E$33:$P$33,CJ327:CU327,$E$28:$P$28)</f>
        <v>0</v>
      </c>
      <c r="FM327" s="60" t="n">
        <f aca="false">$H$28*SUMPRODUCT($E$34:$P$34,CJ327:CU327,$E$28:$P$28)</f>
        <v>0</v>
      </c>
      <c r="FN327" s="60" t="n">
        <f aca="false">$I$28*SUMPRODUCT($E$35:$P$35,CJ327:CU327,$E$28:$P$28)</f>
        <v>0</v>
      </c>
      <c r="FO327" s="60" t="n">
        <f aca="false">$J$28*SUMPRODUCT($E$36:$P$36,CJ327:CU327,$E$28:$P$28)</f>
        <v>0</v>
      </c>
      <c r="FP327" s="60" t="n">
        <f aca="false">$K$28*SUMPRODUCT($E$37:$P$37,CJ327:CU327,$E$28:$P$28)</f>
        <v>0</v>
      </c>
      <c r="FQ327" s="60" t="n">
        <f aca="false">$L$28*SUMPRODUCT($E$38:$P$38,CJ327:CU327,$E$28:$P$28)</f>
        <v>0</v>
      </c>
      <c r="FR327" s="60" t="n">
        <f aca="false">$M$28*SUMPRODUCT($E$39:$P$39,CJ327:CU327,$E$28:$P$28)</f>
        <v>0</v>
      </c>
      <c r="FS327" s="60" t="n">
        <f aca="false">$N$28*SUMPRODUCT($E$40:$P$40,CJ327:CU327,$E$28:$P$28)</f>
        <v>0</v>
      </c>
      <c r="FT327" s="60" t="n">
        <f aca="false">$O$28*SUMPRODUCT($E$41:$P$41,CJ327:CU327,$E$28:$P$28)</f>
        <v>0</v>
      </c>
      <c r="FU327" s="60" t="n">
        <f aca="false">$P$28*SUMPRODUCT($E$42:$P$42,CJ327:CU327,$E$28:$P$28)</f>
        <v>0</v>
      </c>
      <c r="FV327" s="60" t="n">
        <f aca="false">SUMPRODUCT(CJ327:CU327,FJ327:FU327)</f>
        <v>0.184416866619846</v>
      </c>
      <c r="FW327" s="60" t="n">
        <f aca="false">SUMPRODUCT(CJ327:CU327,$E$27:$P$27)</f>
        <v>2.67389635063809E-005</v>
      </c>
      <c r="FX327" s="60" t="n">
        <f aca="false">FV327*$C$9/($C$10*$C$8)^2</f>
        <v>0.21776909410545</v>
      </c>
      <c r="FY327" s="60" t="n">
        <f aca="false">FW327*$C$9/($C$10*$C$8)</f>
        <v>0.0918845243259994</v>
      </c>
      <c r="FZ327" s="60" t="n">
        <f aca="false">CHOOSE($C$7,-(1+FY327),-1,-(1-FY327))</f>
        <v>-0.908115475674001</v>
      </c>
      <c r="GA327" s="60" t="n">
        <f aca="false">CHOOSE($C$7,FX327,FX327-FY327-FY327^2,FX327-3*FY327^2-2*FY327)</f>
        <v>0.00867174802160559</v>
      </c>
      <c r="GB327" s="60" t="n">
        <f aca="false">CHOOSE($C$7,-FX327*FY327,-FX327*FY327,-(FX327*FY327-FY327^2-FY327^3))</f>
        <v>-0.0107910842936637</v>
      </c>
      <c r="GC327" s="60" t="n">
        <f aca="false">GA327-FZ327^2/3</f>
        <v>-0.266219491031267</v>
      </c>
      <c r="GD327" s="60" t="n">
        <f aca="false">2*FZ327^3/27-FZ327*GA327/3+GB327</f>
        <v>-0.0636400988362784</v>
      </c>
      <c r="GE327" s="60" t="n">
        <f aca="false">GD327^2/4+GC327^3/27</f>
        <v>0.000313710901361829</v>
      </c>
      <c r="GF327" s="60" t="n">
        <f aca="false">-GD327/2-IF(GD327&gt;=0,1,-1)*SQRT(MAX(GE327,0))</f>
        <v>0.0495319352963236</v>
      </c>
      <c r="GG327" s="60" t="n">
        <f aca="false">SIGN(GF327)*ABS(GF327)^(1/3)</f>
        <v>0.367249967174439</v>
      </c>
      <c r="GH327" s="60" t="n">
        <f aca="false">IF(GG327=0,0,GG327-GC327/(3*GG327))</f>
        <v>0.60888329127384</v>
      </c>
      <c r="GI327" s="60" t="n">
        <f aca="false">2*SQRT(MAX(-GC327,0)/3)</f>
        <v>0.595784626668918</v>
      </c>
      <c r="GJ327" s="60" t="n">
        <f aca="false">ACOS(IF(GI327=0,0,MAX(-1,MIN(1,3*GD327/(GC327*GI327)))))</f>
        <v>0</v>
      </c>
      <c r="GK327" s="60" t="n">
        <f aca="false">GI327*COS(GJ327/3)</f>
        <v>0.595784626668918</v>
      </c>
      <c r="GL327" s="60" t="n">
        <f aca="false">IF(GE327&lt;0,GK327,GH327)-FZ327/3</f>
        <v>0.91158844983184</v>
      </c>
      <c r="GM327" s="60" t="n">
        <f aca="false">IFERROR((((GL327+FZ327)*GL327+GA327)*GL327+GB327)/((3*GL327+2*FZ327)*GL327+GA327),0)</f>
        <v>0</v>
      </c>
      <c r="GN327" s="60" t="n">
        <f aca="false">IF(ABS(GM327)&lt;0.1*ABS(GL327),GL327-GM327,GL327)</f>
        <v>0.91158844983184</v>
      </c>
      <c r="GO327" s="60" t="n">
        <f aca="false">IFERROR((((GN327+FZ327)*GN327+GA327)*GN327+GB327)/((3*GN327+2*FZ327)*GN327+GA327),0)</f>
        <v>0</v>
      </c>
      <c r="GP327" s="60" t="n">
        <f aca="false">IF(ABS(GO327)&lt;0.1*ABS(GN327),GN327-GO327,GN327)</f>
        <v>0.91158844983184</v>
      </c>
      <c r="GQ327" s="60" t="n">
        <f aca="false">-GB327/GP327</f>
        <v>0.0118376711504565</v>
      </c>
      <c r="GR327" s="60" t="n">
        <f aca="false">(GA327-GQ327)/GP327</f>
        <v>-0.00347297415783941</v>
      </c>
      <c r="GS327" s="60" t="n">
        <f aca="false">GR327^2-4*GQ327</f>
        <v>-0.0473386230523248</v>
      </c>
      <c r="GT327" s="60" t="n">
        <f aca="false">IF(GS327&gt;=0,(GR327+IF(GR327&gt;=0,1,-1)*SQRT(GS327))/2,0)</f>
        <v>0</v>
      </c>
      <c r="GU327" s="60" t="n">
        <f aca="false">IF(AND(GS327&gt;=0,GT327&lt;&gt;0),MIN(GT327,GQ327/GT327),-1)</f>
        <v>-1</v>
      </c>
      <c r="GV327" s="60" t="n">
        <f aca="false">AND(GS327&gt;=0,GU327&gt;FY327,ABS(GP327-GU327)&gt;=0.00005*MAX(GP327,GU327))</f>
        <v>0</v>
      </c>
      <c r="GW327" s="60" t="n">
        <f aca="false">IF(GV327,IFERROR((((GU327+FZ327)*GU327+GA327)*GU327+GB327)/((3*GU327+2*FZ327)*GU327+GA327),0),0)</f>
        <v>0</v>
      </c>
      <c r="GX327" s="60" t="n">
        <f aca="false">IF(ABS(GW327)&lt;0.1*ABS(GU327),GU327-GW327,GU327)</f>
        <v>-1</v>
      </c>
      <c r="GY327" s="60" t="n">
        <f aca="false">IF(GV327,IFERROR((((GX327+FZ327)*GX327+GA327)*GX327+GB327)/((3*GX327+2*FZ327)*GX327+GA327),0),0)</f>
        <v>0</v>
      </c>
      <c r="GZ327" s="60" t="n">
        <f aca="false">IF(ABS(GY327)&lt;0.1*ABS(GX327),GX327-GY327,GX327)</f>
        <v>-1</v>
      </c>
      <c r="HA327" s="60" t="n">
        <f aca="false">IF(GV327,MAX(GP327,GZ327),GP327)</f>
        <v>0.91158844983184</v>
      </c>
      <c r="HB327" s="60" t="n">
        <f aca="false">IF(GV327,MIN(GP327,GZ327),-1)</f>
        <v>-1</v>
      </c>
      <c r="HC327" s="60" t="n">
        <f aca="false">CHOOSE($C$7,FX327/HA327,FX327/FY327*LN(1+FY327/HA327),FX327/(2*SQRT(2)*FY327)*LN((HA327+(1+SQRT(2))*FY327)/(HA327+(1-SQRT(2))*FY327)))</f>
        <v>0.218240791233887</v>
      </c>
      <c r="HD327" s="60" t="n">
        <f aca="false">HA327-1-LN(HA327-FY327)-HC327</f>
        <v>-0.107840271021729</v>
      </c>
      <c r="HE327" s="60" t="n">
        <f aca="false">IF(GV327,CHOOSE($C$7,FX327/HB327,FX327/FY327*LN(1+FY327/HB327),FX327/(2*SQRT(2)*FY327)*LN((HB327+(1+SQRT(2))*FY327)/(HB327+(1-SQRT(2))*FY327))),0)</f>
        <v>0</v>
      </c>
      <c r="HF327" s="60" t="n">
        <f aca="false">IF(GV327,HB327-1-LN(HB327-FY327)-HE327,0)</f>
        <v>0</v>
      </c>
      <c r="HG327" s="60" t="n">
        <f aca="false">AND(GV327,HF327&lt;HD327)</f>
        <v>0</v>
      </c>
      <c r="HH327" s="60" t="n">
        <f aca="false">IF(HG327,HB327,HA327)</f>
        <v>0.91158844983184</v>
      </c>
      <c r="HI327" s="60" t="n">
        <f aca="false">IF(HG327,HE327,HC327)</f>
        <v>0.218240791233887</v>
      </c>
      <c r="HJ327" s="60" t="n">
        <f aca="false">LN(HH327-FY327)</f>
        <v>-0.198812070380318</v>
      </c>
      <c r="HK327" s="60" t="n">
        <f aca="false">$E$27/FW327*(HH327-1)-HJ327-HI327*(2*FJ327/FV327-$E$27/FW327)</f>
        <v>-0.107840271021729</v>
      </c>
      <c r="HL327" s="60" t="n">
        <f aca="false">$F$27/FW327*(HH327-1)-HJ327-HI327*(2*FK327/FV327-$F$27/FW327)</f>
        <v>0.198812070380318</v>
      </c>
      <c r="HM327" s="60" t="n">
        <f aca="false">$G$27/FW327*(HH327-1)-HJ327-HI327*(2*FL327/FV327-$G$27/FW327)</f>
        <v>0.198812070380318</v>
      </c>
      <c r="HN327" s="60" t="n">
        <f aca="false">$H$27/FW327*(HH327-1)-HJ327-HI327*(2*FM327/FV327-$H$27/FW327)</f>
        <v>0.198812070380318</v>
      </c>
      <c r="HO327" s="60" t="n">
        <f aca="false">$I$27/FW327*(HH327-1)-HJ327-HI327*(2*FN327/FV327-$I$27/FW327)</f>
        <v>0.198812070380318</v>
      </c>
      <c r="HP327" s="60" t="n">
        <f aca="false">$J$27/FW327*(HH327-1)-HJ327-HI327*(2*FO327/FV327-$J$27/FW327)</f>
        <v>0.198812070380318</v>
      </c>
      <c r="HQ327" s="60" t="n">
        <f aca="false">$K$27/FW327*(HH327-1)-HJ327-HI327*(2*FP327/FV327-$K$27/FW327)</f>
        <v>0.198812070380318</v>
      </c>
      <c r="HR327" s="60" t="n">
        <f aca="false">$L$27/FW327*(HH327-1)-HJ327-HI327*(2*FQ327/FV327-$L$27/FW327)</f>
        <v>0.198812070380318</v>
      </c>
      <c r="HS327" s="60" t="n">
        <f aca="false">$M$27/FW327*(HH327-1)-HJ327-HI327*(2*FR327/FV327-$M$27/FW327)</f>
        <v>0.198812070380318</v>
      </c>
      <c r="HT327" s="60" t="n">
        <f aca="false">$N$27/FW327*(HH327-1)-HJ327-HI327*(2*FS327/FV327-$N$27/FW327)</f>
        <v>0.198812070380318</v>
      </c>
      <c r="HU327" s="60" t="n">
        <f aca="false">$O$27/FW327*(HH327-1)-HJ327-HI327*(2*FT327/FV327-$O$27/FW327)</f>
        <v>0.198812070380318</v>
      </c>
      <c r="HV327" s="60" t="n">
        <f aca="false">$P$27/FW327*(HH327-1)-HJ327-HI327*(2*FU327/FV327-$P$27/FW327)</f>
        <v>0.198812070380318</v>
      </c>
      <c r="HW327" s="60" t="n">
        <f aca="false">FY327/HH327&gt;$C$22</f>
        <v>0</v>
      </c>
      <c r="HX327" s="60" t="n">
        <f aca="false">IF($E$13&gt;0,MAX(-300,MIN(300,EW327-HK327)),0)</f>
        <v>0</v>
      </c>
      <c r="HY327" s="60" t="n">
        <f aca="false">IF($F$13&gt;0,MAX(-300,MIN(300,EX327-HL327)),0)</f>
        <v>0</v>
      </c>
      <c r="HZ327" s="60" t="n">
        <f aca="false">IF($G$13&gt;0,MAX(-300,MIN(300,EY327-HM327)),0)</f>
        <v>0</v>
      </c>
      <c r="IA327" s="60" t="n">
        <f aca="false">IF($H$13&gt;0,MAX(-300,MIN(300,EZ327-HN327)),0)</f>
        <v>0</v>
      </c>
      <c r="IB327" s="60" t="n">
        <f aca="false">IF($I$13&gt;0,MAX(-300,MIN(300,FA327-HO327)),0)</f>
        <v>0</v>
      </c>
      <c r="IC327" s="60" t="n">
        <f aca="false">IF($J$13&gt;0,MAX(-300,MIN(300,FB327-HP327)),0)</f>
        <v>0</v>
      </c>
      <c r="ID327" s="60" t="n">
        <f aca="false">IF($K$13&gt;0,MAX(-300,MIN(300,FC327-HQ327)),0)</f>
        <v>0</v>
      </c>
      <c r="IE327" s="60" t="n">
        <f aca="false">IF($L$13&gt;0,MAX(-300,MIN(300,FD327-HR327)),0)</f>
        <v>0</v>
      </c>
      <c r="IF327" s="60" t="n">
        <f aca="false">IF($M$13&gt;0,MAX(-300,MIN(300,FE327-HS327)),0)</f>
        <v>0</v>
      </c>
      <c r="IG327" s="60" t="n">
        <f aca="false">IF($N$13&gt;0,MAX(-300,MIN(300,FF327-HT327)),0)</f>
        <v>0</v>
      </c>
      <c r="IH327" s="60" t="n">
        <f aca="false">IF($O$13&gt;0,MAX(-300,MIN(300,FG327-HU327)),0)</f>
        <v>0</v>
      </c>
      <c r="II327" s="60" t="n">
        <f aca="false">IF($P$13&gt;0,MAX(-300,MIN(300,FH327-HV327)),0)</f>
        <v>0</v>
      </c>
      <c r="IJ327" s="60" t="n">
        <f aca="false">SUMXMY2(HX327:II327,B327:M327)</f>
        <v>0</v>
      </c>
      <c r="IK327" s="60" t="n">
        <f aca="false">SUMSQ(B327:M327)</f>
        <v>0</v>
      </c>
    </row>
    <row r="328" customFormat="false" ht="15" hidden="false" customHeight="false" outlineLevel="0" collapsed="false">
      <c r="A328" s="59" t="n">
        <v>31</v>
      </c>
      <c r="B328" s="60" t="n">
        <f aca="false">HX327</f>
        <v>0</v>
      </c>
      <c r="C328" s="60" t="n">
        <f aca="false">HY327</f>
        <v>0</v>
      </c>
      <c r="D328" s="60" t="n">
        <f aca="false">HZ327</f>
        <v>0</v>
      </c>
      <c r="E328" s="60" t="n">
        <f aca="false">IA327</f>
        <v>0</v>
      </c>
      <c r="F328" s="60" t="n">
        <f aca="false">IB327</f>
        <v>0</v>
      </c>
      <c r="G328" s="60" t="n">
        <f aca="false">IC327</f>
        <v>0</v>
      </c>
      <c r="H328" s="60" t="n">
        <f aca="false">ID327</f>
        <v>0</v>
      </c>
      <c r="I328" s="60" t="n">
        <f aca="false">IE327</f>
        <v>0</v>
      </c>
      <c r="J328" s="60" t="n">
        <f aca="false">IF327</f>
        <v>0</v>
      </c>
      <c r="K328" s="60" t="n">
        <f aca="false">IG327</f>
        <v>0</v>
      </c>
      <c r="L328" s="60" t="n">
        <f aca="false">IH327</f>
        <v>0</v>
      </c>
      <c r="M328" s="60" t="n">
        <f aca="false">II327</f>
        <v>0</v>
      </c>
      <c r="N328" s="60" t="n">
        <f aca="false">EXP(B328)</f>
        <v>1</v>
      </c>
      <c r="O328" s="60" t="n">
        <f aca="false">EXP(C328)</f>
        <v>1</v>
      </c>
      <c r="P328" s="60" t="n">
        <f aca="false">EXP(D328)</f>
        <v>1</v>
      </c>
      <c r="Q328" s="60" t="n">
        <f aca="false">EXP(E328)</f>
        <v>1</v>
      </c>
      <c r="R328" s="60" t="n">
        <f aca="false">EXP(F328)</f>
        <v>1</v>
      </c>
      <c r="S328" s="60" t="n">
        <f aca="false">EXP(G328)</f>
        <v>1</v>
      </c>
      <c r="T328" s="60" t="n">
        <f aca="false">EXP(H328)</f>
        <v>1</v>
      </c>
      <c r="U328" s="60" t="n">
        <f aca="false">EXP(I328)</f>
        <v>1</v>
      </c>
      <c r="V328" s="60" t="n">
        <f aca="false">EXP(J328)</f>
        <v>1</v>
      </c>
      <c r="W328" s="60" t="n">
        <f aca="false">EXP(K328)</f>
        <v>1</v>
      </c>
      <c r="X328" s="60" t="n">
        <f aca="false">EXP(L328)</f>
        <v>1</v>
      </c>
      <c r="Y328" s="60" t="n">
        <f aca="false">EXP(M328)</f>
        <v>1</v>
      </c>
      <c r="Z328" s="60" t="n">
        <f aca="false">MAX(N328:Y328)</f>
        <v>1</v>
      </c>
      <c r="AA328" s="60" t="n">
        <f aca="false">MIN(N328:Y328)</f>
        <v>1</v>
      </c>
      <c r="AB328" s="60" t="n">
        <f aca="false">AND(Z328&gt;1,AA328&lt;1)</f>
        <v>0</v>
      </c>
      <c r="AC328" s="60" t="n">
        <f aca="false">IF(AB328,1/(1-Z328),0)</f>
        <v>0</v>
      </c>
      <c r="AD328" s="60" t="n">
        <f aca="false">IF(AB328,1/(1-AA328),1)</f>
        <v>1</v>
      </c>
      <c r="AE328" s="60" t="n">
        <f aca="false">IF(AB328,MIN(MAX(BI327,AC328+0.000000001*(AD328-AC328)),AD328-0.000000001*(AD328-AC328)),IF(AA328&gt;=1,1,0))</f>
        <v>1</v>
      </c>
      <c r="AF328" s="60" t="n">
        <f aca="false">SUMPRODUCT($E$13:$P$13*(N328:Y328-1)/(1+AE328*(N328:Y328-1)))</f>
        <v>0</v>
      </c>
      <c r="AG328" s="60" t="n">
        <f aca="false">-SUMPRODUCT($E$13:$P$13*(N328:Y328-1)^2/(1+AE328*(N328:Y328-1))^2)</f>
        <v>-0</v>
      </c>
      <c r="AH328" s="60" t="n">
        <f aca="false">IF(OR(NOT(AB328),AG328=0),AE328,IF(AE328-AF328/AG328&lt;=AC328,(AE328+AC328)/2,IF(AE328-AF328/AG328&gt;=AD328,(AE328+AD328)/2,AE328-AF328/AG328)))</f>
        <v>1</v>
      </c>
      <c r="AI328" s="60" t="n">
        <f aca="false">SUMPRODUCT($E$13:$P$13*(N328:Y328-1)/(1+AH328*(N328:Y328-1)))</f>
        <v>0</v>
      </c>
      <c r="AJ328" s="60" t="n">
        <f aca="false">-SUMPRODUCT($E$13:$P$13*(N328:Y328-1)^2/(1+AH328*(N328:Y328-1))^2)</f>
        <v>-0</v>
      </c>
      <c r="AK328" s="60" t="n">
        <f aca="false">IF(OR(NOT(AB328),AJ328=0),AH328,IF(AH328-AI328/AJ328&lt;=AC328,(AH328+AC328)/2,IF(AH328-AI328/AJ328&gt;=AD328,(AH328+AD328)/2,AH328-AI328/AJ328)))</f>
        <v>1</v>
      </c>
      <c r="AL328" s="60" t="n">
        <f aca="false">SUMPRODUCT($E$13:$P$13*(N328:Y328-1)/(1+AK328*(N328:Y328-1)))</f>
        <v>0</v>
      </c>
      <c r="AM328" s="60" t="n">
        <f aca="false">-SUMPRODUCT($E$13:$P$13*(N328:Y328-1)^2/(1+AK328*(N328:Y328-1))^2)</f>
        <v>-0</v>
      </c>
      <c r="AN328" s="60" t="n">
        <f aca="false">IF(OR(NOT(AB328),AM328=0),AK328,IF(AK328-AL328/AM328&lt;=AC328,(AK328+AC328)/2,IF(AK328-AL328/AM328&gt;=AD328,(AK328+AD328)/2,AK328-AL328/AM328)))</f>
        <v>1</v>
      </c>
      <c r="AO328" s="60" t="n">
        <f aca="false">SUMPRODUCT($E$13:$P$13*(N328:Y328-1)/(1+AN328*(N328:Y328-1)))</f>
        <v>0</v>
      </c>
      <c r="AP328" s="60" t="n">
        <f aca="false">-SUMPRODUCT($E$13:$P$13*(N328:Y328-1)^2/(1+AN328*(N328:Y328-1))^2)</f>
        <v>-0</v>
      </c>
      <c r="AQ328" s="60" t="n">
        <f aca="false">IF(OR(NOT(AB328),AP328=0),AN328,IF(AN328-AO328/AP328&lt;=AC328,(AN328+AC328)/2,IF(AN328-AO328/AP328&gt;=AD328,(AN328+AD328)/2,AN328-AO328/AP328)))</f>
        <v>1</v>
      </c>
      <c r="AR328" s="60" t="n">
        <f aca="false">SUMPRODUCT($E$13:$P$13*(N328:Y328-1)/(1+AQ328*(N328:Y328-1)))</f>
        <v>0</v>
      </c>
      <c r="AS328" s="60" t="n">
        <f aca="false">-SUMPRODUCT($E$13:$P$13*(N328:Y328-1)^2/(1+AQ328*(N328:Y328-1))^2)</f>
        <v>-0</v>
      </c>
      <c r="AT328" s="60" t="n">
        <f aca="false">IF(OR(NOT(AB328),AS328=0),AQ328,IF(AQ328-AR328/AS328&lt;=AC328,(AQ328+AC328)/2,IF(AQ328-AR328/AS328&gt;=AD328,(AQ328+AD328)/2,AQ328-AR328/AS328)))</f>
        <v>1</v>
      </c>
      <c r="AU328" s="60" t="n">
        <f aca="false">SUMPRODUCT($E$13:$P$13*(N328:Y328-1)/(1+AT328*(N328:Y328-1)))</f>
        <v>0</v>
      </c>
      <c r="AV328" s="60" t="n">
        <f aca="false">-SUMPRODUCT($E$13:$P$13*(N328:Y328-1)^2/(1+AT328*(N328:Y328-1))^2)</f>
        <v>-0</v>
      </c>
      <c r="AW328" s="60" t="n">
        <f aca="false">IF(OR(NOT(AB328),AV328=0),AT328,IF(AT328-AU328/AV328&lt;=AC328,(AT328+AC328)/2,IF(AT328-AU328/AV328&gt;=AD328,(AT328+AD328)/2,AT328-AU328/AV328)))</f>
        <v>1</v>
      </c>
      <c r="AX328" s="60" t="n">
        <f aca="false">SUMPRODUCT($E$13:$P$13*(N328:Y328-1)/(1+AW328*(N328:Y328-1)))</f>
        <v>0</v>
      </c>
      <c r="AY328" s="60" t="n">
        <f aca="false">-SUMPRODUCT($E$13:$P$13*(N328:Y328-1)^2/(1+AW328*(N328:Y328-1))^2)</f>
        <v>-0</v>
      </c>
      <c r="AZ328" s="60" t="n">
        <f aca="false">IF(OR(NOT(AB328),AY328=0),AW328,IF(AW328-AX328/AY328&lt;=AC328,(AW328+AC328)/2,IF(AW328-AX328/AY328&gt;=AD328,(AW328+AD328)/2,AW328-AX328/AY328)))</f>
        <v>1</v>
      </c>
      <c r="BA328" s="60" t="n">
        <f aca="false">SUMPRODUCT($E$13:$P$13*(N328:Y328-1)/(1+AZ328*(N328:Y328-1)))</f>
        <v>0</v>
      </c>
      <c r="BB328" s="60" t="n">
        <f aca="false">-SUMPRODUCT($E$13:$P$13*(N328:Y328-1)^2/(1+AZ328*(N328:Y328-1))^2)</f>
        <v>-0</v>
      </c>
      <c r="BC328" s="60" t="n">
        <f aca="false">IF(OR(NOT(AB328),BB328=0),AZ328,IF(AZ328-BA328/BB328&lt;=AC328,(AZ328+AC328)/2,IF(AZ328-BA328/BB328&gt;=AD328,(AZ328+AD328)/2,AZ328-BA328/BB328)))</f>
        <v>1</v>
      </c>
      <c r="BD328" s="60" t="n">
        <f aca="false">SUMPRODUCT($E$13:$P$13*(N328:Y328-1)/(1+BC328*(N328:Y328-1)))</f>
        <v>0</v>
      </c>
      <c r="BE328" s="60" t="n">
        <f aca="false">-SUMPRODUCT($E$13:$P$13*(N328:Y328-1)^2/(1+BC328*(N328:Y328-1))^2)</f>
        <v>-0</v>
      </c>
      <c r="BF328" s="60" t="n">
        <f aca="false">IF(OR(NOT(AB328),BE328=0),BC328,IF(BC328-BD328/BE328&lt;=AC328,(BC328+AC328)/2,IF(BC328-BD328/BE328&gt;=AD328,(BC328+AD328)/2,BC328-BD328/BE328)))</f>
        <v>1</v>
      </c>
      <c r="BG328" s="60" t="n">
        <f aca="false">SUMPRODUCT($E$13:$P$13*(N328:Y328-1)/(1+BF328*(N328:Y328-1)))</f>
        <v>0</v>
      </c>
      <c r="BH328" s="60" t="n">
        <f aca="false">-SUMPRODUCT($E$13:$P$13*(N328:Y328-1)^2/(1+BF328*(N328:Y328-1))^2)</f>
        <v>-0</v>
      </c>
      <c r="BI328" s="60" t="n">
        <f aca="false">IF(OR(NOT(AB328),BH328=0),BF328,IF(BF328-BG328/BH328&lt;=AC328,(BF328+AC328)/2,IF(BF328-BG328/BH328&gt;=AD328,(BF328+AD328)/2,BF328-BG328/BH328)))</f>
        <v>1</v>
      </c>
      <c r="BJ328" s="60" t="n">
        <f aca="false">$E$13/(1+BI328*(N328-1))</f>
        <v>1</v>
      </c>
      <c r="BK328" s="60" t="n">
        <f aca="false">$F$13/(1+BI328*(O328-1))</f>
        <v>0</v>
      </c>
      <c r="BL328" s="60" t="n">
        <f aca="false">$G$13/(1+BI328*(P328-1))</f>
        <v>0</v>
      </c>
      <c r="BM328" s="60" t="n">
        <f aca="false">$H$13/(1+BI328*(Q328-1))</f>
        <v>0</v>
      </c>
      <c r="BN328" s="60" t="n">
        <f aca="false">$I$13/(1+BI328*(R328-1))</f>
        <v>0</v>
      </c>
      <c r="BO328" s="60" t="n">
        <f aca="false">$J$13/(1+BI328*(S328-1))</f>
        <v>0</v>
      </c>
      <c r="BP328" s="60" t="n">
        <f aca="false">$K$13/(1+BI328*(T328-1))</f>
        <v>0</v>
      </c>
      <c r="BQ328" s="60" t="n">
        <f aca="false">$L$13/(1+BI328*(U328-1))</f>
        <v>0</v>
      </c>
      <c r="BR328" s="60" t="n">
        <f aca="false">$M$13/(1+BI328*(V328-1))</f>
        <v>0</v>
      </c>
      <c r="BS328" s="60" t="n">
        <f aca="false">$N$13/(1+BI328*(W328-1))</f>
        <v>0</v>
      </c>
      <c r="BT328" s="60" t="n">
        <f aca="false">$O$13/(1+BI328*(X328-1))</f>
        <v>0</v>
      </c>
      <c r="BU328" s="60" t="n">
        <f aca="false">$P$13/(1+BI328*(Y328-1))</f>
        <v>0</v>
      </c>
      <c r="BV328" s="60" t="n">
        <f aca="false">SUM(BJ328:BU328)</f>
        <v>1</v>
      </c>
      <c r="BW328" s="60" t="n">
        <f aca="false">SUMPRODUCT(N328:Y328,BJ328:BU328)</f>
        <v>1</v>
      </c>
      <c r="BX328" s="60" t="n">
        <f aca="false">BJ328/BV328</f>
        <v>1</v>
      </c>
      <c r="BY328" s="60" t="n">
        <f aca="false">BK328/BV328</f>
        <v>0</v>
      </c>
      <c r="BZ328" s="60" t="n">
        <f aca="false">BL328/BV328</f>
        <v>0</v>
      </c>
      <c r="CA328" s="60" t="n">
        <f aca="false">BM328/BV328</f>
        <v>0</v>
      </c>
      <c r="CB328" s="60" t="n">
        <f aca="false">BN328/BV328</f>
        <v>0</v>
      </c>
      <c r="CC328" s="60" t="n">
        <f aca="false">BO328/BV328</f>
        <v>0</v>
      </c>
      <c r="CD328" s="60" t="n">
        <f aca="false">BP328/BV328</f>
        <v>0</v>
      </c>
      <c r="CE328" s="60" t="n">
        <f aca="false">BQ328/BV328</f>
        <v>0</v>
      </c>
      <c r="CF328" s="60" t="n">
        <f aca="false">BR328/BV328</f>
        <v>0</v>
      </c>
      <c r="CG328" s="60" t="n">
        <f aca="false">BS328/BV328</f>
        <v>0</v>
      </c>
      <c r="CH328" s="60" t="n">
        <f aca="false">BT328/BV328</f>
        <v>0</v>
      </c>
      <c r="CI328" s="60" t="n">
        <f aca="false">BU328/BV328</f>
        <v>0</v>
      </c>
      <c r="CJ328" s="60" t="n">
        <f aca="false">N328*BJ328/BW328</f>
        <v>1</v>
      </c>
      <c r="CK328" s="60" t="n">
        <f aca="false">O328*BK328/BW328</f>
        <v>0</v>
      </c>
      <c r="CL328" s="60" t="n">
        <f aca="false">P328*BL328/BW328</f>
        <v>0</v>
      </c>
      <c r="CM328" s="60" t="n">
        <f aca="false">Q328*BM328/BW328</f>
        <v>0</v>
      </c>
      <c r="CN328" s="60" t="n">
        <f aca="false">R328*BN328/BW328</f>
        <v>0</v>
      </c>
      <c r="CO328" s="60" t="n">
        <f aca="false">S328*BO328/BW328</f>
        <v>0</v>
      </c>
      <c r="CP328" s="60" t="n">
        <f aca="false">T328*BP328/BW328</f>
        <v>0</v>
      </c>
      <c r="CQ328" s="60" t="n">
        <f aca="false">U328*BQ328/BW328</f>
        <v>0</v>
      </c>
      <c r="CR328" s="60" t="n">
        <f aca="false">V328*BR328/BW328</f>
        <v>0</v>
      </c>
      <c r="CS328" s="60" t="n">
        <f aca="false">W328*BS328/BW328</f>
        <v>0</v>
      </c>
      <c r="CT328" s="60" t="n">
        <f aca="false">X328*BT328/BW328</f>
        <v>0</v>
      </c>
      <c r="CU328" s="60" t="n">
        <f aca="false">Y328*BU328/BW328</f>
        <v>0</v>
      </c>
      <c r="CV328" s="60" t="n">
        <f aca="false">$E$28*SUMPRODUCT($E$31:$P$31,BX328:CI328,$E$28:$P$28)</f>
        <v>0.184416866619846</v>
      </c>
      <c r="CW328" s="60" t="n">
        <f aca="false">$F$28*SUMPRODUCT($E$32:$P$32,BX328:CI328,$E$28:$P$28)</f>
        <v>0</v>
      </c>
      <c r="CX328" s="60" t="n">
        <f aca="false">$G$28*SUMPRODUCT($E$33:$P$33,BX328:CI328,$E$28:$P$28)</f>
        <v>0</v>
      </c>
      <c r="CY328" s="60" t="n">
        <f aca="false">$H$28*SUMPRODUCT($E$34:$P$34,BX328:CI328,$E$28:$P$28)</f>
        <v>0</v>
      </c>
      <c r="CZ328" s="60" t="n">
        <f aca="false">$I$28*SUMPRODUCT($E$35:$P$35,BX328:CI328,$E$28:$P$28)</f>
        <v>0</v>
      </c>
      <c r="DA328" s="60" t="n">
        <f aca="false">$J$28*SUMPRODUCT($E$36:$P$36,BX328:CI328,$E$28:$P$28)</f>
        <v>0</v>
      </c>
      <c r="DB328" s="60" t="n">
        <f aca="false">$K$28*SUMPRODUCT($E$37:$P$37,BX328:CI328,$E$28:$P$28)</f>
        <v>0</v>
      </c>
      <c r="DC328" s="60" t="n">
        <f aca="false">$L$28*SUMPRODUCT($E$38:$P$38,BX328:CI328,$E$28:$P$28)</f>
        <v>0</v>
      </c>
      <c r="DD328" s="60" t="n">
        <f aca="false">$M$28*SUMPRODUCT($E$39:$P$39,BX328:CI328,$E$28:$P$28)</f>
        <v>0</v>
      </c>
      <c r="DE328" s="60" t="n">
        <f aca="false">$N$28*SUMPRODUCT($E$40:$P$40,BX328:CI328,$E$28:$P$28)</f>
        <v>0</v>
      </c>
      <c r="DF328" s="60" t="n">
        <f aca="false">$O$28*SUMPRODUCT($E$41:$P$41,BX328:CI328,$E$28:$P$28)</f>
        <v>0</v>
      </c>
      <c r="DG328" s="60" t="n">
        <f aca="false">$P$28*SUMPRODUCT($E$42:$P$42,BX328:CI328,$E$28:$P$28)</f>
        <v>0</v>
      </c>
      <c r="DH328" s="60" t="n">
        <f aca="false">SUMPRODUCT(BX328:CI328,CV328:DG328)</f>
        <v>0.184416866619846</v>
      </c>
      <c r="DI328" s="60" t="n">
        <f aca="false">SUMPRODUCT(BX328:CI328,$E$27:$P$27)</f>
        <v>2.67389635063809E-005</v>
      </c>
      <c r="DJ328" s="60" t="n">
        <f aca="false">DH328*$C$9/($C$10*$C$8)^2</f>
        <v>0.21776909410545</v>
      </c>
      <c r="DK328" s="60" t="n">
        <f aca="false">DI328*$C$9/($C$10*$C$8)</f>
        <v>0.0918845243259994</v>
      </c>
      <c r="DL328" s="60" t="n">
        <f aca="false">CHOOSE($C$7,-(1+DK328),-1,-(1-DK328))</f>
        <v>-0.908115475674001</v>
      </c>
      <c r="DM328" s="60" t="n">
        <f aca="false">CHOOSE($C$7,DJ328,DJ328-DK328-DK328^2,DJ328-3*DK328^2-2*DK328)</f>
        <v>0.00867174802160559</v>
      </c>
      <c r="DN328" s="60" t="n">
        <f aca="false">CHOOSE($C$7,-DJ328*DK328,-DJ328*DK328,-(DJ328*DK328-DK328^2-DK328^3))</f>
        <v>-0.0107910842936637</v>
      </c>
      <c r="DO328" s="60" t="n">
        <f aca="false">DM328-DL328^2/3</f>
        <v>-0.266219491031267</v>
      </c>
      <c r="DP328" s="60" t="n">
        <f aca="false">2*DL328^3/27-DL328*DM328/3+DN328</f>
        <v>-0.0636400988362784</v>
      </c>
      <c r="DQ328" s="60" t="n">
        <f aca="false">DP328^2/4+DO328^3/27</f>
        <v>0.000313710901361829</v>
      </c>
      <c r="DR328" s="60" t="n">
        <f aca="false">-DP328/2-IF(DP328&gt;=0,1,-1)*SQRT(MAX(DQ328,0))</f>
        <v>0.0495319352963236</v>
      </c>
      <c r="DS328" s="60" t="n">
        <f aca="false">SIGN(DR328)*ABS(DR328)^(1/3)</f>
        <v>0.367249967174439</v>
      </c>
      <c r="DT328" s="60" t="n">
        <f aca="false">IF(DS328=0,0,DS328-DO328/(3*DS328))</f>
        <v>0.60888329127384</v>
      </c>
      <c r="DU328" s="60" t="n">
        <f aca="false">2*SQRT(MAX(-DO328,0)/3)</f>
        <v>0.595784626668918</v>
      </c>
      <c r="DV328" s="60" t="n">
        <f aca="false">ACOS(IF(DU328=0,0,MAX(-1,MIN(1,3*DP328/(DO328*DU328)))))</f>
        <v>0</v>
      </c>
      <c r="DW328" s="60" t="n">
        <f aca="false">DU328*COS(DV328/3)</f>
        <v>0.595784626668918</v>
      </c>
      <c r="DX328" s="60" t="n">
        <f aca="false">IF(DQ328&lt;0,DW328,DT328)-DL328/3</f>
        <v>0.91158844983184</v>
      </c>
      <c r="DY328" s="60" t="n">
        <f aca="false">IFERROR((((DX328+DL328)*DX328+DM328)*DX328+DN328)/((3*DX328+2*DL328)*DX328+DM328),0)</f>
        <v>0</v>
      </c>
      <c r="DZ328" s="60" t="n">
        <f aca="false">IF(ABS(DY328)&lt;0.1*ABS(DX328),DX328-DY328,DX328)</f>
        <v>0.91158844983184</v>
      </c>
      <c r="EA328" s="60" t="n">
        <f aca="false">IFERROR((((DZ328+DL328)*DZ328+DM328)*DZ328+DN328)/((3*DZ328+2*DL328)*DZ328+DM328),0)</f>
        <v>0</v>
      </c>
      <c r="EB328" s="60" t="n">
        <f aca="false">IF(ABS(EA328)&lt;0.1*ABS(DZ328),DZ328-EA328,DZ328)</f>
        <v>0.91158844983184</v>
      </c>
      <c r="EC328" s="60" t="n">
        <f aca="false">-DN328/EB328</f>
        <v>0.0118376711504565</v>
      </c>
      <c r="ED328" s="60" t="n">
        <f aca="false">(DM328-EC328)/EB328</f>
        <v>-0.00347297415783941</v>
      </c>
      <c r="EE328" s="60" t="n">
        <f aca="false">ED328^2-4*EC328</f>
        <v>-0.0473386230523248</v>
      </c>
      <c r="EF328" s="60" t="n">
        <f aca="false">IF(EE328&gt;=0,(ED328+IF(ED328&gt;=0,1,-1)*SQRT(EE328))/2,0)</f>
        <v>0</v>
      </c>
      <c r="EG328" s="60" t="n">
        <f aca="false">IF(AND(EE328&gt;=0,EF328&lt;&gt;0),MIN(EF328,EC328/EF328),-1)</f>
        <v>-1</v>
      </c>
      <c r="EH328" s="60" t="n">
        <f aca="false">AND(EE328&gt;=0,EG328&gt;DK328,ABS(EB328-EG328)&gt;=0.00005*MAX(EB328,EG328))</f>
        <v>0</v>
      </c>
      <c r="EI328" s="60" t="n">
        <f aca="false">IF(EH328,IFERROR((((EG328+DL328)*EG328+DM328)*EG328+DN328)/((3*EG328+2*DL328)*EG328+DM328),0),0)</f>
        <v>0</v>
      </c>
      <c r="EJ328" s="60" t="n">
        <f aca="false">IF(ABS(EI328)&lt;0.1*ABS(EG328),EG328-EI328,EG328)</f>
        <v>-1</v>
      </c>
      <c r="EK328" s="60" t="n">
        <f aca="false">IF(EH328,IFERROR((((EJ328+DL328)*EJ328+DM328)*EJ328+DN328)/((3*EJ328+2*DL328)*EJ328+DM328),0),0)</f>
        <v>0</v>
      </c>
      <c r="EL328" s="60" t="n">
        <f aca="false">IF(ABS(EK328)&lt;0.1*ABS(EJ328),EJ328-EK328,EJ328)</f>
        <v>-1</v>
      </c>
      <c r="EM328" s="60" t="n">
        <f aca="false">IF(EH328,MAX(EB328,EL328),EB328)</f>
        <v>0.91158844983184</v>
      </c>
      <c r="EN328" s="60" t="n">
        <f aca="false">IF(EH328,MIN(EB328,EL328),-1)</f>
        <v>-1</v>
      </c>
      <c r="EO328" s="60" t="n">
        <f aca="false">CHOOSE($C$7,DJ328/EM328,DJ328/DK328*LN(1+DK328/EM328),DJ328/(2*SQRT(2)*DK328)*LN((EM328+(1+SQRT(2))*DK328)/(EM328+(1-SQRT(2))*DK328)))</f>
        <v>0.218240791233887</v>
      </c>
      <c r="EP328" s="60" t="n">
        <f aca="false">EM328-1-LN(EM328-DK328)-EO328</f>
        <v>-0.107840271021729</v>
      </c>
      <c r="EQ328" s="60" t="n">
        <f aca="false">IF(EH328,CHOOSE($C$7,DJ328/EN328,DJ328/DK328*LN(1+DK328/EN328),DJ328/(2*SQRT(2)*DK328)*LN((EN328+(1+SQRT(2))*DK328)/(EN328+(1-SQRT(2))*DK328))),0)</f>
        <v>0</v>
      </c>
      <c r="ER328" s="60" t="n">
        <f aca="false">IF(EH328,EN328-1-LN(EN328-DK328)-EQ328,0)</f>
        <v>0</v>
      </c>
      <c r="ES328" s="60" t="n">
        <f aca="false">AND(EH328,ER328&lt;EP328)</f>
        <v>0</v>
      </c>
      <c r="ET328" s="60" t="n">
        <f aca="false">IF(ES328,EN328,EM328)</f>
        <v>0.91158844983184</v>
      </c>
      <c r="EU328" s="60" t="n">
        <f aca="false">IF(ES328,EQ328,EO328)</f>
        <v>0.218240791233887</v>
      </c>
      <c r="EV328" s="60" t="n">
        <f aca="false">LN(ET328-DK328)</f>
        <v>-0.198812070380318</v>
      </c>
      <c r="EW328" s="60" t="n">
        <f aca="false">$E$27/DI328*(ET328-1)-EV328-EU328*(2*CV328/DH328-$E$27/DI328)</f>
        <v>-0.107840271021729</v>
      </c>
      <c r="EX328" s="60" t="n">
        <f aca="false">$F$27/DI328*(ET328-1)-EV328-EU328*(2*CW328/DH328-$F$27/DI328)</f>
        <v>0.198812070380318</v>
      </c>
      <c r="EY328" s="60" t="n">
        <f aca="false">$G$27/DI328*(ET328-1)-EV328-EU328*(2*CX328/DH328-$G$27/DI328)</f>
        <v>0.198812070380318</v>
      </c>
      <c r="EZ328" s="60" t="n">
        <f aca="false">$H$27/DI328*(ET328-1)-EV328-EU328*(2*CY328/DH328-$H$27/DI328)</f>
        <v>0.198812070380318</v>
      </c>
      <c r="FA328" s="60" t="n">
        <f aca="false">$I$27/DI328*(ET328-1)-EV328-EU328*(2*CZ328/DH328-$I$27/DI328)</f>
        <v>0.198812070380318</v>
      </c>
      <c r="FB328" s="60" t="n">
        <f aca="false">$J$27/DI328*(ET328-1)-EV328-EU328*(2*DA328/DH328-$J$27/DI328)</f>
        <v>0.198812070380318</v>
      </c>
      <c r="FC328" s="60" t="n">
        <f aca="false">$K$27/DI328*(ET328-1)-EV328-EU328*(2*DB328/DH328-$K$27/DI328)</f>
        <v>0.198812070380318</v>
      </c>
      <c r="FD328" s="60" t="n">
        <f aca="false">$L$27/DI328*(ET328-1)-EV328-EU328*(2*DC328/DH328-$L$27/DI328)</f>
        <v>0.198812070380318</v>
      </c>
      <c r="FE328" s="60" t="n">
        <f aca="false">$M$27/DI328*(ET328-1)-EV328-EU328*(2*DD328/DH328-$M$27/DI328)</f>
        <v>0.198812070380318</v>
      </c>
      <c r="FF328" s="60" t="n">
        <f aca="false">$N$27/DI328*(ET328-1)-EV328-EU328*(2*DE328/DH328-$N$27/DI328)</f>
        <v>0.198812070380318</v>
      </c>
      <c r="FG328" s="60" t="n">
        <f aca="false">$O$27/DI328*(ET328-1)-EV328-EU328*(2*DF328/DH328-$O$27/DI328)</f>
        <v>0.198812070380318</v>
      </c>
      <c r="FH328" s="60" t="n">
        <f aca="false">$P$27/DI328*(ET328-1)-EV328-EU328*(2*DG328/DH328-$P$27/DI328)</f>
        <v>0.198812070380318</v>
      </c>
      <c r="FI328" s="60" t="n">
        <f aca="false">DK328/ET328&gt;$C$22</f>
        <v>0</v>
      </c>
      <c r="FJ328" s="60" t="n">
        <f aca="false">$E$28*SUMPRODUCT($E$31:$P$31,CJ328:CU328,$E$28:$P$28)</f>
        <v>0.184416866619846</v>
      </c>
      <c r="FK328" s="60" t="n">
        <f aca="false">$F$28*SUMPRODUCT($E$32:$P$32,CJ328:CU328,$E$28:$P$28)</f>
        <v>0</v>
      </c>
      <c r="FL328" s="60" t="n">
        <f aca="false">$G$28*SUMPRODUCT($E$33:$P$33,CJ328:CU328,$E$28:$P$28)</f>
        <v>0</v>
      </c>
      <c r="FM328" s="60" t="n">
        <f aca="false">$H$28*SUMPRODUCT($E$34:$P$34,CJ328:CU328,$E$28:$P$28)</f>
        <v>0</v>
      </c>
      <c r="FN328" s="60" t="n">
        <f aca="false">$I$28*SUMPRODUCT($E$35:$P$35,CJ328:CU328,$E$28:$P$28)</f>
        <v>0</v>
      </c>
      <c r="FO328" s="60" t="n">
        <f aca="false">$J$28*SUMPRODUCT($E$36:$P$36,CJ328:CU328,$E$28:$P$28)</f>
        <v>0</v>
      </c>
      <c r="FP328" s="60" t="n">
        <f aca="false">$K$28*SUMPRODUCT($E$37:$P$37,CJ328:CU328,$E$28:$P$28)</f>
        <v>0</v>
      </c>
      <c r="FQ328" s="60" t="n">
        <f aca="false">$L$28*SUMPRODUCT($E$38:$P$38,CJ328:CU328,$E$28:$P$28)</f>
        <v>0</v>
      </c>
      <c r="FR328" s="60" t="n">
        <f aca="false">$M$28*SUMPRODUCT($E$39:$P$39,CJ328:CU328,$E$28:$P$28)</f>
        <v>0</v>
      </c>
      <c r="FS328" s="60" t="n">
        <f aca="false">$N$28*SUMPRODUCT($E$40:$P$40,CJ328:CU328,$E$28:$P$28)</f>
        <v>0</v>
      </c>
      <c r="FT328" s="60" t="n">
        <f aca="false">$O$28*SUMPRODUCT($E$41:$P$41,CJ328:CU328,$E$28:$P$28)</f>
        <v>0</v>
      </c>
      <c r="FU328" s="60" t="n">
        <f aca="false">$P$28*SUMPRODUCT($E$42:$P$42,CJ328:CU328,$E$28:$P$28)</f>
        <v>0</v>
      </c>
      <c r="FV328" s="60" t="n">
        <f aca="false">SUMPRODUCT(CJ328:CU328,FJ328:FU328)</f>
        <v>0.184416866619846</v>
      </c>
      <c r="FW328" s="60" t="n">
        <f aca="false">SUMPRODUCT(CJ328:CU328,$E$27:$P$27)</f>
        <v>2.67389635063809E-005</v>
      </c>
      <c r="FX328" s="60" t="n">
        <f aca="false">FV328*$C$9/($C$10*$C$8)^2</f>
        <v>0.21776909410545</v>
      </c>
      <c r="FY328" s="60" t="n">
        <f aca="false">FW328*$C$9/($C$10*$C$8)</f>
        <v>0.0918845243259994</v>
      </c>
      <c r="FZ328" s="60" t="n">
        <f aca="false">CHOOSE($C$7,-(1+FY328),-1,-(1-FY328))</f>
        <v>-0.908115475674001</v>
      </c>
      <c r="GA328" s="60" t="n">
        <f aca="false">CHOOSE($C$7,FX328,FX328-FY328-FY328^2,FX328-3*FY328^2-2*FY328)</f>
        <v>0.00867174802160559</v>
      </c>
      <c r="GB328" s="60" t="n">
        <f aca="false">CHOOSE($C$7,-FX328*FY328,-FX328*FY328,-(FX328*FY328-FY328^2-FY328^3))</f>
        <v>-0.0107910842936637</v>
      </c>
      <c r="GC328" s="60" t="n">
        <f aca="false">GA328-FZ328^2/3</f>
        <v>-0.266219491031267</v>
      </c>
      <c r="GD328" s="60" t="n">
        <f aca="false">2*FZ328^3/27-FZ328*GA328/3+GB328</f>
        <v>-0.0636400988362784</v>
      </c>
      <c r="GE328" s="60" t="n">
        <f aca="false">GD328^2/4+GC328^3/27</f>
        <v>0.000313710901361829</v>
      </c>
      <c r="GF328" s="60" t="n">
        <f aca="false">-GD328/2-IF(GD328&gt;=0,1,-1)*SQRT(MAX(GE328,0))</f>
        <v>0.0495319352963236</v>
      </c>
      <c r="GG328" s="60" t="n">
        <f aca="false">SIGN(GF328)*ABS(GF328)^(1/3)</f>
        <v>0.367249967174439</v>
      </c>
      <c r="GH328" s="60" t="n">
        <f aca="false">IF(GG328=0,0,GG328-GC328/(3*GG328))</f>
        <v>0.60888329127384</v>
      </c>
      <c r="GI328" s="60" t="n">
        <f aca="false">2*SQRT(MAX(-GC328,0)/3)</f>
        <v>0.595784626668918</v>
      </c>
      <c r="GJ328" s="60" t="n">
        <f aca="false">ACOS(IF(GI328=0,0,MAX(-1,MIN(1,3*GD328/(GC328*GI328)))))</f>
        <v>0</v>
      </c>
      <c r="GK328" s="60" t="n">
        <f aca="false">GI328*COS(GJ328/3)</f>
        <v>0.595784626668918</v>
      </c>
      <c r="GL328" s="60" t="n">
        <f aca="false">IF(GE328&lt;0,GK328,GH328)-FZ328/3</f>
        <v>0.91158844983184</v>
      </c>
      <c r="GM328" s="60" t="n">
        <f aca="false">IFERROR((((GL328+FZ328)*GL328+GA328)*GL328+GB328)/((3*GL328+2*FZ328)*GL328+GA328),0)</f>
        <v>0</v>
      </c>
      <c r="GN328" s="60" t="n">
        <f aca="false">IF(ABS(GM328)&lt;0.1*ABS(GL328),GL328-GM328,GL328)</f>
        <v>0.91158844983184</v>
      </c>
      <c r="GO328" s="60" t="n">
        <f aca="false">IFERROR((((GN328+FZ328)*GN328+GA328)*GN328+GB328)/((3*GN328+2*FZ328)*GN328+GA328),0)</f>
        <v>0</v>
      </c>
      <c r="GP328" s="60" t="n">
        <f aca="false">IF(ABS(GO328)&lt;0.1*ABS(GN328),GN328-GO328,GN328)</f>
        <v>0.91158844983184</v>
      </c>
      <c r="GQ328" s="60" t="n">
        <f aca="false">-GB328/GP328</f>
        <v>0.0118376711504565</v>
      </c>
      <c r="GR328" s="60" t="n">
        <f aca="false">(GA328-GQ328)/GP328</f>
        <v>-0.00347297415783941</v>
      </c>
      <c r="GS328" s="60" t="n">
        <f aca="false">GR328^2-4*GQ328</f>
        <v>-0.0473386230523248</v>
      </c>
      <c r="GT328" s="60" t="n">
        <f aca="false">IF(GS328&gt;=0,(GR328+IF(GR328&gt;=0,1,-1)*SQRT(GS328))/2,0)</f>
        <v>0</v>
      </c>
      <c r="GU328" s="60" t="n">
        <f aca="false">IF(AND(GS328&gt;=0,GT328&lt;&gt;0),MIN(GT328,GQ328/GT328),-1)</f>
        <v>-1</v>
      </c>
      <c r="GV328" s="60" t="n">
        <f aca="false">AND(GS328&gt;=0,GU328&gt;FY328,ABS(GP328-GU328)&gt;=0.00005*MAX(GP328,GU328))</f>
        <v>0</v>
      </c>
      <c r="GW328" s="60" t="n">
        <f aca="false">IF(GV328,IFERROR((((GU328+FZ328)*GU328+GA328)*GU328+GB328)/((3*GU328+2*FZ328)*GU328+GA328),0),0)</f>
        <v>0</v>
      </c>
      <c r="GX328" s="60" t="n">
        <f aca="false">IF(ABS(GW328)&lt;0.1*ABS(GU328),GU328-GW328,GU328)</f>
        <v>-1</v>
      </c>
      <c r="GY328" s="60" t="n">
        <f aca="false">IF(GV328,IFERROR((((GX328+FZ328)*GX328+GA328)*GX328+GB328)/((3*GX328+2*FZ328)*GX328+GA328),0),0)</f>
        <v>0</v>
      </c>
      <c r="GZ328" s="60" t="n">
        <f aca="false">IF(ABS(GY328)&lt;0.1*ABS(GX328),GX328-GY328,GX328)</f>
        <v>-1</v>
      </c>
      <c r="HA328" s="60" t="n">
        <f aca="false">IF(GV328,MAX(GP328,GZ328),GP328)</f>
        <v>0.91158844983184</v>
      </c>
      <c r="HB328" s="60" t="n">
        <f aca="false">IF(GV328,MIN(GP328,GZ328),-1)</f>
        <v>-1</v>
      </c>
      <c r="HC328" s="60" t="n">
        <f aca="false">CHOOSE($C$7,FX328/HA328,FX328/FY328*LN(1+FY328/HA328),FX328/(2*SQRT(2)*FY328)*LN((HA328+(1+SQRT(2))*FY328)/(HA328+(1-SQRT(2))*FY328)))</f>
        <v>0.218240791233887</v>
      </c>
      <c r="HD328" s="60" t="n">
        <f aca="false">HA328-1-LN(HA328-FY328)-HC328</f>
        <v>-0.107840271021729</v>
      </c>
      <c r="HE328" s="60" t="n">
        <f aca="false">IF(GV328,CHOOSE($C$7,FX328/HB328,FX328/FY328*LN(1+FY328/HB328),FX328/(2*SQRT(2)*FY328)*LN((HB328+(1+SQRT(2))*FY328)/(HB328+(1-SQRT(2))*FY328))),0)</f>
        <v>0</v>
      </c>
      <c r="HF328" s="60" t="n">
        <f aca="false">IF(GV328,HB328-1-LN(HB328-FY328)-HE328,0)</f>
        <v>0</v>
      </c>
      <c r="HG328" s="60" t="n">
        <f aca="false">AND(GV328,HF328&lt;HD328)</f>
        <v>0</v>
      </c>
      <c r="HH328" s="60" t="n">
        <f aca="false">IF(HG328,HB328,HA328)</f>
        <v>0.91158844983184</v>
      </c>
      <c r="HI328" s="60" t="n">
        <f aca="false">IF(HG328,HE328,HC328)</f>
        <v>0.218240791233887</v>
      </c>
      <c r="HJ328" s="60" t="n">
        <f aca="false">LN(HH328-FY328)</f>
        <v>-0.198812070380318</v>
      </c>
      <c r="HK328" s="60" t="n">
        <f aca="false">$E$27/FW328*(HH328-1)-HJ328-HI328*(2*FJ328/FV328-$E$27/FW328)</f>
        <v>-0.107840271021729</v>
      </c>
      <c r="HL328" s="60" t="n">
        <f aca="false">$F$27/FW328*(HH328-1)-HJ328-HI328*(2*FK328/FV328-$F$27/FW328)</f>
        <v>0.198812070380318</v>
      </c>
      <c r="HM328" s="60" t="n">
        <f aca="false">$G$27/FW328*(HH328-1)-HJ328-HI328*(2*FL328/FV328-$G$27/FW328)</f>
        <v>0.198812070380318</v>
      </c>
      <c r="HN328" s="60" t="n">
        <f aca="false">$H$27/FW328*(HH328-1)-HJ328-HI328*(2*FM328/FV328-$H$27/FW328)</f>
        <v>0.198812070380318</v>
      </c>
      <c r="HO328" s="60" t="n">
        <f aca="false">$I$27/FW328*(HH328-1)-HJ328-HI328*(2*FN328/FV328-$I$27/FW328)</f>
        <v>0.198812070380318</v>
      </c>
      <c r="HP328" s="60" t="n">
        <f aca="false">$J$27/FW328*(HH328-1)-HJ328-HI328*(2*FO328/FV328-$J$27/FW328)</f>
        <v>0.198812070380318</v>
      </c>
      <c r="HQ328" s="60" t="n">
        <f aca="false">$K$27/FW328*(HH328-1)-HJ328-HI328*(2*FP328/FV328-$K$27/FW328)</f>
        <v>0.198812070380318</v>
      </c>
      <c r="HR328" s="60" t="n">
        <f aca="false">$L$27/FW328*(HH328-1)-HJ328-HI328*(2*FQ328/FV328-$L$27/FW328)</f>
        <v>0.198812070380318</v>
      </c>
      <c r="HS328" s="60" t="n">
        <f aca="false">$M$27/FW328*(HH328-1)-HJ328-HI328*(2*FR328/FV328-$M$27/FW328)</f>
        <v>0.198812070380318</v>
      </c>
      <c r="HT328" s="60" t="n">
        <f aca="false">$N$27/FW328*(HH328-1)-HJ328-HI328*(2*FS328/FV328-$N$27/FW328)</f>
        <v>0.198812070380318</v>
      </c>
      <c r="HU328" s="60" t="n">
        <f aca="false">$O$27/FW328*(HH328-1)-HJ328-HI328*(2*FT328/FV328-$O$27/FW328)</f>
        <v>0.198812070380318</v>
      </c>
      <c r="HV328" s="60" t="n">
        <f aca="false">$P$27/FW328*(HH328-1)-HJ328-HI328*(2*FU328/FV328-$P$27/FW328)</f>
        <v>0.198812070380318</v>
      </c>
      <c r="HW328" s="60" t="n">
        <f aca="false">FY328/HH328&gt;$C$22</f>
        <v>0</v>
      </c>
      <c r="HX328" s="60" t="n">
        <f aca="false">IF($E$13&gt;0,MAX(-300,MIN(300,EW328-HK328)),0)</f>
        <v>0</v>
      </c>
      <c r="HY328" s="60" t="n">
        <f aca="false">IF($F$13&gt;0,MAX(-300,MIN(300,EX328-HL328)),0)</f>
        <v>0</v>
      </c>
      <c r="HZ328" s="60" t="n">
        <f aca="false">IF($G$13&gt;0,MAX(-300,MIN(300,EY328-HM328)),0)</f>
        <v>0</v>
      </c>
      <c r="IA328" s="60" t="n">
        <f aca="false">IF($H$13&gt;0,MAX(-300,MIN(300,EZ328-HN328)),0)</f>
        <v>0</v>
      </c>
      <c r="IB328" s="60" t="n">
        <f aca="false">IF($I$13&gt;0,MAX(-300,MIN(300,FA328-HO328)),0)</f>
        <v>0</v>
      </c>
      <c r="IC328" s="60" t="n">
        <f aca="false">IF($J$13&gt;0,MAX(-300,MIN(300,FB328-HP328)),0)</f>
        <v>0</v>
      </c>
      <c r="ID328" s="60" t="n">
        <f aca="false">IF($K$13&gt;0,MAX(-300,MIN(300,FC328-HQ328)),0)</f>
        <v>0</v>
      </c>
      <c r="IE328" s="60" t="n">
        <f aca="false">IF($L$13&gt;0,MAX(-300,MIN(300,FD328-HR328)),0)</f>
        <v>0</v>
      </c>
      <c r="IF328" s="60" t="n">
        <f aca="false">IF($M$13&gt;0,MAX(-300,MIN(300,FE328-HS328)),0)</f>
        <v>0</v>
      </c>
      <c r="IG328" s="60" t="n">
        <f aca="false">IF($N$13&gt;0,MAX(-300,MIN(300,FF328-HT328)),0)</f>
        <v>0</v>
      </c>
      <c r="IH328" s="60" t="n">
        <f aca="false">IF($O$13&gt;0,MAX(-300,MIN(300,FG328-HU328)),0)</f>
        <v>0</v>
      </c>
      <c r="II328" s="60" t="n">
        <f aca="false">IF($P$13&gt;0,MAX(-300,MIN(300,FH328-HV328)),0)</f>
        <v>0</v>
      </c>
      <c r="IJ328" s="60" t="n">
        <f aca="false">SUMXMY2(HX328:II328,B328:M328)</f>
        <v>0</v>
      </c>
      <c r="IK328" s="60" t="n">
        <f aca="false">SUMSQ(B328:M328)</f>
        <v>0</v>
      </c>
    </row>
    <row r="329" customFormat="false" ht="15" hidden="false" customHeight="false" outlineLevel="0" collapsed="false">
      <c r="A329" s="59" t="n">
        <v>32</v>
      </c>
      <c r="B329" s="60" t="n">
        <f aca="false">HX328</f>
        <v>0</v>
      </c>
      <c r="C329" s="60" t="n">
        <f aca="false">HY328</f>
        <v>0</v>
      </c>
      <c r="D329" s="60" t="n">
        <f aca="false">HZ328</f>
        <v>0</v>
      </c>
      <c r="E329" s="60" t="n">
        <f aca="false">IA328</f>
        <v>0</v>
      </c>
      <c r="F329" s="60" t="n">
        <f aca="false">IB328</f>
        <v>0</v>
      </c>
      <c r="G329" s="60" t="n">
        <f aca="false">IC328</f>
        <v>0</v>
      </c>
      <c r="H329" s="60" t="n">
        <f aca="false">ID328</f>
        <v>0</v>
      </c>
      <c r="I329" s="60" t="n">
        <f aca="false">IE328</f>
        <v>0</v>
      </c>
      <c r="J329" s="60" t="n">
        <f aca="false">IF328</f>
        <v>0</v>
      </c>
      <c r="K329" s="60" t="n">
        <f aca="false">IG328</f>
        <v>0</v>
      </c>
      <c r="L329" s="60" t="n">
        <f aca="false">IH328</f>
        <v>0</v>
      </c>
      <c r="M329" s="60" t="n">
        <f aca="false">II328</f>
        <v>0</v>
      </c>
      <c r="N329" s="60" t="n">
        <f aca="false">EXP(B329)</f>
        <v>1</v>
      </c>
      <c r="O329" s="60" t="n">
        <f aca="false">EXP(C329)</f>
        <v>1</v>
      </c>
      <c r="P329" s="60" t="n">
        <f aca="false">EXP(D329)</f>
        <v>1</v>
      </c>
      <c r="Q329" s="60" t="n">
        <f aca="false">EXP(E329)</f>
        <v>1</v>
      </c>
      <c r="R329" s="60" t="n">
        <f aca="false">EXP(F329)</f>
        <v>1</v>
      </c>
      <c r="S329" s="60" t="n">
        <f aca="false">EXP(G329)</f>
        <v>1</v>
      </c>
      <c r="T329" s="60" t="n">
        <f aca="false">EXP(H329)</f>
        <v>1</v>
      </c>
      <c r="U329" s="60" t="n">
        <f aca="false">EXP(I329)</f>
        <v>1</v>
      </c>
      <c r="V329" s="60" t="n">
        <f aca="false">EXP(J329)</f>
        <v>1</v>
      </c>
      <c r="W329" s="60" t="n">
        <f aca="false">EXP(K329)</f>
        <v>1</v>
      </c>
      <c r="X329" s="60" t="n">
        <f aca="false">EXP(L329)</f>
        <v>1</v>
      </c>
      <c r="Y329" s="60" t="n">
        <f aca="false">EXP(M329)</f>
        <v>1</v>
      </c>
      <c r="Z329" s="60" t="n">
        <f aca="false">MAX(N329:Y329)</f>
        <v>1</v>
      </c>
      <c r="AA329" s="60" t="n">
        <f aca="false">MIN(N329:Y329)</f>
        <v>1</v>
      </c>
      <c r="AB329" s="60" t="n">
        <f aca="false">AND(Z329&gt;1,AA329&lt;1)</f>
        <v>0</v>
      </c>
      <c r="AC329" s="60" t="n">
        <f aca="false">IF(AB329,1/(1-Z329),0)</f>
        <v>0</v>
      </c>
      <c r="AD329" s="60" t="n">
        <f aca="false">IF(AB329,1/(1-AA329),1)</f>
        <v>1</v>
      </c>
      <c r="AE329" s="60" t="n">
        <f aca="false">IF(AB329,MIN(MAX(BI328,AC329+0.000000001*(AD329-AC329)),AD329-0.000000001*(AD329-AC329)),IF(AA329&gt;=1,1,0))</f>
        <v>1</v>
      </c>
      <c r="AF329" s="60" t="n">
        <f aca="false">SUMPRODUCT($E$13:$P$13*(N329:Y329-1)/(1+AE329*(N329:Y329-1)))</f>
        <v>0</v>
      </c>
      <c r="AG329" s="60" t="n">
        <f aca="false">-SUMPRODUCT($E$13:$P$13*(N329:Y329-1)^2/(1+AE329*(N329:Y329-1))^2)</f>
        <v>-0</v>
      </c>
      <c r="AH329" s="60" t="n">
        <f aca="false">IF(OR(NOT(AB329),AG329=0),AE329,IF(AE329-AF329/AG329&lt;=AC329,(AE329+AC329)/2,IF(AE329-AF329/AG329&gt;=AD329,(AE329+AD329)/2,AE329-AF329/AG329)))</f>
        <v>1</v>
      </c>
      <c r="AI329" s="60" t="n">
        <f aca="false">SUMPRODUCT($E$13:$P$13*(N329:Y329-1)/(1+AH329*(N329:Y329-1)))</f>
        <v>0</v>
      </c>
      <c r="AJ329" s="60" t="n">
        <f aca="false">-SUMPRODUCT($E$13:$P$13*(N329:Y329-1)^2/(1+AH329*(N329:Y329-1))^2)</f>
        <v>-0</v>
      </c>
      <c r="AK329" s="60" t="n">
        <f aca="false">IF(OR(NOT(AB329),AJ329=0),AH329,IF(AH329-AI329/AJ329&lt;=AC329,(AH329+AC329)/2,IF(AH329-AI329/AJ329&gt;=AD329,(AH329+AD329)/2,AH329-AI329/AJ329)))</f>
        <v>1</v>
      </c>
      <c r="AL329" s="60" t="n">
        <f aca="false">SUMPRODUCT($E$13:$P$13*(N329:Y329-1)/(1+AK329*(N329:Y329-1)))</f>
        <v>0</v>
      </c>
      <c r="AM329" s="60" t="n">
        <f aca="false">-SUMPRODUCT($E$13:$P$13*(N329:Y329-1)^2/(1+AK329*(N329:Y329-1))^2)</f>
        <v>-0</v>
      </c>
      <c r="AN329" s="60" t="n">
        <f aca="false">IF(OR(NOT(AB329),AM329=0),AK329,IF(AK329-AL329/AM329&lt;=AC329,(AK329+AC329)/2,IF(AK329-AL329/AM329&gt;=AD329,(AK329+AD329)/2,AK329-AL329/AM329)))</f>
        <v>1</v>
      </c>
      <c r="AO329" s="60" t="n">
        <f aca="false">SUMPRODUCT($E$13:$P$13*(N329:Y329-1)/(1+AN329*(N329:Y329-1)))</f>
        <v>0</v>
      </c>
      <c r="AP329" s="60" t="n">
        <f aca="false">-SUMPRODUCT($E$13:$P$13*(N329:Y329-1)^2/(1+AN329*(N329:Y329-1))^2)</f>
        <v>-0</v>
      </c>
      <c r="AQ329" s="60" t="n">
        <f aca="false">IF(OR(NOT(AB329),AP329=0),AN329,IF(AN329-AO329/AP329&lt;=AC329,(AN329+AC329)/2,IF(AN329-AO329/AP329&gt;=AD329,(AN329+AD329)/2,AN329-AO329/AP329)))</f>
        <v>1</v>
      </c>
      <c r="AR329" s="60" t="n">
        <f aca="false">SUMPRODUCT($E$13:$P$13*(N329:Y329-1)/(1+AQ329*(N329:Y329-1)))</f>
        <v>0</v>
      </c>
      <c r="AS329" s="60" t="n">
        <f aca="false">-SUMPRODUCT($E$13:$P$13*(N329:Y329-1)^2/(1+AQ329*(N329:Y329-1))^2)</f>
        <v>-0</v>
      </c>
      <c r="AT329" s="60" t="n">
        <f aca="false">IF(OR(NOT(AB329),AS329=0),AQ329,IF(AQ329-AR329/AS329&lt;=AC329,(AQ329+AC329)/2,IF(AQ329-AR329/AS329&gt;=AD329,(AQ329+AD329)/2,AQ329-AR329/AS329)))</f>
        <v>1</v>
      </c>
      <c r="AU329" s="60" t="n">
        <f aca="false">SUMPRODUCT($E$13:$P$13*(N329:Y329-1)/(1+AT329*(N329:Y329-1)))</f>
        <v>0</v>
      </c>
      <c r="AV329" s="60" t="n">
        <f aca="false">-SUMPRODUCT($E$13:$P$13*(N329:Y329-1)^2/(1+AT329*(N329:Y329-1))^2)</f>
        <v>-0</v>
      </c>
      <c r="AW329" s="60" t="n">
        <f aca="false">IF(OR(NOT(AB329),AV329=0),AT329,IF(AT329-AU329/AV329&lt;=AC329,(AT329+AC329)/2,IF(AT329-AU329/AV329&gt;=AD329,(AT329+AD329)/2,AT329-AU329/AV329)))</f>
        <v>1</v>
      </c>
      <c r="AX329" s="60" t="n">
        <f aca="false">SUMPRODUCT($E$13:$P$13*(N329:Y329-1)/(1+AW329*(N329:Y329-1)))</f>
        <v>0</v>
      </c>
      <c r="AY329" s="60" t="n">
        <f aca="false">-SUMPRODUCT($E$13:$P$13*(N329:Y329-1)^2/(1+AW329*(N329:Y329-1))^2)</f>
        <v>-0</v>
      </c>
      <c r="AZ329" s="60" t="n">
        <f aca="false">IF(OR(NOT(AB329),AY329=0),AW329,IF(AW329-AX329/AY329&lt;=AC329,(AW329+AC329)/2,IF(AW329-AX329/AY329&gt;=AD329,(AW329+AD329)/2,AW329-AX329/AY329)))</f>
        <v>1</v>
      </c>
      <c r="BA329" s="60" t="n">
        <f aca="false">SUMPRODUCT($E$13:$P$13*(N329:Y329-1)/(1+AZ329*(N329:Y329-1)))</f>
        <v>0</v>
      </c>
      <c r="BB329" s="60" t="n">
        <f aca="false">-SUMPRODUCT($E$13:$P$13*(N329:Y329-1)^2/(1+AZ329*(N329:Y329-1))^2)</f>
        <v>-0</v>
      </c>
      <c r="BC329" s="60" t="n">
        <f aca="false">IF(OR(NOT(AB329),BB329=0),AZ329,IF(AZ329-BA329/BB329&lt;=AC329,(AZ329+AC329)/2,IF(AZ329-BA329/BB329&gt;=AD329,(AZ329+AD329)/2,AZ329-BA329/BB329)))</f>
        <v>1</v>
      </c>
      <c r="BD329" s="60" t="n">
        <f aca="false">SUMPRODUCT($E$13:$P$13*(N329:Y329-1)/(1+BC329*(N329:Y329-1)))</f>
        <v>0</v>
      </c>
      <c r="BE329" s="60" t="n">
        <f aca="false">-SUMPRODUCT($E$13:$P$13*(N329:Y329-1)^2/(1+BC329*(N329:Y329-1))^2)</f>
        <v>-0</v>
      </c>
      <c r="BF329" s="60" t="n">
        <f aca="false">IF(OR(NOT(AB329),BE329=0),BC329,IF(BC329-BD329/BE329&lt;=AC329,(BC329+AC329)/2,IF(BC329-BD329/BE329&gt;=AD329,(BC329+AD329)/2,BC329-BD329/BE329)))</f>
        <v>1</v>
      </c>
      <c r="BG329" s="60" t="n">
        <f aca="false">SUMPRODUCT($E$13:$P$13*(N329:Y329-1)/(1+BF329*(N329:Y329-1)))</f>
        <v>0</v>
      </c>
      <c r="BH329" s="60" t="n">
        <f aca="false">-SUMPRODUCT($E$13:$P$13*(N329:Y329-1)^2/(1+BF329*(N329:Y329-1))^2)</f>
        <v>-0</v>
      </c>
      <c r="BI329" s="60" t="n">
        <f aca="false">IF(OR(NOT(AB329),BH329=0),BF329,IF(BF329-BG329/BH329&lt;=AC329,(BF329+AC329)/2,IF(BF329-BG329/BH329&gt;=AD329,(BF329+AD329)/2,BF329-BG329/BH329)))</f>
        <v>1</v>
      </c>
      <c r="BJ329" s="60" t="n">
        <f aca="false">$E$13/(1+BI329*(N329-1))</f>
        <v>1</v>
      </c>
      <c r="BK329" s="60" t="n">
        <f aca="false">$F$13/(1+BI329*(O329-1))</f>
        <v>0</v>
      </c>
      <c r="BL329" s="60" t="n">
        <f aca="false">$G$13/(1+BI329*(P329-1))</f>
        <v>0</v>
      </c>
      <c r="BM329" s="60" t="n">
        <f aca="false">$H$13/(1+BI329*(Q329-1))</f>
        <v>0</v>
      </c>
      <c r="BN329" s="60" t="n">
        <f aca="false">$I$13/(1+BI329*(R329-1))</f>
        <v>0</v>
      </c>
      <c r="BO329" s="60" t="n">
        <f aca="false">$J$13/(1+BI329*(S329-1))</f>
        <v>0</v>
      </c>
      <c r="BP329" s="60" t="n">
        <f aca="false">$K$13/(1+BI329*(T329-1))</f>
        <v>0</v>
      </c>
      <c r="BQ329" s="60" t="n">
        <f aca="false">$L$13/(1+BI329*(U329-1))</f>
        <v>0</v>
      </c>
      <c r="BR329" s="60" t="n">
        <f aca="false">$M$13/(1+BI329*(V329-1))</f>
        <v>0</v>
      </c>
      <c r="BS329" s="60" t="n">
        <f aca="false">$N$13/(1+BI329*(W329-1))</f>
        <v>0</v>
      </c>
      <c r="BT329" s="60" t="n">
        <f aca="false">$O$13/(1+BI329*(X329-1))</f>
        <v>0</v>
      </c>
      <c r="BU329" s="60" t="n">
        <f aca="false">$P$13/(1+BI329*(Y329-1))</f>
        <v>0</v>
      </c>
      <c r="BV329" s="60" t="n">
        <f aca="false">SUM(BJ329:BU329)</f>
        <v>1</v>
      </c>
      <c r="BW329" s="60" t="n">
        <f aca="false">SUMPRODUCT(N329:Y329,BJ329:BU329)</f>
        <v>1</v>
      </c>
      <c r="BX329" s="60" t="n">
        <f aca="false">BJ329/BV329</f>
        <v>1</v>
      </c>
      <c r="BY329" s="60" t="n">
        <f aca="false">BK329/BV329</f>
        <v>0</v>
      </c>
      <c r="BZ329" s="60" t="n">
        <f aca="false">BL329/BV329</f>
        <v>0</v>
      </c>
      <c r="CA329" s="60" t="n">
        <f aca="false">BM329/BV329</f>
        <v>0</v>
      </c>
      <c r="CB329" s="60" t="n">
        <f aca="false">BN329/BV329</f>
        <v>0</v>
      </c>
      <c r="CC329" s="60" t="n">
        <f aca="false">BO329/BV329</f>
        <v>0</v>
      </c>
      <c r="CD329" s="60" t="n">
        <f aca="false">BP329/BV329</f>
        <v>0</v>
      </c>
      <c r="CE329" s="60" t="n">
        <f aca="false">BQ329/BV329</f>
        <v>0</v>
      </c>
      <c r="CF329" s="60" t="n">
        <f aca="false">BR329/BV329</f>
        <v>0</v>
      </c>
      <c r="CG329" s="60" t="n">
        <f aca="false">BS329/BV329</f>
        <v>0</v>
      </c>
      <c r="CH329" s="60" t="n">
        <f aca="false">BT329/BV329</f>
        <v>0</v>
      </c>
      <c r="CI329" s="60" t="n">
        <f aca="false">BU329/BV329</f>
        <v>0</v>
      </c>
      <c r="CJ329" s="60" t="n">
        <f aca="false">N329*BJ329/BW329</f>
        <v>1</v>
      </c>
      <c r="CK329" s="60" t="n">
        <f aca="false">O329*BK329/BW329</f>
        <v>0</v>
      </c>
      <c r="CL329" s="60" t="n">
        <f aca="false">P329*BL329/BW329</f>
        <v>0</v>
      </c>
      <c r="CM329" s="60" t="n">
        <f aca="false">Q329*BM329/BW329</f>
        <v>0</v>
      </c>
      <c r="CN329" s="60" t="n">
        <f aca="false">R329*BN329/BW329</f>
        <v>0</v>
      </c>
      <c r="CO329" s="60" t="n">
        <f aca="false">S329*BO329/BW329</f>
        <v>0</v>
      </c>
      <c r="CP329" s="60" t="n">
        <f aca="false">T329*BP329/BW329</f>
        <v>0</v>
      </c>
      <c r="CQ329" s="60" t="n">
        <f aca="false">U329*BQ329/BW329</f>
        <v>0</v>
      </c>
      <c r="CR329" s="60" t="n">
        <f aca="false">V329*BR329/BW329</f>
        <v>0</v>
      </c>
      <c r="CS329" s="60" t="n">
        <f aca="false">W329*BS329/BW329</f>
        <v>0</v>
      </c>
      <c r="CT329" s="60" t="n">
        <f aca="false">X329*BT329/BW329</f>
        <v>0</v>
      </c>
      <c r="CU329" s="60" t="n">
        <f aca="false">Y329*BU329/BW329</f>
        <v>0</v>
      </c>
      <c r="CV329" s="60" t="n">
        <f aca="false">$E$28*SUMPRODUCT($E$31:$P$31,BX329:CI329,$E$28:$P$28)</f>
        <v>0.184416866619846</v>
      </c>
      <c r="CW329" s="60" t="n">
        <f aca="false">$F$28*SUMPRODUCT($E$32:$P$32,BX329:CI329,$E$28:$P$28)</f>
        <v>0</v>
      </c>
      <c r="CX329" s="60" t="n">
        <f aca="false">$G$28*SUMPRODUCT($E$33:$P$33,BX329:CI329,$E$28:$P$28)</f>
        <v>0</v>
      </c>
      <c r="CY329" s="60" t="n">
        <f aca="false">$H$28*SUMPRODUCT($E$34:$P$34,BX329:CI329,$E$28:$P$28)</f>
        <v>0</v>
      </c>
      <c r="CZ329" s="60" t="n">
        <f aca="false">$I$28*SUMPRODUCT($E$35:$P$35,BX329:CI329,$E$28:$P$28)</f>
        <v>0</v>
      </c>
      <c r="DA329" s="60" t="n">
        <f aca="false">$J$28*SUMPRODUCT($E$36:$P$36,BX329:CI329,$E$28:$P$28)</f>
        <v>0</v>
      </c>
      <c r="DB329" s="60" t="n">
        <f aca="false">$K$28*SUMPRODUCT($E$37:$P$37,BX329:CI329,$E$28:$P$28)</f>
        <v>0</v>
      </c>
      <c r="DC329" s="60" t="n">
        <f aca="false">$L$28*SUMPRODUCT($E$38:$P$38,BX329:CI329,$E$28:$P$28)</f>
        <v>0</v>
      </c>
      <c r="DD329" s="60" t="n">
        <f aca="false">$M$28*SUMPRODUCT($E$39:$P$39,BX329:CI329,$E$28:$P$28)</f>
        <v>0</v>
      </c>
      <c r="DE329" s="60" t="n">
        <f aca="false">$N$28*SUMPRODUCT($E$40:$P$40,BX329:CI329,$E$28:$P$28)</f>
        <v>0</v>
      </c>
      <c r="DF329" s="60" t="n">
        <f aca="false">$O$28*SUMPRODUCT($E$41:$P$41,BX329:CI329,$E$28:$P$28)</f>
        <v>0</v>
      </c>
      <c r="DG329" s="60" t="n">
        <f aca="false">$P$28*SUMPRODUCT($E$42:$P$42,BX329:CI329,$E$28:$P$28)</f>
        <v>0</v>
      </c>
      <c r="DH329" s="60" t="n">
        <f aca="false">SUMPRODUCT(BX329:CI329,CV329:DG329)</f>
        <v>0.184416866619846</v>
      </c>
      <c r="DI329" s="60" t="n">
        <f aca="false">SUMPRODUCT(BX329:CI329,$E$27:$P$27)</f>
        <v>2.67389635063809E-005</v>
      </c>
      <c r="DJ329" s="60" t="n">
        <f aca="false">DH329*$C$9/($C$10*$C$8)^2</f>
        <v>0.21776909410545</v>
      </c>
      <c r="DK329" s="60" t="n">
        <f aca="false">DI329*$C$9/($C$10*$C$8)</f>
        <v>0.0918845243259994</v>
      </c>
      <c r="DL329" s="60" t="n">
        <f aca="false">CHOOSE($C$7,-(1+DK329),-1,-(1-DK329))</f>
        <v>-0.908115475674001</v>
      </c>
      <c r="DM329" s="60" t="n">
        <f aca="false">CHOOSE($C$7,DJ329,DJ329-DK329-DK329^2,DJ329-3*DK329^2-2*DK329)</f>
        <v>0.00867174802160559</v>
      </c>
      <c r="DN329" s="60" t="n">
        <f aca="false">CHOOSE($C$7,-DJ329*DK329,-DJ329*DK329,-(DJ329*DK329-DK329^2-DK329^3))</f>
        <v>-0.0107910842936637</v>
      </c>
      <c r="DO329" s="60" t="n">
        <f aca="false">DM329-DL329^2/3</f>
        <v>-0.266219491031267</v>
      </c>
      <c r="DP329" s="60" t="n">
        <f aca="false">2*DL329^3/27-DL329*DM329/3+DN329</f>
        <v>-0.0636400988362784</v>
      </c>
      <c r="DQ329" s="60" t="n">
        <f aca="false">DP329^2/4+DO329^3/27</f>
        <v>0.000313710901361829</v>
      </c>
      <c r="DR329" s="60" t="n">
        <f aca="false">-DP329/2-IF(DP329&gt;=0,1,-1)*SQRT(MAX(DQ329,0))</f>
        <v>0.0495319352963236</v>
      </c>
      <c r="DS329" s="60" t="n">
        <f aca="false">SIGN(DR329)*ABS(DR329)^(1/3)</f>
        <v>0.367249967174439</v>
      </c>
      <c r="DT329" s="60" t="n">
        <f aca="false">IF(DS329=0,0,DS329-DO329/(3*DS329))</f>
        <v>0.60888329127384</v>
      </c>
      <c r="DU329" s="60" t="n">
        <f aca="false">2*SQRT(MAX(-DO329,0)/3)</f>
        <v>0.595784626668918</v>
      </c>
      <c r="DV329" s="60" t="n">
        <f aca="false">ACOS(IF(DU329=0,0,MAX(-1,MIN(1,3*DP329/(DO329*DU329)))))</f>
        <v>0</v>
      </c>
      <c r="DW329" s="60" t="n">
        <f aca="false">DU329*COS(DV329/3)</f>
        <v>0.595784626668918</v>
      </c>
      <c r="DX329" s="60" t="n">
        <f aca="false">IF(DQ329&lt;0,DW329,DT329)-DL329/3</f>
        <v>0.91158844983184</v>
      </c>
      <c r="DY329" s="60" t="n">
        <f aca="false">IFERROR((((DX329+DL329)*DX329+DM329)*DX329+DN329)/((3*DX329+2*DL329)*DX329+DM329),0)</f>
        <v>0</v>
      </c>
      <c r="DZ329" s="60" t="n">
        <f aca="false">IF(ABS(DY329)&lt;0.1*ABS(DX329),DX329-DY329,DX329)</f>
        <v>0.91158844983184</v>
      </c>
      <c r="EA329" s="60" t="n">
        <f aca="false">IFERROR((((DZ329+DL329)*DZ329+DM329)*DZ329+DN329)/((3*DZ329+2*DL329)*DZ329+DM329),0)</f>
        <v>0</v>
      </c>
      <c r="EB329" s="60" t="n">
        <f aca="false">IF(ABS(EA329)&lt;0.1*ABS(DZ329),DZ329-EA329,DZ329)</f>
        <v>0.91158844983184</v>
      </c>
      <c r="EC329" s="60" t="n">
        <f aca="false">-DN329/EB329</f>
        <v>0.0118376711504565</v>
      </c>
      <c r="ED329" s="60" t="n">
        <f aca="false">(DM329-EC329)/EB329</f>
        <v>-0.00347297415783941</v>
      </c>
      <c r="EE329" s="60" t="n">
        <f aca="false">ED329^2-4*EC329</f>
        <v>-0.0473386230523248</v>
      </c>
      <c r="EF329" s="60" t="n">
        <f aca="false">IF(EE329&gt;=0,(ED329+IF(ED329&gt;=0,1,-1)*SQRT(EE329))/2,0)</f>
        <v>0</v>
      </c>
      <c r="EG329" s="60" t="n">
        <f aca="false">IF(AND(EE329&gt;=0,EF329&lt;&gt;0),MIN(EF329,EC329/EF329),-1)</f>
        <v>-1</v>
      </c>
      <c r="EH329" s="60" t="n">
        <f aca="false">AND(EE329&gt;=0,EG329&gt;DK329,ABS(EB329-EG329)&gt;=0.00005*MAX(EB329,EG329))</f>
        <v>0</v>
      </c>
      <c r="EI329" s="60" t="n">
        <f aca="false">IF(EH329,IFERROR((((EG329+DL329)*EG329+DM329)*EG329+DN329)/((3*EG329+2*DL329)*EG329+DM329),0),0)</f>
        <v>0</v>
      </c>
      <c r="EJ329" s="60" t="n">
        <f aca="false">IF(ABS(EI329)&lt;0.1*ABS(EG329),EG329-EI329,EG329)</f>
        <v>-1</v>
      </c>
      <c r="EK329" s="60" t="n">
        <f aca="false">IF(EH329,IFERROR((((EJ329+DL329)*EJ329+DM329)*EJ329+DN329)/((3*EJ329+2*DL329)*EJ329+DM329),0),0)</f>
        <v>0</v>
      </c>
      <c r="EL329" s="60" t="n">
        <f aca="false">IF(ABS(EK329)&lt;0.1*ABS(EJ329),EJ329-EK329,EJ329)</f>
        <v>-1</v>
      </c>
      <c r="EM329" s="60" t="n">
        <f aca="false">IF(EH329,MAX(EB329,EL329),EB329)</f>
        <v>0.91158844983184</v>
      </c>
      <c r="EN329" s="60" t="n">
        <f aca="false">IF(EH329,MIN(EB329,EL329),-1)</f>
        <v>-1</v>
      </c>
      <c r="EO329" s="60" t="n">
        <f aca="false">CHOOSE($C$7,DJ329/EM329,DJ329/DK329*LN(1+DK329/EM329),DJ329/(2*SQRT(2)*DK329)*LN((EM329+(1+SQRT(2))*DK329)/(EM329+(1-SQRT(2))*DK329)))</f>
        <v>0.218240791233887</v>
      </c>
      <c r="EP329" s="60" t="n">
        <f aca="false">EM329-1-LN(EM329-DK329)-EO329</f>
        <v>-0.107840271021729</v>
      </c>
      <c r="EQ329" s="60" t="n">
        <f aca="false">IF(EH329,CHOOSE($C$7,DJ329/EN329,DJ329/DK329*LN(1+DK329/EN329),DJ329/(2*SQRT(2)*DK329)*LN((EN329+(1+SQRT(2))*DK329)/(EN329+(1-SQRT(2))*DK329))),0)</f>
        <v>0</v>
      </c>
      <c r="ER329" s="60" t="n">
        <f aca="false">IF(EH329,EN329-1-LN(EN329-DK329)-EQ329,0)</f>
        <v>0</v>
      </c>
      <c r="ES329" s="60" t="n">
        <f aca="false">AND(EH329,ER329&lt;EP329)</f>
        <v>0</v>
      </c>
      <c r="ET329" s="60" t="n">
        <f aca="false">IF(ES329,EN329,EM329)</f>
        <v>0.91158844983184</v>
      </c>
      <c r="EU329" s="60" t="n">
        <f aca="false">IF(ES329,EQ329,EO329)</f>
        <v>0.218240791233887</v>
      </c>
      <c r="EV329" s="60" t="n">
        <f aca="false">LN(ET329-DK329)</f>
        <v>-0.198812070380318</v>
      </c>
      <c r="EW329" s="60" t="n">
        <f aca="false">$E$27/DI329*(ET329-1)-EV329-EU329*(2*CV329/DH329-$E$27/DI329)</f>
        <v>-0.107840271021729</v>
      </c>
      <c r="EX329" s="60" t="n">
        <f aca="false">$F$27/DI329*(ET329-1)-EV329-EU329*(2*CW329/DH329-$F$27/DI329)</f>
        <v>0.198812070380318</v>
      </c>
      <c r="EY329" s="60" t="n">
        <f aca="false">$G$27/DI329*(ET329-1)-EV329-EU329*(2*CX329/DH329-$G$27/DI329)</f>
        <v>0.198812070380318</v>
      </c>
      <c r="EZ329" s="60" t="n">
        <f aca="false">$H$27/DI329*(ET329-1)-EV329-EU329*(2*CY329/DH329-$H$27/DI329)</f>
        <v>0.198812070380318</v>
      </c>
      <c r="FA329" s="60" t="n">
        <f aca="false">$I$27/DI329*(ET329-1)-EV329-EU329*(2*CZ329/DH329-$I$27/DI329)</f>
        <v>0.198812070380318</v>
      </c>
      <c r="FB329" s="60" t="n">
        <f aca="false">$J$27/DI329*(ET329-1)-EV329-EU329*(2*DA329/DH329-$J$27/DI329)</f>
        <v>0.198812070380318</v>
      </c>
      <c r="FC329" s="60" t="n">
        <f aca="false">$K$27/DI329*(ET329-1)-EV329-EU329*(2*DB329/DH329-$K$27/DI329)</f>
        <v>0.198812070380318</v>
      </c>
      <c r="FD329" s="60" t="n">
        <f aca="false">$L$27/DI329*(ET329-1)-EV329-EU329*(2*DC329/DH329-$L$27/DI329)</f>
        <v>0.198812070380318</v>
      </c>
      <c r="FE329" s="60" t="n">
        <f aca="false">$M$27/DI329*(ET329-1)-EV329-EU329*(2*DD329/DH329-$M$27/DI329)</f>
        <v>0.198812070380318</v>
      </c>
      <c r="FF329" s="60" t="n">
        <f aca="false">$N$27/DI329*(ET329-1)-EV329-EU329*(2*DE329/DH329-$N$27/DI329)</f>
        <v>0.198812070380318</v>
      </c>
      <c r="FG329" s="60" t="n">
        <f aca="false">$O$27/DI329*(ET329-1)-EV329-EU329*(2*DF329/DH329-$O$27/DI329)</f>
        <v>0.198812070380318</v>
      </c>
      <c r="FH329" s="60" t="n">
        <f aca="false">$P$27/DI329*(ET329-1)-EV329-EU329*(2*DG329/DH329-$P$27/DI329)</f>
        <v>0.198812070380318</v>
      </c>
      <c r="FI329" s="60" t="n">
        <f aca="false">DK329/ET329&gt;$C$22</f>
        <v>0</v>
      </c>
      <c r="FJ329" s="60" t="n">
        <f aca="false">$E$28*SUMPRODUCT($E$31:$P$31,CJ329:CU329,$E$28:$P$28)</f>
        <v>0.184416866619846</v>
      </c>
      <c r="FK329" s="60" t="n">
        <f aca="false">$F$28*SUMPRODUCT($E$32:$P$32,CJ329:CU329,$E$28:$P$28)</f>
        <v>0</v>
      </c>
      <c r="FL329" s="60" t="n">
        <f aca="false">$G$28*SUMPRODUCT($E$33:$P$33,CJ329:CU329,$E$28:$P$28)</f>
        <v>0</v>
      </c>
      <c r="FM329" s="60" t="n">
        <f aca="false">$H$28*SUMPRODUCT($E$34:$P$34,CJ329:CU329,$E$28:$P$28)</f>
        <v>0</v>
      </c>
      <c r="FN329" s="60" t="n">
        <f aca="false">$I$28*SUMPRODUCT($E$35:$P$35,CJ329:CU329,$E$28:$P$28)</f>
        <v>0</v>
      </c>
      <c r="FO329" s="60" t="n">
        <f aca="false">$J$28*SUMPRODUCT($E$36:$P$36,CJ329:CU329,$E$28:$P$28)</f>
        <v>0</v>
      </c>
      <c r="FP329" s="60" t="n">
        <f aca="false">$K$28*SUMPRODUCT($E$37:$P$37,CJ329:CU329,$E$28:$P$28)</f>
        <v>0</v>
      </c>
      <c r="FQ329" s="60" t="n">
        <f aca="false">$L$28*SUMPRODUCT($E$38:$P$38,CJ329:CU329,$E$28:$P$28)</f>
        <v>0</v>
      </c>
      <c r="FR329" s="60" t="n">
        <f aca="false">$M$28*SUMPRODUCT($E$39:$P$39,CJ329:CU329,$E$28:$P$28)</f>
        <v>0</v>
      </c>
      <c r="FS329" s="60" t="n">
        <f aca="false">$N$28*SUMPRODUCT($E$40:$P$40,CJ329:CU329,$E$28:$P$28)</f>
        <v>0</v>
      </c>
      <c r="FT329" s="60" t="n">
        <f aca="false">$O$28*SUMPRODUCT($E$41:$P$41,CJ329:CU329,$E$28:$P$28)</f>
        <v>0</v>
      </c>
      <c r="FU329" s="60" t="n">
        <f aca="false">$P$28*SUMPRODUCT($E$42:$P$42,CJ329:CU329,$E$28:$P$28)</f>
        <v>0</v>
      </c>
      <c r="FV329" s="60" t="n">
        <f aca="false">SUMPRODUCT(CJ329:CU329,FJ329:FU329)</f>
        <v>0.184416866619846</v>
      </c>
      <c r="FW329" s="60" t="n">
        <f aca="false">SUMPRODUCT(CJ329:CU329,$E$27:$P$27)</f>
        <v>2.67389635063809E-005</v>
      </c>
      <c r="FX329" s="60" t="n">
        <f aca="false">FV329*$C$9/($C$10*$C$8)^2</f>
        <v>0.21776909410545</v>
      </c>
      <c r="FY329" s="60" t="n">
        <f aca="false">FW329*$C$9/($C$10*$C$8)</f>
        <v>0.0918845243259994</v>
      </c>
      <c r="FZ329" s="60" t="n">
        <f aca="false">CHOOSE($C$7,-(1+FY329),-1,-(1-FY329))</f>
        <v>-0.908115475674001</v>
      </c>
      <c r="GA329" s="60" t="n">
        <f aca="false">CHOOSE($C$7,FX329,FX329-FY329-FY329^2,FX329-3*FY329^2-2*FY329)</f>
        <v>0.00867174802160559</v>
      </c>
      <c r="GB329" s="60" t="n">
        <f aca="false">CHOOSE($C$7,-FX329*FY329,-FX329*FY329,-(FX329*FY329-FY329^2-FY329^3))</f>
        <v>-0.0107910842936637</v>
      </c>
      <c r="GC329" s="60" t="n">
        <f aca="false">GA329-FZ329^2/3</f>
        <v>-0.266219491031267</v>
      </c>
      <c r="GD329" s="60" t="n">
        <f aca="false">2*FZ329^3/27-FZ329*GA329/3+GB329</f>
        <v>-0.0636400988362784</v>
      </c>
      <c r="GE329" s="60" t="n">
        <f aca="false">GD329^2/4+GC329^3/27</f>
        <v>0.000313710901361829</v>
      </c>
      <c r="GF329" s="60" t="n">
        <f aca="false">-GD329/2-IF(GD329&gt;=0,1,-1)*SQRT(MAX(GE329,0))</f>
        <v>0.0495319352963236</v>
      </c>
      <c r="GG329" s="60" t="n">
        <f aca="false">SIGN(GF329)*ABS(GF329)^(1/3)</f>
        <v>0.367249967174439</v>
      </c>
      <c r="GH329" s="60" t="n">
        <f aca="false">IF(GG329=0,0,GG329-GC329/(3*GG329))</f>
        <v>0.60888329127384</v>
      </c>
      <c r="GI329" s="60" t="n">
        <f aca="false">2*SQRT(MAX(-GC329,0)/3)</f>
        <v>0.595784626668918</v>
      </c>
      <c r="GJ329" s="60" t="n">
        <f aca="false">ACOS(IF(GI329=0,0,MAX(-1,MIN(1,3*GD329/(GC329*GI329)))))</f>
        <v>0</v>
      </c>
      <c r="GK329" s="60" t="n">
        <f aca="false">GI329*COS(GJ329/3)</f>
        <v>0.595784626668918</v>
      </c>
      <c r="GL329" s="60" t="n">
        <f aca="false">IF(GE329&lt;0,GK329,GH329)-FZ329/3</f>
        <v>0.91158844983184</v>
      </c>
      <c r="GM329" s="60" t="n">
        <f aca="false">IFERROR((((GL329+FZ329)*GL329+GA329)*GL329+GB329)/((3*GL329+2*FZ329)*GL329+GA329),0)</f>
        <v>0</v>
      </c>
      <c r="GN329" s="60" t="n">
        <f aca="false">IF(ABS(GM329)&lt;0.1*ABS(GL329),GL329-GM329,GL329)</f>
        <v>0.91158844983184</v>
      </c>
      <c r="GO329" s="60" t="n">
        <f aca="false">IFERROR((((GN329+FZ329)*GN329+GA329)*GN329+GB329)/((3*GN329+2*FZ329)*GN329+GA329),0)</f>
        <v>0</v>
      </c>
      <c r="GP329" s="60" t="n">
        <f aca="false">IF(ABS(GO329)&lt;0.1*ABS(GN329),GN329-GO329,GN329)</f>
        <v>0.91158844983184</v>
      </c>
      <c r="GQ329" s="60" t="n">
        <f aca="false">-GB329/GP329</f>
        <v>0.0118376711504565</v>
      </c>
      <c r="GR329" s="60" t="n">
        <f aca="false">(GA329-GQ329)/GP329</f>
        <v>-0.00347297415783941</v>
      </c>
      <c r="GS329" s="60" t="n">
        <f aca="false">GR329^2-4*GQ329</f>
        <v>-0.0473386230523248</v>
      </c>
      <c r="GT329" s="60" t="n">
        <f aca="false">IF(GS329&gt;=0,(GR329+IF(GR329&gt;=0,1,-1)*SQRT(GS329))/2,0)</f>
        <v>0</v>
      </c>
      <c r="GU329" s="60" t="n">
        <f aca="false">IF(AND(GS329&gt;=0,GT329&lt;&gt;0),MIN(GT329,GQ329/GT329),-1)</f>
        <v>-1</v>
      </c>
      <c r="GV329" s="60" t="n">
        <f aca="false">AND(GS329&gt;=0,GU329&gt;FY329,ABS(GP329-GU329)&gt;=0.00005*MAX(GP329,GU329))</f>
        <v>0</v>
      </c>
      <c r="GW329" s="60" t="n">
        <f aca="false">IF(GV329,IFERROR((((GU329+FZ329)*GU329+GA329)*GU329+GB329)/((3*GU329+2*FZ329)*GU329+GA329),0),0)</f>
        <v>0</v>
      </c>
      <c r="GX329" s="60" t="n">
        <f aca="false">IF(ABS(GW329)&lt;0.1*ABS(GU329),GU329-GW329,GU329)</f>
        <v>-1</v>
      </c>
      <c r="GY329" s="60" t="n">
        <f aca="false">IF(GV329,IFERROR((((GX329+FZ329)*GX329+GA329)*GX329+GB329)/((3*GX329+2*FZ329)*GX329+GA329),0),0)</f>
        <v>0</v>
      </c>
      <c r="GZ329" s="60" t="n">
        <f aca="false">IF(ABS(GY329)&lt;0.1*ABS(GX329),GX329-GY329,GX329)</f>
        <v>-1</v>
      </c>
      <c r="HA329" s="60" t="n">
        <f aca="false">IF(GV329,MAX(GP329,GZ329),GP329)</f>
        <v>0.91158844983184</v>
      </c>
      <c r="HB329" s="60" t="n">
        <f aca="false">IF(GV329,MIN(GP329,GZ329),-1)</f>
        <v>-1</v>
      </c>
      <c r="HC329" s="60" t="n">
        <f aca="false">CHOOSE($C$7,FX329/HA329,FX329/FY329*LN(1+FY329/HA329),FX329/(2*SQRT(2)*FY329)*LN((HA329+(1+SQRT(2))*FY329)/(HA329+(1-SQRT(2))*FY329)))</f>
        <v>0.218240791233887</v>
      </c>
      <c r="HD329" s="60" t="n">
        <f aca="false">HA329-1-LN(HA329-FY329)-HC329</f>
        <v>-0.107840271021729</v>
      </c>
      <c r="HE329" s="60" t="n">
        <f aca="false">IF(GV329,CHOOSE($C$7,FX329/HB329,FX329/FY329*LN(1+FY329/HB329),FX329/(2*SQRT(2)*FY329)*LN((HB329+(1+SQRT(2))*FY329)/(HB329+(1-SQRT(2))*FY329))),0)</f>
        <v>0</v>
      </c>
      <c r="HF329" s="60" t="n">
        <f aca="false">IF(GV329,HB329-1-LN(HB329-FY329)-HE329,0)</f>
        <v>0</v>
      </c>
      <c r="HG329" s="60" t="n">
        <f aca="false">AND(GV329,HF329&lt;HD329)</f>
        <v>0</v>
      </c>
      <c r="HH329" s="60" t="n">
        <f aca="false">IF(HG329,HB329,HA329)</f>
        <v>0.91158844983184</v>
      </c>
      <c r="HI329" s="60" t="n">
        <f aca="false">IF(HG329,HE329,HC329)</f>
        <v>0.218240791233887</v>
      </c>
      <c r="HJ329" s="60" t="n">
        <f aca="false">LN(HH329-FY329)</f>
        <v>-0.198812070380318</v>
      </c>
      <c r="HK329" s="60" t="n">
        <f aca="false">$E$27/FW329*(HH329-1)-HJ329-HI329*(2*FJ329/FV329-$E$27/FW329)</f>
        <v>-0.107840271021729</v>
      </c>
      <c r="HL329" s="60" t="n">
        <f aca="false">$F$27/FW329*(HH329-1)-HJ329-HI329*(2*FK329/FV329-$F$27/FW329)</f>
        <v>0.198812070380318</v>
      </c>
      <c r="HM329" s="60" t="n">
        <f aca="false">$G$27/FW329*(HH329-1)-HJ329-HI329*(2*FL329/FV329-$G$27/FW329)</f>
        <v>0.198812070380318</v>
      </c>
      <c r="HN329" s="60" t="n">
        <f aca="false">$H$27/FW329*(HH329-1)-HJ329-HI329*(2*FM329/FV329-$H$27/FW329)</f>
        <v>0.198812070380318</v>
      </c>
      <c r="HO329" s="60" t="n">
        <f aca="false">$I$27/FW329*(HH329-1)-HJ329-HI329*(2*FN329/FV329-$I$27/FW329)</f>
        <v>0.198812070380318</v>
      </c>
      <c r="HP329" s="60" t="n">
        <f aca="false">$J$27/FW329*(HH329-1)-HJ329-HI329*(2*FO329/FV329-$J$27/FW329)</f>
        <v>0.198812070380318</v>
      </c>
      <c r="HQ329" s="60" t="n">
        <f aca="false">$K$27/FW329*(HH329-1)-HJ329-HI329*(2*FP329/FV329-$K$27/FW329)</f>
        <v>0.198812070380318</v>
      </c>
      <c r="HR329" s="60" t="n">
        <f aca="false">$L$27/FW329*(HH329-1)-HJ329-HI329*(2*FQ329/FV329-$L$27/FW329)</f>
        <v>0.198812070380318</v>
      </c>
      <c r="HS329" s="60" t="n">
        <f aca="false">$M$27/FW329*(HH329-1)-HJ329-HI329*(2*FR329/FV329-$M$27/FW329)</f>
        <v>0.198812070380318</v>
      </c>
      <c r="HT329" s="60" t="n">
        <f aca="false">$N$27/FW329*(HH329-1)-HJ329-HI329*(2*FS329/FV329-$N$27/FW329)</f>
        <v>0.198812070380318</v>
      </c>
      <c r="HU329" s="60" t="n">
        <f aca="false">$O$27/FW329*(HH329-1)-HJ329-HI329*(2*FT329/FV329-$O$27/FW329)</f>
        <v>0.198812070380318</v>
      </c>
      <c r="HV329" s="60" t="n">
        <f aca="false">$P$27/FW329*(HH329-1)-HJ329-HI329*(2*FU329/FV329-$P$27/FW329)</f>
        <v>0.198812070380318</v>
      </c>
      <c r="HW329" s="60" t="n">
        <f aca="false">FY329/HH329&gt;$C$22</f>
        <v>0</v>
      </c>
      <c r="HX329" s="60" t="n">
        <f aca="false">IF($E$13&gt;0,MAX(-300,MIN(300,EW329-HK329)),0)</f>
        <v>0</v>
      </c>
      <c r="HY329" s="60" t="n">
        <f aca="false">IF($F$13&gt;0,MAX(-300,MIN(300,EX329-HL329)),0)</f>
        <v>0</v>
      </c>
      <c r="HZ329" s="60" t="n">
        <f aca="false">IF($G$13&gt;0,MAX(-300,MIN(300,EY329-HM329)),0)</f>
        <v>0</v>
      </c>
      <c r="IA329" s="60" t="n">
        <f aca="false">IF($H$13&gt;0,MAX(-300,MIN(300,EZ329-HN329)),0)</f>
        <v>0</v>
      </c>
      <c r="IB329" s="60" t="n">
        <f aca="false">IF($I$13&gt;0,MAX(-300,MIN(300,FA329-HO329)),0)</f>
        <v>0</v>
      </c>
      <c r="IC329" s="60" t="n">
        <f aca="false">IF($J$13&gt;0,MAX(-300,MIN(300,FB329-HP329)),0)</f>
        <v>0</v>
      </c>
      <c r="ID329" s="60" t="n">
        <f aca="false">IF($K$13&gt;0,MAX(-300,MIN(300,FC329-HQ329)),0)</f>
        <v>0</v>
      </c>
      <c r="IE329" s="60" t="n">
        <f aca="false">IF($L$13&gt;0,MAX(-300,MIN(300,FD329-HR329)),0)</f>
        <v>0</v>
      </c>
      <c r="IF329" s="60" t="n">
        <f aca="false">IF($M$13&gt;0,MAX(-300,MIN(300,FE329-HS329)),0)</f>
        <v>0</v>
      </c>
      <c r="IG329" s="60" t="n">
        <f aca="false">IF($N$13&gt;0,MAX(-300,MIN(300,FF329-HT329)),0)</f>
        <v>0</v>
      </c>
      <c r="IH329" s="60" t="n">
        <f aca="false">IF($O$13&gt;0,MAX(-300,MIN(300,FG329-HU329)),0)</f>
        <v>0</v>
      </c>
      <c r="II329" s="60" t="n">
        <f aca="false">IF($P$13&gt;0,MAX(-300,MIN(300,FH329-HV329)),0)</f>
        <v>0</v>
      </c>
      <c r="IJ329" s="60" t="n">
        <f aca="false">SUMXMY2(HX329:II329,B329:M329)</f>
        <v>0</v>
      </c>
      <c r="IK329" s="60" t="n">
        <f aca="false">SUMSQ(B329:M329)</f>
        <v>0</v>
      </c>
    </row>
    <row r="330" customFormat="false" ht="15" hidden="false" customHeight="false" outlineLevel="0" collapsed="false">
      <c r="A330" s="59" t="n">
        <v>33</v>
      </c>
      <c r="B330" s="60" t="n">
        <f aca="false">HX329</f>
        <v>0</v>
      </c>
      <c r="C330" s="60" t="n">
        <f aca="false">HY329</f>
        <v>0</v>
      </c>
      <c r="D330" s="60" t="n">
        <f aca="false">HZ329</f>
        <v>0</v>
      </c>
      <c r="E330" s="60" t="n">
        <f aca="false">IA329</f>
        <v>0</v>
      </c>
      <c r="F330" s="60" t="n">
        <f aca="false">IB329</f>
        <v>0</v>
      </c>
      <c r="G330" s="60" t="n">
        <f aca="false">IC329</f>
        <v>0</v>
      </c>
      <c r="H330" s="60" t="n">
        <f aca="false">ID329</f>
        <v>0</v>
      </c>
      <c r="I330" s="60" t="n">
        <f aca="false">IE329</f>
        <v>0</v>
      </c>
      <c r="J330" s="60" t="n">
        <f aca="false">IF329</f>
        <v>0</v>
      </c>
      <c r="K330" s="60" t="n">
        <f aca="false">IG329</f>
        <v>0</v>
      </c>
      <c r="L330" s="60" t="n">
        <f aca="false">IH329</f>
        <v>0</v>
      </c>
      <c r="M330" s="60" t="n">
        <f aca="false">II329</f>
        <v>0</v>
      </c>
      <c r="N330" s="60" t="n">
        <f aca="false">EXP(B330)</f>
        <v>1</v>
      </c>
      <c r="O330" s="60" t="n">
        <f aca="false">EXP(C330)</f>
        <v>1</v>
      </c>
      <c r="P330" s="60" t="n">
        <f aca="false">EXP(D330)</f>
        <v>1</v>
      </c>
      <c r="Q330" s="60" t="n">
        <f aca="false">EXP(E330)</f>
        <v>1</v>
      </c>
      <c r="R330" s="60" t="n">
        <f aca="false">EXP(F330)</f>
        <v>1</v>
      </c>
      <c r="S330" s="60" t="n">
        <f aca="false">EXP(G330)</f>
        <v>1</v>
      </c>
      <c r="T330" s="60" t="n">
        <f aca="false">EXP(H330)</f>
        <v>1</v>
      </c>
      <c r="U330" s="60" t="n">
        <f aca="false">EXP(I330)</f>
        <v>1</v>
      </c>
      <c r="V330" s="60" t="n">
        <f aca="false">EXP(J330)</f>
        <v>1</v>
      </c>
      <c r="W330" s="60" t="n">
        <f aca="false">EXP(K330)</f>
        <v>1</v>
      </c>
      <c r="X330" s="60" t="n">
        <f aca="false">EXP(L330)</f>
        <v>1</v>
      </c>
      <c r="Y330" s="60" t="n">
        <f aca="false">EXP(M330)</f>
        <v>1</v>
      </c>
      <c r="Z330" s="60" t="n">
        <f aca="false">MAX(N330:Y330)</f>
        <v>1</v>
      </c>
      <c r="AA330" s="60" t="n">
        <f aca="false">MIN(N330:Y330)</f>
        <v>1</v>
      </c>
      <c r="AB330" s="60" t="n">
        <f aca="false">AND(Z330&gt;1,AA330&lt;1)</f>
        <v>0</v>
      </c>
      <c r="AC330" s="60" t="n">
        <f aca="false">IF(AB330,1/(1-Z330),0)</f>
        <v>0</v>
      </c>
      <c r="AD330" s="60" t="n">
        <f aca="false">IF(AB330,1/(1-AA330),1)</f>
        <v>1</v>
      </c>
      <c r="AE330" s="60" t="n">
        <f aca="false">IF(AB330,MIN(MAX(BI329,AC330+0.000000001*(AD330-AC330)),AD330-0.000000001*(AD330-AC330)),IF(AA330&gt;=1,1,0))</f>
        <v>1</v>
      </c>
      <c r="AF330" s="60" t="n">
        <f aca="false">SUMPRODUCT($E$13:$P$13*(N330:Y330-1)/(1+AE330*(N330:Y330-1)))</f>
        <v>0</v>
      </c>
      <c r="AG330" s="60" t="n">
        <f aca="false">-SUMPRODUCT($E$13:$P$13*(N330:Y330-1)^2/(1+AE330*(N330:Y330-1))^2)</f>
        <v>-0</v>
      </c>
      <c r="AH330" s="60" t="n">
        <f aca="false">IF(OR(NOT(AB330),AG330=0),AE330,IF(AE330-AF330/AG330&lt;=AC330,(AE330+AC330)/2,IF(AE330-AF330/AG330&gt;=AD330,(AE330+AD330)/2,AE330-AF330/AG330)))</f>
        <v>1</v>
      </c>
      <c r="AI330" s="60" t="n">
        <f aca="false">SUMPRODUCT($E$13:$P$13*(N330:Y330-1)/(1+AH330*(N330:Y330-1)))</f>
        <v>0</v>
      </c>
      <c r="AJ330" s="60" t="n">
        <f aca="false">-SUMPRODUCT($E$13:$P$13*(N330:Y330-1)^2/(1+AH330*(N330:Y330-1))^2)</f>
        <v>-0</v>
      </c>
      <c r="AK330" s="60" t="n">
        <f aca="false">IF(OR(NOT(AB330),AJ330=0),AH330,IF(AH330-AI330/AJ330&lt;=AC330,(AH330+AC330)/2,IF(AH330-AI330/AJ330&gt;=AD330,(AH330+AD330)/2,AH330-AI330/AJ330)))</f>
        <v>1</v>
      </c>
      <c r="AL330" s="60" t="n">
        <f aca="false">SUMPRODUCT($E$13:$P$13*(N330:Y330-1)/(1+AK330*(N330:Y330-1)))</f>
        <v>0</v>
      </c>
      <c r="AM330" s="60" t="n">
        <f aca="false">-SUMPRODUCT($E$13:$P$13*(N330:Y330-1)^2/(1+AK330*(N330:Y330-1))^2)</f>
        <v>-0</v>
      </c>
      <c r="AN330" s="60" t="n">
        <f aca="false">IF(OR(NOT(AB330),AM330=0),AK330,IF(AK330-AL330/AM330&lt;=AC330,(AK330+AC330)/2,IF(AK330-AL330/AM330&gt;=AD330,(AK330+AD330)/2,AK330-AL330/AM330)))</f>
        <v>1</v>
      </c>
      <c r="AO330" s="60" t="n">
        <f aca="false">SUMPRODUCT($E$13:$P$13*(N330:Y330-1)/(1+AN330*(N330:Y330-1)))</f>
        <v>0</v>
      </c>
      <c r="AP330" s="60" t="n">
        <f aca="false">-SUMPRODUCT($E$13:$P$13*(N330:Y330-1)^2/(1+AN330*(N330:Y330-1))^2)</f>
        <v>-0</v>
      </c>
      <c r="AQ330" s="60" t="n">
        <f aca="false">IF(OR(NOT(AB330),AP330=0),AN330,IF(AN330-AO330/AP330&lt;=AC330,(AN330+AC330)/2,IF(AN330-AO330/AP330&gt;=AD330,(AN330+AD330)/2,AN330-AO330/AP330)))</f>
        <v>1</v>
      </c>
      <c r="AR330" s="60" t="n">
        <f aca="false">SUMPRODUCT($E$13:$P$13*(N330:Y330-1)/(1+AQ330*(N330:Y330-1)))</f>
        <v>0</v>
      </c>
      <c r="AS330" s="60" t="n">
        <f aca="false">-SUMPRODUCT($E$13:$P$13*(N330:Y330-1)^2/(1+AQ330*(N330:Y330-1))^2)</f>
        <v>-0</v>
      </c>
      <c r="AT330" s="60" t="n">
        <f aca="false">IF(OR(NOT(AB330),AS330=0),AQ330,IF(AQ330-AR330/AS330&lt;=AC330,(AQ330+AC330)/2,IF(AQ330-AR330/AS330&gt;=AD330,(AQ330+AD330)/2,AQ330-AR330/AS330)))</f>
        <v>1</v>
      </c>
      <c r="AU330" s="60" t="n">
        <f aca="false">SUMPRODUCT($E$13:$P$13*(N330:Y330-1)/(1+AT330*(N330:Y330-1)))</f>
        <v>0</v>
      </c>
      <c r="AV330" s="60" t="n">
        <f aca="false">-SUMPRODUCT($E$13:$P$13*(N330:Y330-1)^2/(1+AT330*(N330:Y330-1))^2)</f>
        <v>-0</v>
      </c>
      <c r="AW330" s="60" t="n">
        <f aca="false">IF(OR(NOT(AB330),AV330=0),AT330,IF(AT330-AU330/AV330&lt;=AC330,(AT330+AC330)/2,IF(AT330-AU330/AV330&gt;=AD330,(AT330+AD330)/2,AT330-AU330/AV330)))</f>
        <v>1</v>
      </c>
      <c r="AX330" s="60" t="n">
        <f aca="false">SUMPRODUCT($E$13:$P$13*(N330:Y330-1)/(1+AW330*(N330:Y330-1)))</f>
        <v>0</v>
      </c>
      <c r="AY330" s="60" t="n">
        <f aca="false">-SUMPRODUCT($E$13:$P$13*(N330:Y330-1)^2/(1+AW330*(N330:Y330-1))^2)</f>
        <v>-0</v>
      </c>
      <c r="AZ330" s="60" t="n">
        <f aca="false">IF(OR(NOT(AB330),AY330=0),AW330,IF(AW330-AX330/AY330&lt;=AC330,(AW330+AC330)/2,IF(AW330-AX330/AY330&gt;=AD330,(AW330+AD330)/2,AW330-AX330/AY330)))</f>
        <v>1</v>
      </c>
      <c r="BA330" s="60" t="n">
        <f aca="false">SUMPRODUCT($E$13:$P$13*(N330:Y330-1)/(1+AZ330*(N330:Y330-1)))</f>
        <v>0</v>
      </c>
      <c r="BB330" s="60" t="n">
        <f aca="false">-SUMPRODUCT($E$13:$P$13*(N330:Y330-1)^2/(1+AZ330*(N330:Y330-1))^2)</f>
        <v>-0</v>
      </c>
      <c r="BC330" s="60" t="n">
        <f aca="false">IF(OR(NOT(AB330),BB330=0),AZ330,IF(AZ330-BA330/BB330&lt;=AC330,(AZ330+AC330)/2,IF(AZ330-BA330/BB330&gt;=AD330,(AZ330+AD330)/2,AZ330-BA330/BB330)))</f>
        <v>1</v>
      </c>
      <c r="BD330" s="60" t="n">
        <f aca="false">SUMPRODUCT($E$13:$P$13*(N330:Y330-1)/(1+BC330*(N330:Y330-1)))</f>
        <v>0</v>
      </c>
      <c r="BE330" s="60" t="n">
        <f aca="false">-SUMPRODUCT($E$13:$P$13*(N330:Y330-1)^2/(1+BC330*(N330:Y330-1))^2)</f>
        <v>-0</v>
      </c>
      <c r="BF330" s="60" t="n">
        <f aca="false">IF(OR(NOT(AB330),BE330=0),BC330,IF(BC330-BD330/BE330&lt;=AC330,(BC330+AC330)/2,IF(BC330-BD330/BE330&gt;=AD330,(BC330+AD330)/2,BC330-BD330/BE330)))</f>
        <v>1</v>
      </c>
      <c r="BG330" s="60" t="n">
        <f aca="false">SUMPRODUCT($E$13:$P$13*(N330:Y330-1)/(1+BF330*(N330:Y330-1)))</f>
        <v>0</v>
      </c>
      <c r="BH330" s="60" t="n">
        <f aca="false">-SUMPRODUCT($E$13:$P$13*(N330:Y330-1)^2/(1+BF330*(N330:Y330-1))^2)</f>
        <v>-0</v>
      </c>
      <c r="BI330" s="60" t="n">
        <f aca="false">IF(OR(NOT(AB330),BH330=0),BF330,IF(BF330-BG330/BH330&lt;=AC330,(BF330+AC330)/2,IF(BF330-BG330/BH330&gt;=AD330,(BF330+AD330)/2,BF330-BG330/BH330)))</f>
        <v>1</v>
      </c>
      <c r="BJ330" s="60" t="n">
        <f aca="false">$E$13/(1+BI330*(N330-1))</f>
        <v>1</v>
      </c>
      <c r="BK330" s="60" t="n">
        <f aca="false">$F$13/(1+BI330*(O330-1))</f>
        <v>0</v>
      </c>
      <c r="BL330" s="60" t="n">
        <f aca="false">$G$13/(1+BI330*(P330-1))</f>
        <v>0</v>
      </c>
      <c r="BM330" s="60" t="n">
        <f aca="false">$H$13/(1+BI330*(Q330-1))</f>
        <v>0</v>
      </c>
      <c r="BN330" s="60" t="n">
        <f aca="false">$I$13/(1+BI330*(R330-1))</f>
        <v>0</v>
      </c>
      <c r="BO330" s="60" t="n">
        <f aca="false">$J$13/(1+BI330*(S330-1))</f>
        <v>0</v>
      </c>
      <c r="BP330" s="60" t="n">
        <f aca="false">$K$13/(1+BI330*(T330-1))</f>
        <v>0</v>
      </c>
      <c r="BQ330" s="60" t="n">
        <f aca="false">$L$13/(1+BI330*(U330-1))</f>
        <v>0</v>
      </c>
      <c r="BR330" s="60" t="n">
        <f aca="false">$M$13/(1+BI330*(V330-1))</f>
        <v>0</v>
      </c>
      <c r="BS330" s="60" t="n">
        <f aca="false">$N$13/(1+BI330*(W330-1))</f>
        <v>0</v>
      </c>
      <c r="BT330" s="60" t="n">
        <f aca="false">$O$13/(1+BI330*(X330-1))</f>
        <v>0</v>
      </c>
      <c r="BU330" s="60" t="n">
        <f aca="false">$P$13/(1+BI330*(Y330-1))</f>
        <v>0</v>
      </c>
      <c r="BV330" s="60" t="n">
        <f aca="false">SUM(BJ330:BU330)</f>
        <v>1</v>
      </c>
      <c r="BW330" s="60" t="n">
        <f aca="false">SUMPRODUCT(N330:Y330,BJ330:BU330)</f>
        <v>1</v>
      </c>
      <c r="BX330" s="60" t="n">
        <f aca="false">BJ330/BV330</f>
        <v>1</v>
      </c>
      <c r="BY330" s="60" t="n">
        <f aca="false">BK330/BV330</f>
        <v>0</v>
      </c>
      <c r="BZ330" s="60" t="n">
        <f aca="false">BL330/BV330</f>
        <v>0</v>
      </c>
      <c r="CA330" s="60" t="n">
        <f aca="false">BM330/BV330</f>
        <v>0</v>
      </c>
      <c r="CB330" s="60" t="n">
        <f aca="false">BN330/BV330</f>
        <v>0</v>
      </c>
      <c r="CC330" s="60" t="n">
        <f aca="false">BO330/BV330</f>
        <v>0</v>
      </c>
      <c r="CD330" s="60" t="n">
        <f aca="false">BP330/BV330</f>
        <v>0</v>
      </c>
      <c r="CE330" s="60" t="n">
        <f aca="false">BQ330/BV330</f>
        <v>0</v>
      </c>
      <c r="CF330" s="60" t="n">
        <f aca="false">BR330/BV330</f>
        <v>0</v>
      </c>
      <c r="CG330" s="60" t="n">
        <f aca="false">BS330/BV330</f>
        <v>0</v>
      </c>
      <c r="CH330" s="60" t="n">
        <f aca="false">BT330/BV330</f>
        <v>0</v>
      </c>
      <c r="CI330" s="60" t="n">
        <f aca="false">BU330/BV330</f>
        <v>0</v>
      </c>
      <c r="CJ330" s="60" t="n">
        <f aca="false">N330*BJ330/BW330</f>
        <v>1</v>
      </c>
      <c r="CK330" s="60" t="n">
        <f aca="false">O330*BK330/BW330</f>
        <v>0</v>
      </c>
      <c r="CL330" s="60" t="n">
        <f aca="false">P330*BL330/BW330</f>
        <v>0</v>
      </c>
      <c r="CM330" s="60" t="n">
        <f aca="false">Q330*BM330/BW330</f>
        <v>0</v>
      </c>
      <c r="CN330" s="60" t="n">
        <f aca="false">R330*BN330/BW330</f>
        <v>0</v>
      </c>
      <c r="CO330" s="60" t="n">
        <f aca="false">S330*BO330/BW330</f>
        <v>0</v>
      </c>
      <c r="CP330" s="60" t="n">
        <f aca="false">T330*BP330/BW330</f>
        <v>0</v>
      </c>
      <c r="CQ330" s="60" t="n">
        <f aca="false">U330*BQ330/BW330</f>
        <v>0</v>
      </c>
      <c r="CR330" s="60" t="n">
        <f aca="false">V330*BR330/BW330</f>
        <v>0</v>
      </c>
      <c r="CS330" s="60" t="n">
        <f aca="false">W330*BS330/BW330</f>
        <v>0</v>
      </c>
      <c r="CT330" s="60" t="n">
        <f aca="false">X330*BT330/BW330</f>
        <v>0</v>
      </c>
      <c r="CU330" s="60" t="n">
        <f aca="false">Y330*BU330/BW330</f>
        <v>0</v>
      </c>
      <c r="CV330" s="60" t="n">
        <f aca="false">$E$28*SUMPRODUCT($E$31:$P$31,BX330:CI330,$E$28:$P$28)</f>
        <v>0.184416866619846</v>
      </c>
      <c r="CW330" s="60" t="n">
        <f aca="false">$F$28*SUMPRODUCT($E$32:$P$32,BX330:CI330,$E$28:$P$28)</f>
        <v>0</v>
      </c>
      <c r="CX330" s="60" t="n">
        <f aca="false">$G$28*SUMPRODUCT($E$33:$P$33,BX330:CI330,$E$28:$P$28)</f>
        <v>0</v>
      </c>
      <c r="CY330" s="60" t="n">
        <f aca="false">$H$28*SUMPRODUCT($E$34:$P$34,BX330:CI330,$E$28:$P$28)</f>
        <v>0</v>
      </c>
      <c r="CZ330" s="60" t="n">
        <f aca="false">$I$28*SUMPRODUCT($E$35:$P$35,BX330:CI330,$E$28:$P$28)</f>
        <v>0</v>
      </c>
      <c r="DA330" s="60" t="n">
        <f aca="false">$J$28*SUMPRODUCT($E$36:$P$36,BX330:CI330,$E$28:$P$28)</f>
        <v>0</v>
      </c>
      <c r="DB330" s="60" t="n">
        <f aca="false">$K$28*SUMPRODUCT($E$37:$P$37,BX330:CI330,$E$28:$P$28)</f>
        <v>0</v>
      </c>
      <c r="DC330" s="60" t="n">
        <f aca="false">$L$28*SUMPRODUCT($E$38:$P$38,BX330:CI330,$E$28:$P$28)</f>
        <v>0</v>
      </c>
      <c r="DD330" s="60" t="n">
        <f aca="false">$M$28*SUMPRODUCT($E$39:$P$39,BX330:CI330,$E$28:$P$28)</f>
        <v>0</v>
      </c>
      <c r="DE330" s="60" t="n">
        <f aca="false">$N$28*SUMPRODUCT($E$40:$P$40,BX330:CI330,$E$28:$P$28)</f>
        <v>0</v>
      </c>
      <c r="DF330" s="60" t="n">
        <f aca="false">$O$28*SUMPRODUCT($E$41:$P$41,BX330:CI330,$E$28:$P$28)</f>
        <v>0</v>
      </c>
      <c r="DG330" s="60" t="n">
        <f aca="false">$P$28*SUMPRODUCT($E$42:$P$42,BX330:CI330,$E$28:$P$28)</f>
        <v>0</v>
      </c>
      <c r="DH330" s="60" t="n">
        <f aca="false">SUMPRODUCT(BX330:CI330,CV330:DG330)</f>
        <v>0.184416866619846</v>
      </c>
      <c r="DI330" s="60" t="n">
        <f aca="false">SUMPRODUCT(BX330:CI330,$E$27:$P$27)</f>
        <v>2.67389635063809E-005</v>
      </c>
      <c r="DJ330" s="60" t="n">
        <f aca="false">DH330*$C$9/($C$10*$C$8)^2</f>
        <v>0.21776909410545</v>
      </c>
      <c r="DK330" s="60" t="n">
        <f aca="false">DI330*$C$9/($C$10*$C$8)</f>
        <v>0.0918845243259994</v>
      </c>
      <c r="DL330" s="60" t="n">
        <f aca="false">CHOOSE($C$7,-(1+DK330),-1,-(1-DK330))</f>
        <v>-0.908115475674001</v>
      </c>
      <c r="DM330" s="60" t="n">
        <f aca="false">CHOOSE($C$7,DJ330,DJ330-DK330-DK330^2,DJ330-3*DK330^2-2*DK330)</f>
        <v>0.00867174802160559</v>
      </c>
      <c r="DN330" s="60" t="n">
        <f aca="false">CHOOSE($C$7,-DJ330*DK330,-DJ330*DK330,-(DJ330*DK330-DK330^2-DK330^3))</f>
        <v>-0.0107910842936637</v>
      </c>
      <c r="DO330" s="60" t="n">
        <f aca="false">DM330-DL330^2/3</f>
        <v>-0.266219491031267</v>
      </c>
      <c r="DP330" s="60" t="n">
        <f aca="false">2*DL330^3/27-DL330*DM330/3+DN330</f>
        <v>-0.0636400988362784</v>
      </c>
      <c r="DQ330" s="60" t="n">
        <f aca="false">DP330^2/4+DO330^3/27</f>
        <v>0.000313710901361829</v>
      </c>
      <c r="DR330" s="60" t="n">
        <f aca="false">-DP330/2-IF(DP330&gt;=0,1,-1)*SQRT(MAX(DQ330,0))</f>
        <v>0.0495319352963236</v>
      </c>
      <c r="DS330" s="60" t="n">
        <f aca="false">SIGN(DR330)*ABS(DR330)^(1/3)</f>
        <v>0.367249967174439</v>
      </c>
      <c r="DT330" s="60" t="n">
        <f aca="false">IF(DS330=0,0,DS330-DO330/(3*DS330))</f>
        <v>0.60888329127384</v>
      </c>
      <c r="DU330" s="60" t="n">
        <f aca="false">2*SQRT(MAX(-DO330,0)/3)</f>
        <v>0.595784626668918</v>
      </c>
      <c r="DV330" s="60" t="n">
        <f aca="false">ACOS(IF(DU330=0,0,MAX(-1,MIN(1,3*DP330/(DO330*DU330)))))</f>
        <v>0</v>
      </c>
      <c r="DW330" s="60" t="n">
        <f aca="false">DU330*COS(DV330/3)</f>
        <v>0.595784626668918</v>
      </c>
      <c r="DX330" s="60" t="n">
        <f aca="false">IF(DQ330&lt;0,DW330,DT330)-DL330/3</f>
        <v>0.91158844983184</v>
      </c>
      <c r="DY330" s="60" t="n">
        <f aca="false">IFERROR((((DX330+DL330)*DX330+DM330)*DX330+DN330)/((3*DX330+2*DL330)*DX330+DM330),0)</f>
        <v>0</v>
      </c>
      <c r="DZ330" s="60" t="n">
        <f aca="false">IF(ABS(DY330)&lt;0.1*ABS(DX330),DX330-DY330,DX330)</f>
        <v>0.91158844983184</v>
      </c>
      <c r="EA330" s="60" t="n">
        <f aca="false">IFERROR((((DZ330+DL330)*DZ330+DM330)*DZ330+DN330)/((3*DZ330+2*DL330)*DZ330+DM330),0)</f>
        <v>0</v>
      </c>
      <c r="EB330" s="60" t="n">
        <f aca="false">IF(ABS(EA330)&lt;0.1*ABS(DZ330),DZ330-EA330,DZ330)</f>
        <v>0.91158844983184</v>
      </c>
      <c r="EC330" s="60" t="n">
        <f aca="false">-DN330/EB330</f>
        <v>0.0118376711504565</v>
      </c>
      <c r="ED330" s="60" t="n">
        <f aca="false">(DM330-EC330)/EB330</f>
        <v>-0.00347297415783941</v>
      </c>
      <c r="EE330" s="60" t="n">
        <f aca="false">ED330^2-4*EC330</f>
        <v>-0.0473386230523248</v>
      </c>
      <c r="EF330" s="60" t="n">
        <f aca="false">IF(EE330&gt;=0,(ED330+IF(ED330&gt;=0,1,-1)*SQRT(EE330))/2,0)</f>
        <v>0</v>
      </c>
      <c r="EG330" s="60" t="n">
        <f aca="false">IF(AND(EE330&gt;=0,EF330&lt;&gt;0),MIN(EF330,EC330/EF330),-1)</f>
        <v>-1</v>
      </c>
      <c r="EH330" s="60" t="n">
        <f aca="false">AND(EE330&gt;=0,EG330&gt;DK330,ABS(EB330-EG330)&gt;=0.00005*MAX(EB330,EG330))</f>
        <v>0</v>
      </c>
      <c r="EI330" s="60" t="n">
        <f aca="false">IF(EH330,IFERROR((((EG330+DL330)*EG330+DM330)*EG330+DN330)/((3*EG330+2*DL330)*EG330+DM330),0),0)</f>
        <v>0</v>
      </c>
      <c r="EJ330" s="60" t="n">
        <f aca="false">IF(ABS(EI330)&lt;0.1*ABS(EG330),EG330-EI330,EG330)</f>
        <v>-1</v>
      </c>
      <c r="EK330" s="60" t="n">
        <f aca="false">IF(EH330,IFERROR((((EJ330+DL330)*EJ330+DM330)*EJ330+DN330)/((3*EJ330+2*DL330)*EJ330+DM330),0),0)</f>
        <v>0</v>
      </c>
      <c r="EL330" s="60" t="n">
        <f aca="false">IF(ABS(EK330)&lt;0.1*ABS(EJ330),EJ330-EK330,EJ330)</f>
        <v>-1</v>
      </c>
      <c r="EM330" s="60" t="n">
        <f aca="false">IF(EH330,MAX(EB330,EL330),EB330)</f>
        <v>0.91158844983184</v>
      </c>
      <c r="EN330" s="60" t="n">
        <f aca="false">IF(EH330,MIN(EB330,EL330),-1)</f>
        <v>-1</v>
      </c>
      <c r="EO330" s="60" t="n">
        <f aca="false">CHOOSE($C$7,DJ330/EM330,DJ330/DK330*LN(1+DK330/EM330),DJ330/(2*SQRT(2)*DK330)*LN((EM330+(1+SQRT(2))*DK330)/(EM330+(1-SQRT(2))*DK330)))</f>
        <v>0.218240791233887</v>
      </c>
      <c r="EP330" s="60" t="n">
        <f aca="false">EM330-1-LN(EM330-DK330)-EO330</f>
        <v>-0.107840271021729</v>
      </c>
      <c r="EQ330" s="60" t="n">
        <f aca="false">IF(EH330,CHOOSE($C$7,DJ330/EN330,DJ330/DK330*LN(1+DK330/EN330),DJ330/(2*SQRT(2)*DK330)*LN((EN330+(1+SQRT(2))*DK330)/(EN330+(1-SQRT(2))*DK330))),0)</f>
        <v>0</v>
      </c>
      <c r="ER330" s="60" t="n">
        <f aca="false">IF(EH330,EN330-1-LN(EN330-DK330)-EQ330,0)</f>
        <v>0</v>
      </c>
      <c r="ES330" s="60" t="n">
        <f aca="false">AND(EH330,ER330&lt;EP330)</f>
        <v>0</v>
      </c>
      <c r="ET330" s="60" t="n">
        <f aca="false">IF(ES330,EN330,EM330)</f>
        <v>0.91158844983184</v>
      </c>
      <c r="EU330" s="60" t="n">
        <f aca="false">IF(ES330,EQ330,EO330)</f>
        <v>0.218240791233887</v>
      </c>
      <c r="EV330" s="60" t="n">
        <f aca="false">LN(ET330-DK330)</f>
        <v>-0.198812070380318</v>
      </c>
      <c r="EW330" s="60" t="n">
        <f aca="false">$E$27/DI330*(ET330-1)-EV330-EU330*(2*CV330/DH330-$E$27/DI330)</f>
        <v>-0.107840271021729</v>
      </c>
      <c r="EX330" s="60" t="n">
        <f aca="false">$F$27/DI330*(ET330-1)-EV330-EU330*(2*CW330/DH330-$F$27/DI330)</f>
        <v>0.198812070380318</v>
      </c>
      <c r="EY330" s="60" t="n">
        <f aca="false">$G$27/DI330*(ET330-1)-EV330-EU330*(2*CX330/DH330-$G$27/DI330)</f>
        <v>0.198812070380318</v>
      </c>
      <c r="EZ330" s="60" t="n">
        <f aca="false">$H$27/DI330*(ET330-1)-EV330-EU330*(2*CY330/DH330-$H$27/DI330)</f>
        <v>0.198812070380318</v>
      </c>
      <c r="FA330" s="60" t="n">
        <f aca="false">$I$27/DI330*(ET330-1)-EV330-EU330*(2*CZ330/DH330-$I$27/DI330)</f>
        <v>0.198812070380318</v>
      </c>
      <c r="FB330" s="60" t="n">
        <f aca="false">$J$27/DI330*(ET330-1)-EV330-EU330*(2*DA330/DH330-$J$27/DI330)</f>
        <v>0.198812070380318</v>
      </c>
      <c r="FC330" s="60" t="n">
        <f aca="false">$K$27/DI330*(ET330-1)-EV330-EU330*(2*DB330/DH330-$K$27/DI330)</f>
        <v>0.198812070380318</v>
      </c>
      <c r="FD330" s="60" t="n">
        <f aca="false">$L$27/DI330*(ET330-1)-EV330-EU330*(2*DC330/DH330-$L$27/DI330)</f>
        <v>0.198812070380318</v>
      </c>
      <c r="FE330" s="60" t="n">
        <f aca="false">$M$27/DI330*(ET330-1)-EV330-EU330*(2*DD330/DH330-$M$27/DI330)</f>
        <v>0.198812070380318</v>
      </c>
      <c r="FF330" s="60" t="n">
        <f aca="false">$N$27/DI330*(ET330-1)-EV330-EU330*(2*DE330/DH330-$N$27/DI330)</f>
        <v>0.198812070380318</v>
      </c>
      <c r="FG330" s="60" t="n">
        <f aca="false">$O$27/DI330*(ET330-1)-EV330-EU330*(2*DF330/DH330-$O$27/DI330)</f>
        <v>0.198812070380318</v>
      </c>
      <c r="FH330" s="60" t="n">
        <f aca="false">$P$27/DI330*(ET330-1)-EV330-EU330*(2*DG330/DH330-$P$27/DI330)</f>
        <v>0.198812070380318</v>
      </c>
      <c r="FI330" s="60" t="n">
        <f aca="false">DK330/ET330&gt;$C$22</f>
        <v>0</v>
      </c>
      <c r="FJ330" s="60" t="n">
        <f aca="false">$E$28*SUMPRODUCT($E$31:$P$31,CJ330:CU330,$E$28:$P$28)</f>
        <v>0.184416866619846</v>
      </c>
      <c r="FK330" s="60" t="n">
        <f aca="false">$F$28*SUMPRODUCT($E$32:$P$32,CJ330:CU330,$E$28:$P$28)</f>
        <v>0</v>
      </c>
      <c r="FL330" s="60" t="n">
        <f aca="false">$G$28*SUMPRODUCT($E$33:$P$33,CJ330:CU330,$E$28:$P$28)</f>
        <v>0</v>
      </c>
      <c r="FM330" s="60" t="n">
        <f aca="false">$H$28*SUMPRODUCT($E$34:$P$34,CJ330:CU330,$E$28:$P$28)</f>
        <v>0</v>
      </c>
      <c r="FN330" s="60" t="n">
        <f aca="false">$I$28*SUMPRODUCT($E$35:$P$35,CJ330:CU330,$E$28:$P$28)</f>
        <v>0</v>
      </c>
      <c r="FO330" s="60" t="n">
        <f aca="false">$J$28*SUMPRODUCT($E$36:$P$36,CJ330:CU330,$E$28:$P$28)</f>
        <v>0</v>
      </c>
      <c r="FP330" s="60" t="n">
        <f aca="false">$K$28*SUMPRODUCT($E$37:$P$37,CJ330:CU330,$E$28:$P$28)</f>
        <v>0</v>
      </c>
      <c r="FQ330" s="60" t="n">
        <f aca="false">$L$28*SUMPRODUCT($E$38:$P$38,CJ330:CU330,$E$28:$P$28)</f>
        <v>0</v>
      </c>
      <c r="FR330" s="60" t="n">
        <f aca="false">$M$28*SUMPRODUCT($E$39:$P$39,CJ330:CU330,$E$28:$P$28)</f>
        <v>0</v>
      </c>
      <c r="FS330" s="60" t="n">
        <f aca="false">$N$28*SUMPRODUCT($E$40:$P$40,CJ330:CU330,$E$28:$P$28)</f>
        <v>0</v>
      </c>
      <c r="FT330" s="60" t="n">
        <f aca="false">$O$28*SUMPRODUCT($E$41:$P$41,CJ330:CU330,$E$28:$P$28)</f>
        <v>0</v>
      </c>
      <c r="FU330" s="60" t="n">
        <f aca="false">$P$28*SUMPRODUCT($E$42:$P$42,CJ330:CU330,$E$28:$P$28)</f>
        <v>0</v>
      </c>
      <c r="FV330" s="60" t="n">
        <f aca="false">SUMPRODUCT(CJ330:CU330,FJ330:FU330)</f>
        <v>0.184416866619846</v>
      </c>
      <c r="FW330" s="60" t="n">
        <f aca="false">SUMPRODUCT(CJ330:CU330,$E$27:$P$27)</f>
        <v>2.67389635063809E-005</v>
      </c>
      <c r="FX330" s="60" t="n">
        <f aca="false">FV330*$C$9/($C$10*$C$8)^2</f>
        <v>0.21776909410545</v>
      </c>
      <c r="FY330" s="60" t="n">
        <f aca="false">FW330*$C$9/($C$10*$C$8)</f>
        <v>0.0918845243259994</v>
      </c>
      <c r="FZ330" s="60" t="n">
        <f aca="false">CHOOSE($C$7,-(1+FY330),-1,-(1-FY330))</f>
        <v>-0.908115475674001</v>
      </c>
      <c r="GA330" s="60" t="n">
        <f aca="false">CHOOSE($C$7,FX330,FX330-FY330-FY330^2,FX330-3*FY330^2-2*FY330)</f>
        <v>0.00867174802160559</v>
      </c>
      <c r="GB330" s="60" t="n">
        <f aca="false">CHOOSE($C$7,-FX330*FY330,-FX330*FY330,-(FX330*FY330-FY330^2-FY330^3))</f>
        <v>-0.0107910842936637</v>
      </c>
      <c r="GC330" s="60" t="n">
        <f aca="false">GA330-FZ330^2/3</f>
        <v>-0.266219491031267</v>
      </c>
      <c r="GD330" s="60" t="n">
        <f aca="false">2*FZ330^3/27-FZ330*GA330/3+GB330</f>
        <v>-0.0636400988362784</v>
      </c>
      <c r="GE330" s="60" t="n">
        <f aca="false">GD330^2/4+GC330^3/27</f>
        <v>0.000313710901361829</v>
      </c>
      <c r="GF330" s="60" t="n">
        <f aca="false">-GD330/2-IF(GD330&gt;=0,1,-1)*SQRT(MAX(GE330,0))</f>
        <v>0.0495319352963236</v>
      </c>
      <c r="GG330" s="60" t="n">
        <f aca="false">SIGN(GF330)*ABS(GF330)^(1/3)</f>
        <v>0.367249967174439</v>
      </c>
      <c r="GH330" s="60" t="n">
        <f aca="false">IF(GG330=0,0,GG330-GC330/(3*GG330))</f>
        <v>0.60888329127384</v>
      </c>
      <c r="GI330" s="60" t="n">
        <f aca="false">2*SQRT(MAX(-GC330,0)/3)</f>
        <v>0.595784626668918</v>
      </c>
      <c r="GJ330" s="60" t="n">
        <f aca="false">ACOS(IF(GI330=0,0,MAX(-1,MIN(1,3*GD330/(GC330*GI330)))))</f>
        <v>0</v>
      </c>
      <c r="GK330" s="60" t="n">
        <f aca="false">GI330*COS(GJ330/3)</f>
        <v>0.595784626668918</v>
      </c>
      <c r="GL330" s="60" t="n">
        <f aca="false">IF(GE330&lt;0,GK330,GH330)-FZ330/3</f>
        <v>0.91158844983184</v>
      </c>
      <c r="GM330" s="60" t="n">
        <f aca="false">IFERROR((((GL330+FZ330)*GL330+GA330)*GL330+GB330)/((3*GL330+2*FZ330)*GL330+GA330),0)</f>
        <v>0</v>
      </c>
      <c r="GN330" s="60" t="n">
        <f aca="false">IF(ABS(GM330)&lt;0.1*ABS(GL330),GL330-GM330,GL330)</f>
        <v>0.91158844983184</v>
      </c>
      <c r="GO330" s="60" t="n">
        <f aca="false">IFERROR((((GN330+FZ330)*GN330+GA330)*GN330+GB330)/((3*GN330+2*FZ330)*GN330+GA330),0)</f>
        <v>0</v>
      </c>
      <c r="GP330" s="60" t="n">
        <f aca="false">IF(ABS(GO330)&lt;0.1*ABS(GN330),GN330-GO330,GN330)</f>
        <v>0.91158844983184</v>
      </c>
      <c r="GQ330" s="60" t="n">
        <f aca="false">-GB330/GP330</f>
        <v>0.0118376711504565</v>
      </c>
      <c r="GR330" s="60" t="n">
        <f aca="false">(GA330-GQ330)/GP330</f>
        <v>-0.00347297415783941</v>
      </c>
      <c r="GS330" s="60" t="n">
        <f aca="false">GR330^2-4*GQ330</f>
        <v>-0.0473386230523248</v>
      </c>
      <c r="GT330" s="60" t="n">
        <f aca="false">IF(GS330&gt;=0,(GR330+IF(GR330&gt;=0,1,-1)*SQRT(GS330))/2,0)</f>
        <v>0</v>
      </c>
      <c r="GU330" s="60" t="n">
        <f aca="false">IF(AND(GS330&gt;=0,GT330&lt;&gt;0),MIN(GT330,GQ330/GT330),-1)</f>
        <v>-1</v>
      </c>
      <c r="GV330" s="60" t="n">
        <f aca="false">AND(GS330&gt;=0,GU330&gt;FY330,ABS(GP330-GU330)&gt;=0.00005*MAX(GP330,GU330))</f>
        <v>0</v>
      </c>
      <c r="GW330" s="60" t="n">
        <f aca="false">IF(GV330,IFERROR((((GU330+FZ330)*GU330+GA330)*GU330+GB330)/((3*GU330+2*FZ330)*GU330+GA330),0),0)</f>
        <v>0</v>
      </c>
      <c r="GX330" s="60" t="n">
        <f aca="false">IF(ABS(GW330)&lt;0.1*ABS(GU330),GU330-GW330,GU330)</f>
        <v>-1</v>
      </c>
      <c r="GY330" s="60" t="n">
        <f aca="false">IF(GV330,IFERROR((((GX330+FZ330)*GX330+GA330)*GX330+GB330)/((3*GX330+2*FZ330)*GX330+GA330),0),0)</f>
        <v>0</v>
      </c>
      <c r="GZ330" s="60" t="n">
        <f aca="false">IF(ABS(GY330)&lt;0.1*ABS(GX330),GX330-GY330,GX330)</f>
        <v>-1</v>
      </c>
      <c r="HA330" s="60" t="n">
        <f aca="false">IF(GV330,MAX(GP330,GZ330),GP330)</f>
        <v>0.91158844983184</v>
      </c>
      <c r="HB330" s="60" t="n">
        <f aca="false">IF(GV330,MIN(GP330,GZ330),-1)</f>
        <v>-1</v>
      </c>
      <c r="HC330" s="60" t="n">
        <f aca="false">CHOOSE($C$7,FX330/HA330,FX330/FY330*LN(1+FY330/HA330),FX330/(2*SQRT(2)*FY330)*LN((HA330+(1+SQRT(2))*FY330)/(HA330+(1-SQRT(2))*FY330)))</f>
        <v>0.218240791233887</v>
      </c>
      <c r="HD330" s="60" t="n">
        <f aca="false">HA330-1-LN(HA330-FY330)-HC330</f>
        <v>-0.107840271021729</v>
      </c>
      <c r="HE330" s="60" t="n">
        <f aca="false">IF(GV330,CHOOSE($C$7,FX330/HB330,FX330/FY330*LN(1+FY330/HB330),FX330/(2*SQRT(2)*FY330)*LN((HB330+(1+SQRT(2))*FY330)/(HB330+(1-SQRT(2))*FY330))),0)</f>
        <v>0</v>
      </c>
      <c r="HF330" s="60" t="n">
        <f aca="false">IF(GV330,HB330-1-LN(HB330-FY330)-HE330,0)</f>
        <v>0</v>
      </c>
      <c r="HG330" s="60" t="n">
        <f aca="false">AND(GV330,HF330&lt;HD330)</f>
        <v>0</v>
      </c>
      <c r="HH330" s="60" t="n">
        <f aca="false">IF(HG330,HB330,HA330)</f>
        <v>0.91158844983184</v>
      </c>
      <c r="HI330" s="60" t="n">
        <f aca="false">IF(HG330,HE330,HC330)</f>
        <v>0.218240791233887</v>
      </c>
      <c r="HJ330" s="60" t="n">
        <f aca="false">LN(HH330-FY330)</f>
        <v>-0.198812070380318</v>
      </c>
      <c r="HK330" s="60" t="n">
        <f aca="false">$E$27/FW330*(HH330-1)-HJ330-HI330*(2*FJ330/FV330-$E$27/FW330)</f>
        <v>-0.107840271021729</v>
      </c>
      <c r="HL330" s="60" t="n">
        <f aca="false">$F$27/FW330*(HH330-1)-HJ330-HI330*(2*FK330/FV330-$F$27/FW330)</f>
        <v>0.198812070380318</v>
      </c>
      <c r="HM330" s="60" t="n">
        <f aca="false">$G$27/FW330*(HH330-1)-HJ330-HI330*(2*FL330/FV330-$G$27/FW330)</f>
        <v>0.198812070380318</v>
      </c>
      <c r="HN330" s="60" t="n">
        <f aca="false">$H$27/FW330*(HH330-1)-HJ330-HI330*(2*FM330/FV330-$H$27/FW330)</f>
        <v>0.198812070380318</v>
      </c>
      <c r="HO330" s="60" t="n">
        <f aca="false">$I$27/FW330*(HH330-1)-HJ330-HI330*(2*FN330/FV330-$I$27/FW330)</f>
        <v>0.198812070380318</v>
      </c>
      <c r="HP330" s="60" t="n">
        <f aca="false">$J$27/FW330*(HH330-1)-HJ330-HI330*(2*FO330/FV330-$J$27/FW330)</f>
        <v>0.198812070380318</v>
      </c>
      <c r="HQ330" s="60" t="n">
        <f aca="false">$K$27/FW330*(HH330-1)-HJ330-HI330*(2*FP330/FV330-$K$27/FW330)</f>
        <v>0.198812070380318</v>
      </c>
      <c r="HR330" s="60" t="n">
        <f aca="false">$L$27/FW330*(HH330-1)-HJ330-HI330*(2*FQ330/FV330-$L$27/FW330)</f>
        <v>0.198812070380318</v>
      </c>
      <c r="HS330" s="60" t="n">
        <f aca="false">$M$27/FW330*(HH330-1)-HJ330-HI330*(2*FR330/FV330-$M$27/FW330)</f>
        <v>0.198812070380318</v>
      </c>
      <c r="HT330" s="60" t="n">
        <f aca="false">$N$27/FW330*(HH330-1)-HJ330-HI330*(2*FS330/FV330-$N$27/FW330)</f>
        <v>0.198812070380318</v>
      </c>
      <c r="HU330" s="60" t="n">
        <f aca="false">$O$27/FW330*(HH330-1)-HJ330-HI330*(2*FT330/FV330-$O$27/FW330)</f>
        <v>0.198812070380318</v>
      </c>
      <c r="HV330" s="60" t="n">
        <f aca="false">$P$27/FW330*(HH330-1)-HJ330-HI330*(2*FU330/FV330-$P$27/FW330)</f>
        <v>0.198812070380318</v>
      </c>
      <c r="HW330" s="60" t="n">
        <f aca="false">FY330/HH330&gt;$C$22</f>
        <v>0</v>
      </c>
      <c r="HX330" s="60" t="n">
        <f aca="false">IF($E$13&gt;0,MAX(-300,MIN(300,EW330-HK330)),0)</f>
        <v>0</v>
      </c>
      <c r="HY330" s="60" t="n">
        <f aca="false">IF($F$13&gt;0,MAX(-300,MIN(300,EX330-HL330)),0)</f>
        <v>0</v>
      </c>
      <c r="HZ330" s="60" t="n">
        <f aca="false">IF($G$13&gt;0,MAX(-300,MIN(300,EY330-HM330)),0)</f>
        <v>0</v>
      </c>
      <c r="IA330" s="60" t="n">
        <f aca="false">IF($H$13&gt;0,MAX(-300,MIN(300,EZ330-HN330)),0)</f>
        <v>0</v>
      </c>
      <c r="IB330" s="60" t="n">
        <f aca="false">IF($I$13&gt;0,MAX(-300,MIN(300,FA330-HO330)),0)</f>
        <v>0</v>
      </c>
      <c r="IC330" s="60" t="n">
        <f aca="false">IF($J$13&gt;0,MAX(-300,MIN(300,FB330-HP330)),0)</f>
        <v>0</v>
      </c>
      <c r="ID330" s="60" t="n">
        <f aca="false">IF($K$13&gt;0,MAX(-300,MIN(300,FC330-HQ330)),0)</f>
        <v>0</v>
      </c>
      <c r="IE330" s="60" t="n">
        <f aca="false">IF($L$13&gt;0,MAX(-300,MIN(300,FD330-HR330)),0)</f>
        <v>0</v>
      </c>
      <c r="IF330" s="60" t="n">
        <f aca="false">IF($M$13&gt;0,MAX(-300,MIN(300,FE330-HS330)),0)</f>
        <v>0</v>
      </c>
      <c r="IG330" s="60" t="n">
        <f aca="false">IF($N$13&gt;0,MAX(-300,MIN(300,FF330-HT330)),0)</f>
        <v>0</v>
      </c>
      <c r="IH330" s="60" t="n">
        <f aca="false">IF($O$13&gt;0,MAX(-300,MIN(300,FG330-HU330)),0)</f>
        <v>0</v>
      </c>
      <c r="II330" s="60" t="n">
        <f aca="false">IF($P$13&gt;0,MAX(-300,MIN(300,FH330-HV330)),0)</f>
        <v>0</v>
      </c>
      <c r="IJ330" s="60" t="n">
        <f aca="false">SUMXMY2(HX330:II330,B330:M330)</f>
        <v>0</v>
      </c>
      <c r="IK330" s="60" t="n">
        <f aca="false">SUMSQ(B330:M330)</f>
        <v>0</v>
      </c>
    </row>
    <row r="331" customFormat="false" ht="15" hidden="false" customHeight="false" outlineLevel="0" collapsed="false">
      <c r="A331" s="59" t="n">
        <v>34</v>
      </c>
      <c r="B331" s="60" t="n">
        <f aca="false">HX330</f>
        <v>0</v>
      </c>
      <c r="C331" s="60" t="n">
        <f aca="false">HY330</f>
        <v>0</v>
      </c>
      <c r="D331" s="60" t="n">
        <f aca="false">HZ330</f>
        <v>0</v>
      </c>
      <c r="E331" s="60" t="n">
        <f aca="false">IA330</f>
        <v>0</v>
      </c>
      <c r="F331" s="60" t="n">
        <f aca="false">IB330</f>
        <v>0</v>
      </c>
      <c r="G331" s="60" t="n">
        <f aca="false">IC330</f>
        <v>0</v>
      </c>
      <c r="H331" s="60" t="n">
        <f aca="false">ID330</f>
        <v>0</v>
      </c>
      <c r="I331" s="60" t="n">
        <f aca="false">IE330</f>
        <v>0</v>
      </c>
      <c r="J331" s="60" t="n">
        <f aca="false">IF330</f>
        <v>0</v>
      </c>
      <c r="K331" s="60" t="n">
        <f aca="false">IG330</f>
        <v>0</v>
      </c>
      <c r="L331" s="60" t="n">
        <f aca="false">IH330</f>
        <v>0</v>
      </c>
      <c r="M331" s="60" t="n">
        <f aca="false">II330</f>
        <v>0</v>
      </c>
      <c r="N331" s="60" t="n">
        <f aca="false">EXP(B331)</f>
        <v>1</v>
      </c>
      <c r="O331" s="60" t="n">
        <f aca="false">EXP(C331)</f>
        <v>1</v>
      </c>
      <c r="P331" s="60" t="n">
        <f aca="false">EXP(D331)</f>
        <v>1</v>
      </c>
      <c r="Q331" s="60" t="n">
        <f aca="false">EXP(E331)</f>
        <v>1</v>
      </c>
      <c r="R331" s="60" t="n">
        <f aca="false">EXP(F331)</f>
        <v>1</v>
      </c>
      <c r="S331" s="60" t="n">
        <f aca="false">EXP(G331)</f>
        <v>1</v>
      </c>
      <c r="T331" s="60" t="n">
        <f aca="false">EXP(H331)</f>
        <v>1</v>
      </c>
      <c r="U331" s="60" t="n">
        <f aca="false">EXP(I331)</f>
        <v>1</v>
      </c>
      <c r="V331" s="60" t="n">
        <f aca="false">EXP(J331)</f>
        <v>1</v>
      </c>
      <c r="W331" s="60" t="n">
        <f aca="false">EXP(K331)</f>
        <v>1</v>
      </c>
      <c r="X331" s="60" t="n">
        <f aca="false">EXP(L331)</f>
        <v>1</v>
      </c>
      <c r="Y331" s="60" t="n">
        <f aca="false">EXP(M331)</f>
        <v>1</v>
      </c>
      <c r="Z331" s="60" t="n">
        <f aca="false">MAX(N331:Y331)</f>
        <v>1</v>
      </c>
      <c r="AA331" s="60" t="n">
        <f aca="false">MIN(N331:Y331)</f>
        <v>1</v>
      </c>
      <c r="AB331" s="60" t="n">
        <f aca="false">AND(Z331&gt;1,AA331&lt;1)</f>
        <v>0</v>
      </c>
      <c r="AC331" s="60" t="n">
        <f aca="false">IF(AB331,1/(1-Z331),0)</f>
        <v>0</v>
      </c>
      <c r="AD331" s="60" t="n">
        <f aca="false">IF(AB331,1/(1-AA331),1)</f>
        <v>1</v>
      </c>
      <c r="AE331" s="60" t="n">
        <f aca="false">IF(AB331,MIN(MAX(BI330,AC331+0.000000001*(AD331-AC331)),AD331-0.000000001*(AD331-AC331)),IF(AA331&gt;=1,1,0))</f>
        <v>1</v>
      </c>
      <c r="AF331" s="60" t="n">
        <f aca="false">SUMPRODUCT($E$13:$P$13*(N331:Y331-1)/(1+AE331*(N331:Y331-1)))</f>
        <v>0</v>
      </c>
      <c r="AG331" s="60" t="n">
        <f aca="false">-SUMPRODUCT($E$13:$P$13*(N331:Y331-1)^2/(1+AE331*(N331:Y331-1))^2)</f>
        <v>-0</v>
      </c>
      <c r="AH331" s="60" t="n">
        <f aca="false">IF(OR(NOT(AB331),AG331=0),AE331,IF(AE331-AF331/AG331&lt;=AC331,(AE331+AC331)/2,IF(AE331-AF331/AG331&gt;=AD331,(AE331+AD331)/2,AE331-AF331/AG331)))</f>
        <v>1</v>
      </c>
      <c r="AI331" s="60" t="n">
        <f aca="false">SUMPRODUCT($E$13:$P$13*(N331:Y331-1)/(1+AH331*(N331:Y331-1)))</f>
        <v>0</v>
      </c>
      <c r="AJ331" s="60" t="n">
        <f aca="false">-SUMPRODUCT($E$13:$P$13*(N331:Y331-1)^2/(1+AH331*(N331:Y331-1))^2)</f>
        <v>-0</v>
      </c>
      <c r="AK331" s="60" t="n">
        <f aca="false">IF(OR(NOT(AB331),AJ331=0),AH331,IF(AH331-AI331/AJ331&lt;=AC331,(AH331+AC331)/2,IF(AH331-AI331/AJ331&gt;=AD331,(AH331+AD331)/2,AH331-AI331/AJ331)))</f>
        <v>1</v>
      </c>
      <c r="AL331" s="60" t="n">
        <f aca="false">SUMPRODUCT($E$13:$P$13*(N331:Y331-1)/(1+AK331*(N331:Y331-1)))</f>
        <v>0</v>
      </c>
      <c r="AM331" s="60" t="n">
        <f aca="false">-SUMPRODUCT($E$13:$P$13*(N331:Y331-1)^2/(1+AK331*(N331:Y331-1))^2)</f>
        <v>-0</v>
      </c>
      <c r="AN331" s="60" t="n">
        <f aca="false">IF(OR(NOT(AB331),AM331=0),AK331,IF(AK331-AL331/AM331&lt;=AC331,(AK331+AC331)/2,IF(AK331-AL331/AM331&gt;=AD331,(AK331+AD331)/2,AK331-AL331/AM331)))</f>
        <v>1</v>
      </c>
      <c r="AO331" s="60" t="n">
        <f aca="false">SUMPRODUCT($E$13:$P$13*(N331:Y331-1)/(1+AN331*(N331:Y331-1)))</f>
        <v>0</v>
      </c>
      <c r="AP331" s="60" t="n">
        <f aca="false">-SUMPRODUCT($E$13:$P$13*(N331:Y331-1)^2/(1+AN331*(N331:Y331-1))^2)</f>
        <v>-0</v>
      </c>
      <c r="AQ331" s="60" t="n">
        <f aca="false">IF(OR(NOT(AB331),AP331=0),AN331,IF(AN331-AO331/AP331&lt;=AC331,(AN331+AC331)/2,IF(AN331-AO331/AP331&gt;=AD331,(AN331+AD331)/2,AN331-AO331/AP331)))</f>
        <v>1</v>
      </c>
      <c r="AR331" s="60" t="n">
        <f aca="false">SUMPRODUCT($E$13:$P$13*(N331:Y331-1)/(1+AQ331*(N331:Y331-1)))</f>
        <v>0</v>
      </c>
      <c r="AS331" s="60" t="n">
        <f aca="false">-SUMPRODUCT($E$13:$P$13*(N331:Y331-1)^2/(1+AQ331*(N331:Y331-1))^2)</f>
        <v>-0</v>
      </c>
      <c r="AT331" s="60" t="n">
        <f aca="false">IF(OR(NOT(AB331),AS331=0),AQ331,IF(AQ331-AR331/AS331&lt;=AC331,(AQ331+AC331)/2,IF(AQ331-AR331/AS331&gt;=AD331,(AQ331+AD331)/2,AQ331-AR331/AS331)))</f>
        <v>1</v>
      </c>
      <c r="AU331" s="60" t="n">
        <f aca="false">SUMPRODUCT($E$13:$P$13*(N331:Y331-1)/(1+AT331*(N331:Y331-1)))</f>
        <v>0</v>
      </c>
      <c r="AV331" s="60" t="n">
        <f aca="false">-SUMPRODUCT($E$13:$P$13*(N331:Y331-1)^2/(1+AT331*(N331:Y331-1))^2)</f>
        <v>-0</v>
      </c>
      <c r="AW331" s="60" t="n">
        <f aca="false">IF(OR(NOT(AB331),AV331=0),AT331,IF(AT331-AU331/AV331&lt;=AC331,(AT331+AC331)/2,IF(AT331-AU331/AV331&gt;=AD331,(AT331+AD331)/2,AT331-AU331/AV331)))</f>
        <v>1</v>
      </c>
      <c r="AX331" s="60" t="n">
        <f aca="false">SUMPRODUCT($E$13:$P$13*(N331:Y331-1)/(1+AW331*(N331:Y331-1)))</f>
        <v>0</v>
      </c>
      <c r="AY331" s="60" t="n">
        <f aca="false">-SUMPRODUCT($E$13:$P$13*(N331:Y331-1)^2/(1+AW331*(N331:Y331-1))^2)</f>
        <v>-0</v>
      </c>
      <c r="AZ331" s="60" t="n">
        <f aca="false">IF(OR(NOT(AB331),AY331=0),AW331,IF(AW331-AX331/AY331&lt;=AC331,(AW331+AC331)/2,IF(AW331-AX331/AY331&gt;=AD331,(AW331+AD331)/2,AW331-AX331/AY331)))</f>
        <v>1</v>
      </c>
      <c r="BA331" s="60" t="n">
        <f aca="false">SUMPRODUCT($E$13:$P$13*(N331:Y331-1)/(1+AZ331*(N331:Y331-1)))</f>
        <v>0</v>
      </c>
      <c r="BB331" s="60" t="n">
        <f aca="false">-SUMPRODUCT($E$13:$P$13*(N331:Y331-1)^2/(1+AZ331*(N331:Y331-1))^2)</f>
        <v>-0</v>
      </c>
      <c r="BC331" s="60" t="n">
        <f aca="false">IF(OR(NOT(AB331),BB331=0),AZ331,IF(AZ331-BA331/BB331&lt;=AC331,(AZ331+AC331)/2,IF(AZ331-BA331/BB331&gt;=AD331,(AZ331+AD331)/2,AZ331-BA331/BB331)))</f>
        <v>1</v>
      </c>
      <c r="BD331" s="60" t="n">
        <f aca="false">SUMPRODUCT($E$13:$P$13*(N331:Y331-1)/(1+BC331*(N331:Y331-1)))</f>
        <v>0</v>
      </c>
      <c r="BE331" s="60" t="n">
        <f aca="false">-SUMPRODUCT($E$13:$P$13*(N331:Y331-1)^2/(1+BC331*(N331:Y331-1))^2)</f>
        <v>-0</v>
      </c>
      <c r="BF331" s="60" t="n">
        <f aca="false">IF(OR(NOT(AB331),BE331=0),BC331,IF(BC331-BD331/BE331&lt;=AC331,(BC331+AC331)/2,IF(BC331-BD331/BE331&gt;=AD331,(BC331+AD331)/2,BC331-BD331/BE331)))</f>
        <v>1</v>
      </c>
      <c r="BG331" s="60" t="n">
        <f aca="false">SUMPRODUCT($E$13:$P$13*(N331:Y331-1)/(1+BF331*(N331:Y331-1)))</f>
        <v>0</v>
      </c>
      <c r="BH331" s="60" t="n">
        <f aca="false">-SUMPRODUCT($E$13:$P$13*(N331:Y331-1)^2/(1+BF331*(N331:Y331-1))^2)</f>
        <v>-0</v>
      </c>
      <c r="BI331" s="60" t="n">
        <f aca="false">IF(OR(NOT(AB331),BH331=0),BF331,IF(BF331-BG331/BH331&lt;=AC331,(BF331+AC331)/2,IF(BF331-BG331/BH331&gt;=AD331,(BF331+AD331)/2,BF331-BG331/BH331)))</f>
        <v>1</v>
      </c>
      <c r="BJ331" s="60" t="n">
        <f aca="false">$E$13/(1+BI331*(N331-1))</f>
        <v>1</v>
      </c>
      <c r="BK331" s="60" t="n">
        <f aca="false">$F$13/(1+BI331*(O331-1))</f>
        <v>0</v>
      </c>
      <c r="BL331" s="60" t="n">
        <f aca="false">$G$13/(1+BI331*(P331-1))</f>
        <v>0</v>
      </c>
      <c r="BM331" s="60" t="n">
        <f aca="false">$H$13/(1+BI331*(Q331-1))</f>
        <v>0</v>
      </c>
      <c r="BN331" s="60" t="n">
        <f aca="false">$I$13/(1+BI331*(R331-1))</f>
        <v>0</v>
      </c>
      <c r="BO331" s="60" t="n">
        <f aca="false">$J$13/(1+BI331*(S331-1))</f>
        <v>0</v>
      </c>
      <c r="BP331" s="60" t="n">
        <f aca="false">$K$13/(1+BI331*(T331-1))</f>
        <v>0</v>
      </c>
      <c r="BQ331" s="60" t="n">
        <f aca="false">$L$13/(1+BI331*(U331-1))</f>
        <v>0</v>
      </c>
      <c r="BR331" s="60" t="n">
        <f aca="false">$M$13/(1+BI331*(V331-1))</f>
        <v>0</v>
      </c>
      <c r="BS331" s="60" t="n">
        <f aca="false">$N$13/(1+BI331*(W331-1))</f>
        <v>0</v>
      </c>
      <c r="BT331" s="60" t="n">
        <f aca="false">$O$13/(1+BI331*(X331-1))</f>
        <v>0</v>
      </c>
      <c r="BU331" s="60" t="n">
        <f aca="false">$P$13/(1+BI331*(Y331-1))</f>
        <v>0</v>
      </c>
      <c r="BV331" s="60" t="n">
        <f aca="false">SUM(BJ331:BU331)</f>
        <v>1</v>
      </c>
      <c r="BW331" s="60" t="n">
        <f aca="false">SUMPRODUCT(N331:Y331,BJ331:BU331)</f>
        <v>1</v>
      </c>
      <c r="BX331" s="60" t="n">
        <f aca="false">BJ331/BV331</f>
        <v>1</v>
      </c>
      <c r="BY331" s="60" t="n">
        <f aca="false">BK331/BV331</f>
        <v>0</v>
      </c>
      <c r="BZ331" s="60" t="n">
        <f aca="false">BL331/BV331</f>
        <v>0</v>
      </c>
      <c r="CA331" s="60" t="n">
        <f aca="false">BM331/BV331</f>
        <v>0</v>
      </c>
      <c r="CB331" s="60" t="n">
        <f aca="false">BN331/BV331</f>
        <v>0</v>
      </c>
      <c r="CC331" s="60" t="n">
        <f aca="false">BO331/BV331</f>
        <v>0</v>
      </c>
      <c r="CD331" s="60" t="n">
        <f aca="false">BP331/BV331</f>
        <v>0</v>
      </c>
      <c r="CE331" s="60" t="n">
        <f aca="false">BQ331/BV331</f>
        <v>0</v>
      </c>
      <c r="CF331" s="60" t="n">
        <f aca="false">BR331/BV331</f>
        <v>0</v>
      </c>
      <c r="CG331" s="60" t="n">
        <f aca="false">BS331/BV331</f>
        <v>0</v>
      </c>
      <c r="CH331" s="60" t="n">
        <f aca="false">BT331/BV331</f>
        <v>0</v>
      </c>
      <c r="CI331" s="60" t="n">
        <f aca="false">BU331/BV331</f>
        <v>0</v>
      </c>
      <c r="CJ331" s="60" t="n">
        <f aca="false">N331*BJ331/BW331</f>
        <v>1</v>
      </c>
      <c r="CK331" s="60" t="n">
        <f aca="false">O331*BK331/BW331</f>
        <v>0</v>
      </c>
      <c r="CL331" s="60" t="n">
        <f aca="false">P331*BL331/BW331</f>
        <v>0</v>
      </c>
      <c r="CM331" s="60" t="n">
        <f aca="false">Q331*BM331/BW331</f>
        <v>0</v>
      </c>
      <c r="CN331" s="60" t="n">
        <f aca="false">R331*BN331/BW331</f>
        <v>0</v>
      </c>
      <c r="CO331" s="60" t="n">
        <f aca="false">S331*BO331/BW331</f>
        <v>0</v>
      </c>
      <c r="CP331" s="60" t="n">
        <f aca="false">T331*BP331/BW331</f>
        <v>0</v>
      </c>
      <c r="CQ331" s="60" t="n">
        <f aca="false">U331*BQ331/BW331</f>
        <v>0</v>
      </c>
      <c r="CR331" s="60" t="n">
        <f aca="false">V331*BR331/BW331</f>
        <v>0</v>
      </c>
      <c r="CS331" s="60" t="n">
        <f aca="false">W331*BS331/BW331</f>
        <v>0</v>
      </c>
      <c r="CT331" s="60" t="n">
        <f aca="false">X331*BT331/BW331</f>
        <v>0</v>
      </c>
      <c r="CU331" s="60" t="n">
        <f aca="false">Y331*BU331/BW331</f>
        <v>0</v>
      </c>
      <c r="CV331" s="60" t="n">
        <f aca="false">$E$28*SUMPRODUCT($E$31:$P$31,BX331:CI331,$E$28:$P$28)</f>
        <v>0.184416866619846</v>
      </c>
      <c r="CW331" s="60" t="n">
        <f aca="false">$F$28*SUMPRODUCT($E$32:$P$32,BX331:CI331,$E$28:$P$28)</f>
        <v>0</v>
      </c>
      <c r="CX331" s="60" t="n">
        <f aca="false">$G$28*SUMPRODUCT($E$33:$P$33,BX331:CI331,$E$28:$P$28)</f>
        <v>0</v>
      </c>
      <c r="CY331" s="60" t="n">
        <f aca="false">$H$28*SUMPRODUCT($E$34:$P$34,BX331:CI331,$E$28:$P$28)</f>
        <v>0</v>
      </c>
      <c r="CZ331" s="60" t="n">
        <f aca="false">$I$28*SUMPRODUCT($E$35:$P$35,BX331:CI331,$E$28:$P$28)</f>
        <v>0</v>
      </c>
      <c r="DA331" s="60" t="n">
        <f aca="false">$J$28*SUMPRODUCT($E$36:$P$36,BX331:CI331,$E$28:$P$28)</f>
        <v>0</v>
      </c>
      <c r="DB331" s="60" t="n">
        <f aca="false">$K$28*SUMPRODUCT($E$37:$P$37,BX331:CI331,$E$28:$P$28)</f>
        <v>0</v>
      </c>
      <c r="DC331" s="60" t="n">
        <f aca="false">$L$28*SUMPRODUCT($E$38:$P$38,BX331:CI331,$E$28:$P$28)</f>
        <v>0</v>
      </c>
      <c r="DD331" s="60" t="n">
        <f aca="false">$M$28*SUMPRODUCT($E$39:$P$39,BX331:CI331,$E$28:$P$28)</f>
        <v>0</v>
      </c>
      <c r="DE331" s="60" t="n">
        <f aca="false">$N$28*SUMPRODUCT($E$40:$P$40,BX331:CI331,$E$28:$P$28)</f>
        <v>0</v>
      </c>
      <c r="DF331" s="60" t="n">
        <f aca="false">$O$28*SUMPRODUCT($E$41:$P$41,BX331:CI331,$E$28:$P$28)</f>
        <v>0</v>
      </c>
      <c r="DG331" s="60" t="n">
        <f aca="false">$P$28*SUMPRODUCT($E$42:$P$42,BX331:CI331,$E$28:$P$28)</f>
        <v>0</v>
      </c>
      <c r="DH331" s="60" t="n">
        <f aca="false">SUMPRODUCT(BX331:CI331,CV331:DG331)</f>
        <v>0.184416866619846</v>
      </c>
      <c r="DI331" s="60" t="n">
        <f aca="false">SUMPRODUCT(BX331:CI331,$E$27:$P$27)</f>
        <v>2.67389635063809E-005</v>
      </c>
      <c r="DJ331" s="60" t="n">
        <f aca="false">DH331*$C$9/($C$10*$C$8)^2</f>
        <v>0.21776909410545</v>
      </c>
      <c r="DK331" s="60" t="n">
        <f aca="false">DI331*$C$9/($C$10*$C$8)</f>
        <v>0.0918845243259994</v>
      </c>
      <c r="DL331" s="60" t="n">
        <f aca="false">CHOOSE($C$7,-(1+DK331),-1,-(1-DK331))</f>
        <v>-0.908115475674001</v>
      </c>
      <c r="DM331" s="60" t="n">
        <f aca="false">CHOOSE($C$7,DJ331,DJ331-DK331-DK331^2,DJ331-3*DK331^2-2*DK331)</f>
        <v>0.00867174802160559</v>
      </c>
      <c r="DN331" s="60" t="n">
        <f aca="false">CHOOSE($C$7,-DJ331*DK331,-DJ331*DK331,-(DJ331*DK331-DK331^2-DK331^3))</f>
        <v>-0.0107910842936637</v>
      </c>
      <c r="DO331" s="60" t="n">
        <f aca="false">DM331-DL331^2/3</f>
        <v>-0.266219491031267</v>
      </c>
      <c r="DP331" s="60" t="n">
        <f aca="false">2*DL331^3/27-DL331*DM331/3+DN331</f>
        <v>-0.0636400988362784</v>
      </c>
      <c r="DQ331" s="60" t="n">
        <f aca="false">DP331^2/4+DO331^3/27</f>
        <v>0.000313710901361829</v>
      </c>
      <c r="DR331" s="60" t="n">
        <f aca="false">-DP331/2-IF(DP331&gt;=0,1,-1)*SQRT(MAX(DQ331,0))</f>
        <v>0.0495319352963236</v>
      </c>
      <c r="DS331" s="60" t="n">
        <f aca="false">SIGN(DR331)*ABS(DR331)^(1/3)</f>
        <v>0.367249967174439</v>
      </c>
      <c r="DT331" s="60" t="n">
        <f aca="false">IF(DS331=0,0,DS331-DO331/(3*DS331))</f>
        <v>0.60888329127384</v>
      </c>
      <c r="DU331" s="60" t="n">
        <f aca="false">2*SQRT(MAX(-DO331,0)/3)</f>
        <v>0.595784626668918</v>
      </c>
      <c r="DV331" s="60" t="n">
        <f aca="false">ACOS(IF(DU331=0,0,MAX(-1,MIN(1,3*DP331/(DO331*DU331)))))</f>
        <v>0</v>
      </c>
      <c r="DW331" s="60" t="n">
        <f aca="false">DU331*COS(DV331/3)</f>
        <v>0.595784626668918</v>
      </c>
      <c r="DX331" s="60" t="n">
        <f aca="false">IF(DQ331&lt;0,DW331,DT331)-DL331/3</f>
        <v>0.91158844983184</v>
      </c>
      <c r="DY331" s="60" t="n">
        <f aca="false">IFERROR((((DX331+DL331)*DX331+DM331)*DX331+DN331)/((3*DX331+2*DL331)*DX331+DM331),0)</f>
        <v>0</v>
      </c>
      <c r="DZ331" s="60" t="n">
        <f aca="false">IF(ABS(DY331)&lt;0.1*ABS(DX331),DX331-DY331,DX331)</f>
        <v>0.91158844983184</v>
      </c>
      <c r="EA331" s="60" t="n">
        <f aca="false">IFERROR((((DZ331+DL331)*DZ331+DM331)*DZ331+DN331)/((3*DZ331+2*DL331)*DZ331+DM331),0)</f>
        <v>0</v>
      </c>
      <c r="EB331" s="60" t="n">
        <f aca="false">IF(ABS(EA331)&lt;0.1*ABS(DZ331),DZ331-EA331,DZ331)</f>
        <v>0.91158844983184</v>
      </c>
      <c r="EC331" s="60" t="n">
        <f aca="false">-DN331/EB331</f>
        <v>0.0118376711504565</v>
      </c>
      <c r="ED331" s="60" t="n">
        <f aca="false">(DM331-EC331)/EB331</f>
        <v>-0.00347297415783941</v>
      </c>
      <c r="EE331" s="60" t="n">
        <f aca="false">ED331^2-4*EC331</f>
        <v>-0.0473386230523248</v>
      </c>
      <c r="EF331" s="60" t="n">
        <f aca="false">IF(EE331&gt;=0,(ED331+IF(ED331&gt;=0,1,-1)*SQRT(EE331))/2,0)</f>
        <v>0</v>
      </c>
      <c r="EG331" s="60" t="n">
        <f aca="false">IF(AND(EE331&gt;=0,EF331&lt;&gt;0),MIN(EF331,EC331/EF331),-1)</f>
        <v>-1</v>
      </c>
      <c r="EH331" s="60" t="n">
        <f aca="false">AND(EE331&gt;=0,EG331&gt;DK331,ABS(EB331-EG331)&gt;=0.00005*MAX(EB331,EG331))</f>
        <v>0</v>
      </c>
      <c r="EI331" s="60" t="n">
        <f aca="false">IF(EH331,IFERROR((((EG331+DL331)*EG331+DM331)*EG331+DN331)/((3*EG331+2*DL331)*EG331+DM331),0),0)</f>
        <v>0</v>
      </c>
      <c r="EJ331" s="60" t="n">
        <f aca="false">IF(ABS(EI331)&lt;0.1*ABS(EG331),EG331-EI331,EG331)</f>
        <v>-1</v>
      </c>
      <c r="EK331" s="60" t="n">
        <f aca="false">IF(EH331,IFERROR((((EJ331+DL331)*EJ331+DM331)*EJ331+DN331)/((3*EJ331+2*DL331)*EJ331+DM331),0),0)</f>
        <v>0</v>
      </c>
      <c r="EL331" s="60" t="n">
        <f aca="false">IF(ABS(EK331)&lt;0.1*ABS(EJ331),EJ331-EK331,EJ331)</f>
        <v>-1</v>
      </c>
      <c r="EM331" s="60" t="n">
        <f aca="false">IF(EH331,MAX(EB331,EL331),EB331)</f>
        <v>0.91158844983184</v>
      </c>
      <c r="EN331" s="60" t="n">
        <f aca="false">IF(EH331,MIN(EB331,EL331),-1)</f>
        <v>-1</v>
      </c>
      <c r="EO331" s="60" t="n">
        <f aca="false">CHOOSE($C$7,DJ331/EM331,DJ331/DK331*LN(1+DK331/EM331),DJ331/(2*SQRT(2)*DK331)*LN((EM331+(1+SQRT(2))*DK331)/(EM331+(1-SQRT(2))*DK331)))</f>
        <v>0.218240791233887</v>
      </c>
      <c r="EP331" s="60" t="n">
        <f aca="false">EM331-1-LN(EM331-DK331)-EO331</f>
        <v>-0.107840271021729</v>
      </c>
      <c r="EQ331" s="60" t="n">
        <f aca="false">IF(EH331,CHOOSE($C$7,DJ331/EN331,DJ331/DK331*LN(1+DK331/EN331),DJ331/(2*SQRT(2)*DK331)*LN((EN331+(1+SQRT(2))*DK331)/(EN331+(1-SQRT(2))*DK331))),0)</f>
        <v>0</v>
      </c>
      <c r="ER331" s="60" t="n">
        <f aca="false">IF(EH331,EN331-1-LN(EN331-DK331)-EQ331,0)</f>
        <v>0</v>
      </c>
      <c r="ES331" s="60" t="n">
        <f aca="false">AND(EH331,ER331&lt;EP331)</f>
        <v>0</v>
      </c>
      <c r="ET331" s="60" t="n">
        <f aca="false">IF(ES331,EN331,EM331)</f>
        <v>0.91158844983184</v>
      </c>
      <c r="EU331" s="60" t="n">
        <f aca="false">IF(ES331,EQ331,EO331)</f>
        <v>0.218240791233887</v>
      </c>
      <c r="EV331" s="60" t="n">
        <f aca="false">LN(ET331-DK331)</f>
        <v>-0.198812070380318</v>
      </c>
      <c r="EW331" s="60" t="n">
        <f aca="false">$E$27/DI331*(ET331-1)-EV331-EU331*(2*CV331/DH331-$E$27/DI331)</f>
        <v>-0.107840271021729</v>
      </c>
      <c r="EX331" s="60" t="n">
        <f aca="false">$F$27/DI331*(ET331-1)-EV331-EU331*(2*CW331/DH331-$F$27/DI331)</f>
        <v>0.198812070380318</v>
      </c>
      <c r="EY331" s="60" t="n">
        <f aca="false">$G$27/DI331*(ET331-1)-EV331-EU331*(2*CX331/DH331-$G$27/DI331)</f>
        <v>0.198812070380318</v>
      </c>
      <c r="EZ331" s="60" t="n">
        <f aca="false">$H$27/DI331*(ET331-1)-EV331-EU331*(2*CY331/DH331-$H$27/DI331)</f>
        <v>0.198812070380318</v>
      </c>
      <c r="FA331" s="60" t="n">
        <f aca="false">$I$27/DI331*(ET331-1)-EV331-EU331*(2*CZ331/DH331-$I$27/DI331)</f>
        <v>0.198812070380318</v>
      </c>
      <c r="FB331" s="60" t="n">
        <f aca="false">$J$27/DI331*(ET331-1)-EV331-EU331*(2*DA331/DH331-$J$27/DI331)</f>
        <v>0.198812070380318</v>
      </c>
      <c r="FC331" s="60" t="n">
        <f aca="false">$K$27/DI331*(ET331-1)-EV331-EU331*(2*DB331/DH331-$K$27/DI331)</f>
        <v>0.198812070380318</v>
      </c>
      <c r="FD331" s="60" t="n">
        <f aca="false">$L$27/DI331*(ET331-1)-EV331-EU331*(2*DC331/DH331-$L$27/DI331)</f>
        <v>0.198812070380318</v>
      </c>
      <c r="FE331" s="60" t="n">
        <f aca="false">$M$27/DI331*(ET331-1)-EV331-EU331*(2*DD331/DH331-$M$27/DI331)</f>
        <v>0.198812070380318</v>
      </c>
      <c r="FF331" s="60" t="n">
        <f aca="false">$N$27/DI331*(ET331-1)-EV331-EU331*(2*DE331/DH331-$N$27/DI331)</f>
        <v>0.198812070380318</v>
      </c>
      <c r="FG331" s="60" t="n">
        <f aca="false">$O$27/DI331*(ET331-1)-EV331-EU331*(2*DF331/DH331-$O$27/DI331)</f>
        <v>0.198812070380318</v>
      </c>
      <c r="FH331" s="60" t="n">
        <f aca="false">$P$27/DI331*(ET331-1)-EV331-EU331*(2*DG331/DH331-$P$27/DI331)</f>
        <v>0.198812070380318</v>
      </c>
      <c r="FI331" s="60" t="n">
        <f aca="false">DK331/ET331&gt;$C$22</f>
        <v>0</v>
      </c>
      <c r="FJ331" s="60" t="n">
        <f aca="false">$E$28*SUMPRODUCT($E$31:$P$31,CJ331:CU331,$E$28:$P$28)</f>
        <v>0.184416866619846</v>
      </c>
      <c r="FK331" s="60" t="n">
        <f aca="false">$F$28*SUMPRODUCT($E$32:$P$32,CJ331:CU331,$E$28:$P$28)</f>
        <v>0</v>
      </c>
      <c r="FL331" s="60" t="n">
        <f aca="false">$G$28*SUMPRODUCT($E$33:$P$33,CJ331:CU331,$E$28:$P$28)</f>
        <v>0</v>
      </c>
      <c r="FM331" s="60" t="n">
        <f aca="false">$H$28*SUMPRODUCT($E$34:$P$34,CJ331:CU331,$E$28:$P$28)</f>
        <v>0</v>
      </c>
      <c r="FN331" s="60" t="n">
        <f aca="false">$I$28*SUMPRODUCT($E$35:$P$35,CJ331:CU331,$E$28:$P$28)</f>
        <v>0</v>
      </c>
      <c r="FO331" s="60" t="n">
        <f aca="false">$J$28*SUMPRODUCT($E$36:$P$36,CJ331:CU331,$E$28:$P$28)</f>
        <v>0</v>
      </c>
      <c r="FP331" s="60" t="n">
        <f aca="false">$K$28*SUMPRODUCT($E$37:$P$37,CJ331:CU331,$E$28:$P$28)</f>
        <v>0</v>
      </c>
      <c r="FQ331" s="60" t="n">
        <f aca="false">$L$28*SUMPRODUCT($E$38:$P$38,CJ331:CU331,$E$28:$P$28)</f>
        <v>0</v>
      </c>
      <c r="FR331" s="60" t="n">
        <f aca="false">$M$28*SUMPRODUCT($E$39:$P$39,CJ331:CU331,$E$28:$P$28)</f>
        <v>0</v>
      </c>
      <c r="FS331" s="60" t="n">
        <f aca="false">$N$28*SUMPRODUCT($E$40:$P$40,CJ331:CU331,$E$28:$P$28)</f>
        <v>0</v>
      </c>
      <c r="FT331" s="60" t="n">
        <f aca="false">$O$28*SUMPRODUCT($E$41:$P$41,CJ331:CU331,$E$28:$P$28)</f>
        <v>0</v>
      </c>
      <c r="FU331" s="60" t="n">
        <f aca="false">$P$28*SUMPRODUCT($E$42:$P$42,CJ331:CU331,$E$28:$P$28)</f>
        <v>0</v>
      </c>
      <c r="FV331" s="60" t="n">
        <f aca="false">SUMPRODUCT(CJ331:CU331,FJ331:FU331)</f>
        <v>0.184416866619846</v>
      </c>
      <c r="FW331" s="60" t="n">
        <f aca="false">SUMPRODUCT(CJ331:CU331,$E$27:$P$27)</f>
        <v>2.67389635063809E-005</v>
      </c>
      <c r="FX331" s="60" t="n">
        <f aca="false">FV331*$C$9/($C$10*$C$8)^2</f>
        <v>0.21776909410545</v>
      </c>
      <c r="FY331" s="60" t="n">
        <f aca="false">FW331*$C$9/($C$10*$C$8)</f>
        <v>0.0918845243259994</v>
      </c>
      <c r="FZ331" s="60" t="n">
        <f aca="false">CHOOSE($C$7,-(1+FY331),-1,-(1-FY331))</f>
        <v>-0.908115475674001</v>
      </c>
      <c r="GA331" s="60" t="n">
        <f aca="false">CHOOSE($C$7,FX331,FX331-FY331-FY331^2,FX331-3*FY331^2-2*FY331)</f>
        <v>0.00867174802160559</v>
      </c>
      <c r="GB331" s="60" t="n">
        <f aca="false">CHOOSE($C$7,-FX331*FY331,-FX331*FY331,-(FX331*FY331-FY331^2-FY331^3))</f>
        <v>-0.0107910842936637</v>
      </c>
      <c r="GC331" s="60" t="n">
        <f aca="false">GA331-FZ331^2/3</f>
        <v>-0.266219491031267</v>
      </c>
      <c r="GD331" s="60" t="n">
        <f aca="false">2*FZ331^3/27-FZ331*GA331/3+GB331</f>
        <v>-0.0636400988362784</v>
      </c>
      <c r="GE331" s="60" t="n">
        <f aca="false">GD331^2/4+GC331^3/27</f>
        <v>0.000313710901361829</v>
      </c>
      <c r="GF331" s="60" t="n">
        <f aca="false">-GD331/2-IF(GD331&gt;=0,1,-1)*SQRT(MAX(GE331,0))</f>
        <v>0.0495319352963236</v>
      </c>
      <c r="GG331" s="60" t="n">
        <f aca="false">SIGN(GF331)*ABS(GF331)^(1/3)</f>
        <v>0.367249967174439</v>
      </c>
      <c r="GH331" s="60" t="n">
        <f aca="false">IF(GG331=0,0,GG331-GC331/(3*GG331))</f>
        <v>0.60888329127384</v>
      </c>
      <c r="GI331" s="60" t="n">
        <f aca="false">2*SQRT(MAX(-GC331,0)/3)</f>
        <v>0.595784626668918</v>
      </c>
      <c r="GJ331" s="60" t="n">
        <f aca="false">ACOS(IF(GI331=0,0,MAX(-1,MIN(1,3*GD331/(GC331*GI331)))))</f>
        <v>0</v>
      </c>
      <c r="GK331" s="60" t="n">
        <f aca="false">GI331*COS(GJ331/3)</f>
        <v>0.595784626668918</v>
      </c>
      <c r="GL331" s="60" t="n">
        <f aca="false">IF(GE331&lt;0,GK331,GH331)-FZ331/3</f>
        <v>0.91158844983184</v>
      </c>
      <c r="GM331" s="60" t="n">
        <f aca="false">IFERROR((((GL331+FZ331)*GL331+GA331)*GL331+GB331)/((3*GL331+2*FZ331)*GL331+GA331),0)</f>
        <v>0</v>
      </c>
      <c r="GN331" s="60" t="n">
        <f aca="false">IF(ABS(GM331)&lt;0.1*ABS(GL331),GL331-GM331,GL331)</f>
        <v>0.91158844983184</v>
      </c>
      <c r="GO331" s="60" t="n">
        <f aca="false">IFERROR((((GN331+FZ331)*GN331+GA331)*GN331+GB331)/((3*GN331+2*FZ331)*GN331+GA331),0)</f>
        <v>0</v>
      </c>
      <c r="GP331" s="60" t="n">
        <f aca="false">IF(ABS(GO331)&lt;0.1*ABS(GN331),GN331-GO331,GN331)</f>
        <v>0.91158844983184</v>
      </c>
      <c r="GQ331" s="60" t="n">
        <f aca="false">-GB331/GP331</f>
        <v>0.0118376711504565</v>
      </c>
      <c r="GR331" s="60" t="n">
        <f aca="false">(GA331-GQ331)/GP331</f>
        <v>-0.00347297415783941</v>
      </c>
      <c r="GS331" s="60" t="n">
        <f aca="false">GR331^2-4*GQ331</f>
        <v>-0.0473386230523248</v>
      </c>
      <c r="GT331" s="60" t="n">
        <f aca="false">IF(GS331&gt;=0,(GR331+IF(GR331&gt;=0,1,-1)*SQRT(GS331))/2,0)</f>
        <v>0</v>
      </c>
      <c r="GU331" s="60" t="n">
        <f aca="false">IF(AND(GS331&gt;=0,GT331&lt;&gt;0),MIN(GT331,GQ331/GT331),-1)</f>
        <v>-1</v>
      </c>
      <c r="GV331" s="60" t="n">
        <f aca="false">AND(GS331&gt;=0,GU331&gt;FY331,ABS(GP331-GU331)&gt;=0.00005*MAX(GP331,GU331))</f>
        <v>0</v>
      </c>
      <c r="GW331" s="60" t="n">
        <f aca="false">IF(GV331,IFERROR((((GU331+FZ331)*GU331+GA331)*GU331+GB331)/((3*GU331+2*FZ331)*GU331+GA331),0),0)</f>
        <v>0</v>
      </c>
      <c r="GX331" s="60" t="n">
        <f aca="false">IF(ABS(GW331)&lt;0.1*ABS(GU331),GU331-GW331,GU331)</f>
        <v>-1</v>
      </c>
      <c r="GY331" s="60" t="n">
        <f aca="false">IF(GV331,IFERROR((((GX331+FZ331)*GX331+GA331)*GX331+GB331)/((3*GX331+2*FZ331)*GX331+GA331),0),0)</f>
        <v>0</v>
      </c>
      <c r="GZ331" s="60" t="n">
        <f aca="false">IF(ABS(GY331)&lt;0.1*ABS(GX331),GX331-GY331,GX331)</f>
        <v>-1</v>
      </c>
      <c r="HA331" s="60" t="n">
        <f aca="false">IF(GV331,MAX(GP331,GZ331),GP331)</f>
        <v>0.91158844983184</v>
      </c>
      <c r="HB331" s="60" t="n">
        <f aca="false">IF(GV331,MIN(GP331,GZ331),-1)</f>
        <v>-1</v>
      </c>
      <c r="HC331" s="60" t="n">
        <f aca="false">CHOOSE($C$7,FX331/HA331,FX331/FY331*LN(1+FY331/HA331),FX331/(2*SQRT(2)*FY331)*LN((HA331+(1+SQRT(2))*FY331)/(HA331+(1-SQRT(2))*FY331)))</f>
        <v>0.218240791233887</v>
      </c>
      <c r="HD331" s="60" t="n">
        <f aca="false">HA331-1-LN(HA331-FY331)-HC331</f>
        <v>-0.107840271021729</v>
      </c>
      <c r="HE331" s="60" t="n">
        <f aca="false">IF(GV331,CHOOSE($C$7,FX331/HB331,FX331/FY331*LN(1+FY331/HB331),FX331/(2*SQRT(2)*FY331)*LN((HB331+(1+SQRT(2))*FY331)/(HB331+(1-SQRT(2))*FY331))),0)</f>
        <v>0</v>
      </c>
      <c r="HF331" s="60" t="n">
        <f aca="false">IF(GV331,HB331-1-LN(HB331-FY331)-HE331,0)</f>
        <v>0</v>
      </c>
      <c r="HG331" s="60" t="n">
        <f aca="false">AND(GV331,HF331&lt;HD331)</f>
        <v>0</v>
      </c>
      <c r="HH331" s="60" t="n">
        <f aca="false">IF(HG331,HB331,HA331)</f>
        <v>0.91158844983184</v>
      </c>
      <c r="HI331" s="60" t="n">
        <f aca="false">IF(HG331,HE331,HC331)</f>
        <v>0.218240791233887</v>
      </c>
      <c r="HJ331" s="60" t="n">
        <f aca="false">LN(HH331-FY331)</f>
        <v>-0.198812070380318</v>
      </c>
      <c r="HK331" s="60" t="n">
        <f aca="false">$E$27/FW331*(HH331-1)-HJ331-HI331*(2*FJ331/FV331-$E$27/FW331)</f>
        <v>-0.107840271021729</v>
      </c>
      <c r="HL331" s="60" t="n">
        <f aca="false">$F$27/FW331*(HH331-1)-HJ331-HI331*(2*FK331/FV331-$F$27/FW331)</f>
        <v>0.198812070380318</v>
      </c>
      <c r="HM331" s="60" t="n">
        <f aca="false">$G$27/FW331*(HH331-1)-HJ331-HI331*(2*FL331/FV331-$G$27/FW331)</f>
        <v>0.198812070380318</v>
      </c>
      <c r="HN331" s="60" t="n">
        <f aca="false">$H$27/FW331*(HH331-1)-HJ331-HI331*(2*FM331/FV331-$H$27/FW331)</f>
        <v>0.198812070380318</v>
      </c>
      <c r="HO331" s="60" t="n">
        <f aca="false">$I$27/FW331*(HH331-1)-HJ331-HI331*(2*FN331/FV331-$I$27/FW331)</f>
        <v>0.198812070380318</v>
      </c>
      <c r="HP331" s="60" t="n">
        <f aca="false">$J$27/FW331*(HH331-1)-HJ331-HI331*(2*FO331/FV331-$J$27/FW331)</f>
        <v>0.198812070380318</v>
      </c>
      <c r="HQ331" s="60" t="n">
        <f aca="false">$K$27/FW331*(HH331-1)-HJ331-HI331*(2*FP331/FV331-$K$27/FW331)</f>
        <v>0.198812070380318</v>
      </c>
      <c r="HR331" s="60" t="n">
        <f aca="false">$L$27/FW331*(HH331-1)-HJ331-HI331*(2*FQ331/FV331-$L$27/FW331)</f>
        <v>0.198812070380318</v>
      </c>
      <c r="HS331" s="60" t="n">
        <f aca="false">$M$27/FW331*(HH331-1)-HJ331-HI331*(2*FR331/FV331-$M$27/FW331)</f>
        <v>0.198812070380318</v>
      </c>
      <c r="HT331" s="60" t="n">
        <f aca="false">$N$27/FW331*(HH331-1)-HJ331-HI331*(2*FS331/FV331-$N$27/FW331)</f>
        <v>0.198812070380318</v>
      </c>
      <c r="HU331" s="60" t="n">
        <f aca="false">$O$27/FW331*(HH331-1)-HJ331-HI331*(2*FT331/FV331-$O$27/FW331)</f>
        <v>0.198812070380318</v>
      </c>
      <c r="HV331" s="60" t="n">
        <f aca="false">$P$27/FW331*(HH331-1)-HJ331-HI331*(2*FU331/FV331-$P$27/FW331)</f>
        <v>0.198812070380318</v>
      </c>
      <c r="HW331" s="60" t="n">
        <f aca="false">FY331/HH331&gt;$C$22</f>
        <v>0</v>
      </c>
      <c r="HX331" s="60" t="n">
        <f aca="false">IF($E$13&gt;0,MAX(-300,MIN(300,EW331-HK331)),0)</f>
        <v>0</v>
      </c>
      <c r="HY331" s="60" t="n">
        <f aca="false">IF($F$13&gt;0,MAX(-300,MIN(300,EX331-HL331)),0)</f>
        <v>0</v>
      </c>
      <c r="HZ331" s="60" t="n">
        <f aca="false">IF($G$13&gt;0,MAX(-300,MIN(300,EY331-HM331)),0)</f>
        <v>0</v>
      </c>
      <c r="IA331" s="60" t="n">
        <f aca="false">IF($H$13&gt;0,MAX(-300,MIN(300,EZ331-HN331)),0)</f>
        <v>0</v>
      </c>
      <c r="IB331" s="60" t="n">
        <f aca="false">IF($I$13&gt;0,MAX(-300,MIN(300,FA331-HO331)),0)</f>
        <v>0</v>
      </c>
      <c r="IC331" s="60" t="n">
        <f aca="false">IF($J$13&gt;0,MAX(-300,MIN(300,FB331-HP331)),0)</f>
        <v>0</v>
      </c>
      <c r="ID331" s="60" t="n">
        <f aca="false">IF($K$13&gt;0,MAX(-300,MIN(300,FC331-HQ331)),0)</f>
        <v>0</v>
      </c>
      <c r="IE331" s="60" t="n">
        <f aca="false">IF($L$13&gt;0,MAX(-300,MIN(300,FD331-HR331)),0)</f>
        <v>0</v>
      </c>
      <c r="IF331" s="60" t="n">
        <f aca="false">IF($M$13&gt;0,MAX(-300,MIN(300,FE331-HS331)),0)</f>
        <v>0</v>
      </c>
      <c r="IG331" s="60" t="n">
        <f aca="false">IF($N$13&gt;0,MAX(-300,MIN(300,FF331-HT331)),0)</f>
        <v>0</v>
      </c>
      <c r="IH331" s="60" t="n">
        <f aca="false">IF($O$13&gt;0,MAX(-300,MIN(300,FG331-HU331)),0)</f>
        <v>0</v>
      </c>
      <c r="II331" s="60" t="n">
        <f aca="false">IF($P$13&gt;0,MAX(-300,MIN(300,FH331-HV331)),0)</f>
        <v>0</v>
      </c>
      <c r="IJ331" s="60" t="n">
        <f aca="false">SUMXMY2(HX331:II331,B331:M331)</f>
        <v>0</v>
      </c>
      <c r="IK331" s="60" t="n">
        <f aca="false">SUMSQ(B331:M331)</f>
        <v>0</v>
      </c>
    </row>
    <row r="332" customFormat="false" ht="15" hidden="false" customHeight="false" outlineLevel="0" collapsed="false">
      <c r="A332" s="59" t="n">
        <v>35</v>
      </c>
      <c r="B332" s="60" t="n">
        <f aca="false">HX331</f>
        <v>0</v>
      </c>
      <c r="C332" s="60" t="n">
        <f aca="false">HY331</f>
        <v>0</v>
      </c>
      <c r="D332" s="60" t="n">
        <f aca="false">HZ331</f>
        <v>0</v>
      </c>
      <c r="E332" s="60" t="n">
        <f aca="false">IA331</f>
        <v>0</v>
      </c>
      <c r="F332" s="60" t="n">
        <f aca="false">IB331</f>
        <v>0</v>
      </c>
      <c r="G332" s="60" t="n">
        <f aca="false">IC331</f>
        <v>0</v>
      </c>
      <c r="H332" s="60" t="n">
        <f aca="false">ID331</f>
        <v>0</v>
      </c>
      <c r="I332" s="60" t="n">
        <f aca="false">IE331</f>
        <v>0</v>
      </c>
      <c r="J332" s="60" t="n">
        <f aca="false">IF331</f>
        <v>0</v>
      </c>
      <c r="K332" s="60" t="n">
        <f aca="false">IG331</f>
        <v>0</v>
      </c>
      <c r="L332" s="60" t="n">
        <f aca="false">IH331</f>
        <v>0</v>
      </c>
      <c r="M332" s="60" t="n">
        <f aca="false">II331</f>
        <v>0</v>
      </c>
      <c r="N332" s="60" t="n">
        <f aca="false">EXP(B332)</f>
        <v>1</v>
      </c>
      <c r="O332" s="60" t="n">
        <f aca="false">EXP(C332)</f>
        <v>1</v>
      </c>
      <c r="P332" s="60" t="n">
        <f aca="false">EXP(D332)</f>
        <v>1</v>
      </c>
      <c r="Q332" s="60" t="n">
        <f aca="false">EXP(E332)</f>
        <v>1</v>
      </c>
      <c r="R332" s="60" t="n">
        <f aca="false">EXP(F332)</f>
        <v>1</v>
      </c>
      <c r="S332" s="60" t="n">
        <f aca="false">EXP(G332)</f>
        <v>1</v>
      </c>
      <c r="T332" s="60" t="n">
        <f aca="false">EXP(H332)</f>
        <v>1</v>
      </c>
      <c r="U332" s="60" t="n">
        <f aca="false">EXP(I332)</f>
        <v>1</v>
      </c>
      <c r="V332" s="60" t="n">
        <f aca="false">EXP(J332)</f>
        <v>1</v>
      </c>
      <c r="W332" s="60" t="n">
        <f aca="false">EXP(K332)</f>
        <v>1</v>
      </c>
      <c r="X332" s="60" t="n">
        <f aca="false">EXP(L332)</f>
        <v>1</v>
      </c>
      <c r="Y332" s="60" t="n">
        <f aca="false">EXP(M332)</f>
        <v>1</v>
      </c>
      <c r="Z332" s="60" t="n">
        <f aca="false">MAX(N332:Y332)</f>
        <v>1</v>
      </c>
      <c r="AA332" s="60" t="n">
        <f aca="false">MIN(N332:Y332)</f>
        <v>1</v>
      </c>
      <c r="AB332" s="60" t="n">
        <f aca="false">AND(Z332&gt;1,AA332&lt;1)</f>
        <v>0</v>
      </c>
      <c r="AC332" s="60" t="n">
        <f aca="false">IF(AB332,1/(1-Z332),0)</f>
        <v>0</v>
      </c>
      <c r="AD332" s="60" t="n">
        <f aca="false">IF(AB332,1/(1-AA332),1)</f>
        <v>1</v>
      </c>
      <c r="AE332" s="60" t="n">
        <f aca="false">IF(AB332,MIN(MAX(BI331,AC332+0.000000001*(AD332-AC332)),AD332-0.000000001*(AD332-AC332)),IF(AA332&gt;=1,1,0))</f>
        <v>1</v>
      </c>
      <c r="AF332" s="60" t="n">
        <f aca="false">SUMPRODUCT($E$13:$P$13*(N332:Y332-1)/(1+AE332*(N332:Y332-1)))</f>
        <v>0</v>
      </c>
      <c r="AG332" s="60" t="n">
        <f aca="false">-SUMPRODUCT($E$13:$P$13*(N332:Y332-1)^2/(1+AE332*(N332:Y332-1))^2)</f>
        <v>-0</v>
      </c>
      <c r="AH332" s="60" t="n">
        <f aca="false">IF(OR(NOT(AB332),AG332=0),AE332,IF(AE332-AF332/AG332&lt;=AC332,(AE332+AC332)/2,IF(AE332-AF332/AG332&gt;=AD332,(AE332+AD332)/2,AE332-AF332/AG332)))</f>
        <v>1</v>
      </c>
      <c r="AI332" s="60" t="n">
        <f aca="false">SUMPRODUCT($E$13:$P$13*(N332:Y332-1)/(1+AH332*(N332:Y332-1)))</f>
        <v>0</v>
      </c>
      <c r="AJ332" s="60" t="n">
        <f aca="false">-SUMPRODUCT($E$13:$P$13*(N332:Y332-1)^2/(1+AH332*(N332:Y332-1))^2)</f>
        <v>-0</v>
      </c>
      <c r="AK332" s="60" t="n">
        <f aca="false">IF(OR(NOT(AB332),AJ332=0),AH332,IF(AH332-AI332/AJ332&lt;=AC332,(AH332+AC332)/2,IF(AH332-AI332/AJ332&gt;=AD332,(AH332+AD332)/2,AH332-AI332/AJ332)))</f>
        <v>1</v>
      </c>
      <c r="AL332" s="60" t="n">
        <f aca="false">SUMPRODUCT($E$13:$P$13*(N332:Y332-1)/(1+AK332*(N332:Y332-1)))</f>
        <v>0</v>
      </c>
      <c r="AM332" s="60" t="n">
        <f aca="false">-SUMPRODUCT($E$13:$P$13*(N332:Y332-1)^2/(1+AK332*(N332:Y332-1))^2)</f>
        <v>-0</v>
      </c>
      <c r="AN332" s="60" t="n">
        <f aca="false">IF(OR(NOT(AB332),AM332=0),AK332,IF(AK332-AL332/AM332&lt;=AC332,(AK332+AC332)/2,IF(AK332-AL332/AM332&gt;=AD332,(AK332+AD332)/2,AK332-AL332/AM332)))</f>
        <v>1</v>
      </c>
      <c r="AO332" s="60" t="n">
        <f aca="false">SUMPRODUCT($E$13:$P$13*(N332:Y332-1)/(1+AN332*(N332:Y332-1)))</f>
        <v>0</v>
      </c>
      <c r="AP332" s="60" t="n">
        <f aca="false">-SUMPRODUCT($E$13:$P$13*(N332:Y332-1)^2/(1+AN332*(N332:Y332-1))^2)</f>
        <v>-0</v>
      </c>
      <c r="AQ332" s="60" t="n">
        <f aca="false">IF(OR(NOT(AB332),AP332=0),AN332,IF(AN332-AO332/AP332&lt;=AC332,(AN332+AC332)/2,IF(AN332-AO332/AP332&gt;=AD332,(AN332+AD332)/2,AN332-AO332/AP332)))</f>
        <v>1</v>
      </c>
      <c r="AR332" s="60" t="n">
        <f aca="false">SUMPRODUCT($E$13:$P$13*(N332:Y332-1)/(1+AQ332*(N332:Y332-1)))</f>
        <v>0</v>
      </c>
      <c r="AS332" s="60" t="n">
        <f aca="false">-SUMPRODUCT($E$13:$P$13*(N332:Y332-1)^2/(1+AQ332*(N332:Y332-1))^2)</f>
        <v>-0</v>
      </c>
      <c r="AT332" s="60" t="n">
        <f aca="false">IF(OR(NOT(AB332),AS332=0),AQ332,IF(AQ332-AR332/AS332&lt;=AC332,(AQ332+AC332)/2,IF(AQ332-AR332/AS332&gt;=AD332,(AQ332+AD332)/2,AQ332-AR332/AS332)))</f>
        <v>1</v>
      </c>
      <c r="AU332" s="60" t="n">
        <f aca="false">SUMPRODUCT($E$13:$P$13*(N332:Y332-1)/(1+AT332*(N332:Y332-1)))</f>
        <v>0</v>
      </c>
      <c r="AV332" s="60" t="n">
        <f aca="false">-SUMPRODUCT($E$13:$P$13*(N332:Y332-1)^2/(1+AT332*(N332:Y332-1))^2)</f>
        <v>-0</v>
      </c>
      <c r="AW332" s="60" t="n">
        <f aca="false">IF(OR(NOT(AB332),AV332=0),AT332,IF(AT332-AU332/AV332&lt;=AC332,(AT332+AC332)/2,IF(AT332-AU332/AV332&gt;=AD332,(AT332+AD332)/2,AT332-AU332/AV332)))</f>
        <v>1</v>
      </c>
      <c r="AX332" s="60" t="n">
        <f aca="false">SUMPRODUCT($E$13:$P$13*(N332:Y332-1)/(1+AW332*(N332:Y332-1)))</f>
        <v>0</v>
      </c>
      <c r="AY332" s="60" t="n">
        <f aca="false">-SUMPRODUCT($E$13:$P$13*(N332:Y332-1)^2/(1+AW332*(N332:Y332-1))^2)</f>
        <v>-0</v>
      </c>
      <c r="AZ332" s="60" t="n">
        <f aca="false">IF(OR(NOT(AB332),AY332=0),AW332,IF(AW332-AX332/AY332&lt;=AC332,(AW332+AC332)/2,IF(AW332-AX332/AY332&gt;=AD332,(AW332+AD332)/2,AW332-AX332/AY332)))</f>
        <v>1</v>
      </c>
      <c r="BA332" s="60" t="n">
        <f aca="false">SUMPRODUCT($E$13:$P$13*(N332:Y332-1)/(1+AZ332*(N332:Y332-1)))</f>
        <v>0</v>
      </c>
      <c r="BB332" s="60" t="n">
        <f aca="false">-SUMPRODUCT($E$13:$P$13*(N332:Y332-1)^2/(1+AZ332*(N332:Y332-1))^2)</f>
        <v>-0</v>
      </c>
      <c r="BC332" s="60" t="n">
        <f aca="false">IF(OR(NOT(AB332),BB332=0),AZ332,IF(AZ332-BA332/BB332&lt;=AC332,(AZ332+AC332)/2,IF(AZ332-BA332/BB332&gt;=AD332,(AZ332+AD332)/2,AZ332-BA332/BB332)))</f>
        <v>1</v>
      </c>
      <c r="BD332" s="60" t="n">
        <f aca="false">SUMPRODUCT($E$13:$P$13*(N332:Y332-1)/(1+BC332*(N332:Y332-1)))</f>
        <v>0</v>
      </c>
      <c r="BE332" s="60" t="n">
        <f aca="false">-SUMPRODUCT($E$13:$P$13*(N332:Y332-1)^2/(1+BC332*(N332:Y332-1))^2)</f>
        <v>-0</v>
      </c>
      <c r="BF332" s="60" t="n">
        <f aca="false">IF(OR(NOT(AB332),BE332=0),BC332,IF(BC332-BD332/BE332&lt;=AC332,(BC332+AC332)/2,IF(BC332-BD332/BE332&gt;=AD332,(BC332+AD332)/2,BC332-BD332/BE332)))</f>
        <v>1</v>
      </c>
      <c r="BG332" s="60" t="n">
        <f aca="false">SUMPRODUCT($E$13:$P$13*(N332:Y332-1)/(1+BF332*(N332:Y332-1)))</f>
        <v>0</v>
      </c>
      <c r="BH332" s="60" t="n">
        <f aca="false">-SUMPRODUCT($E$13:$P$13*(N332:Y332-1)^2/(1+BF332*(N332:Y332-1))^2)</f>
        <v>-0</v>
      </c>
      <c r="BI332" s="60" t="n">
        <f aca="false">IF(OR(NOT(AB332),BH332=0),BF332,IF(BF332-BG332/BH332&lt;=AC332,(BF332+AC332)/2,IF(BF332-BG332/BH332&gt;=AD332,(BF332+AD332)/2,BF332-BG332/BH332)))</f>
        <v>1</v>
      </c>
      <c r="BJ332" s="60" t="n">
        <f aca="false">$E$13/(1+BI332*(N332-1))</f>
        <v>1</v>
      </c>
      <c r="BK332" s="60" t="n">
        <f aca="false">$F$13/(1+BI332*(O332-1))</f>
        <v>0</v>
      </c>
      <c r="BL332" s="60" t="n">
        <f aca="false">$G$13/(1+BI332*(P332-1))</f>
        <v>0</v>
      </c>
      <c r="BM332" s="60" t="n">
        <f aca="false">$H$13/(1+BI332*(Q332-1))</f>
        <v>0</v>
      </c>
      <c r="BN332" s="60" t="n">
        <f aca="false">$I$13/(1+BI332*(R332-1))</f>
        <v>0</v>
      </c>
      <c r="BO332" s="60" t="n">
        <f aca="false">$J$13/(1+BI332*(S332-1))</f>
        <v>0</v>
      </c>
      <c r="BP332" s="60" t="n">
        <f aca="false">$K$13/(1+BI332*(T332-1))</f>
        <v>0</v>
      </c>
      <c r="BQ332" s="60" t="n">
        <f aca="false">$L$13/(1+BI332*(U332-1))</f>
        <v>0</v>
      </c>
      <c r="BR332" s="60" t="n">
        <f aca="false">$M$13/(1+BI332*(V332-1))</f>
        <v>0</v>
      </c>
      <c r="BS332" s="60" t="n">
        <f aca="false">$N$13/(1+BI332*(W332-1))</f>
        <v>0</v>
      </c>
      <c r="BT332" s="60" t="n">
        <f aca="false">$O$13/(1+BI332*(X332-1))</f>
        <v>0</v>
      </c>
      <c r="BU332" s="60" t="n">
        <f aca="false">$P$13/(1+BI332*(Y332-1))</f>
        <v>0</v>
      </c>
      <c r="BV332" s="60" t="n">
        <f aca="false">SUM(BJ332:BU332)</f>
        <v>1</v>
      </c>
      <c r="BW332" s="60" t="n">
        <f aca="false">SUMPRODUCT(N332:Y332,BJ332:BU332)</f>
        <v>1</v>
      </c>
      <c r="BX332" s="60" t="n">
        <f aca="false">BJ332/BV332</f>
        <v>1</v>
      </c>
      <c r="BY332" s="60" t="n">
        <f aca="false">BK332/BV332</f>
        <v>0</v>
      </c>
      <c r="BZ332" s="60" t="n">
        <f aca="false">BL332/BV332</f>
        <v>0</v>
      </c>
      <c r="CA332" s="60" t="n">
        <f aca="false">BM332/BV332</f>
        <v>0</v>
      </c>
      <c r="CB332" s="60" t="n">
        <f aca="false">BN332/BV332</f>
        <v>0</v>
      </c>
      <c r="CC332" s="60" t="n">
        <f aca="false">BO332/BV332</f>
        <v>0</v>
      </c>
      <c r="CD332" s="60" t="n">
        <f aca="false">BP332/BV332</f>
        <v>0</v>
      </c>
      <c r="CE332" s="60" t="n">
        <f aca="false">BQ332/BV332</f>
        <v>0</v>
      </c>
      <c r="CF332" s="60" t="n">
        <f aca="false">BR332/BV332</f>
        <v>0</v>
      </c>
      <c r="CG332" s="60" t="n">
        <f aca="false">BS332/BV332</f>
        <v>0</v>
      </c>
      <c r="CH332" s="60" t="n">
        <f aca="false">BT332/BV332</f>
        <v>0</v>
      </c>
      <c r="CI332" s="60" t="n">
        <f aca="false">BU332/BV332</f>
        <v>0</v>
      </c>
      <c r="CJ332" s="60" t="n">
        <f aca="false">N332*BJ332/BW332</f>
        <v>1</v>
      </c>
      <c r="CK332" s="60" t="n">
        <f aca="false">O332*BK332/BW332</f>
        <v>0</v>
      </c>
      <c r="CL332" s="60" t="n">
        <f aca="false">P332*BL332/BW332</f>
        <v>0</v>
      </c>
      <c r="CM332" s="60" t="n">
        <f aca="false">Q332*BM332/BW332</f>
        <v>0</v>
      </c>
      <c r="CN332" s="60" t="n">
        <f aca="false">R332*BN332/BW332</f>
        <v>0</v>
      </c>
      <c r="CO332" s="60" t="n">
        <f aca="false">S332*BO332/BW332</f>
        <v>0</v>
      </c>
      <c r="CP332" s="60" t="n">
        <f aca="false">T332*BP332/BW332</f>
        <v>0</v>
      </c>
      <c r="CQ332" s="60" t="n">
        <f aca="false">U332*BQ332/BW332</f>
        <v>0</v>
      </c>
      <c r="CR332" s="60" t="n">
        <f aca="false">V332*BR332/BW332</f>
        <v>0</v>
      </c>
      <c r="CS332" s="60" t="n">
        <f aca="false">W332*BS332/BW332</f>
        <v>0</v>
      </c>
      <c r="CT332" s="60" t="n">
        <f aca="false">X332*BT332/BW332</f>
        <v>0</v>
      </c>
      <c r="CU332" s="60" t="n">
        <f aca="false">Y332*BU332/BW332</f>
        <v>0</v>
      </c>
      <c r="CV332" s="60" t="n">
        <f aca="false">$E$28*SUMPRODUCT($E$31:$P$31,BX332:CI332,$E$28:$P$28)</f>
        <v>0.184416866619846</v>
      </c>
      <c r="CW332" s="60" t="n">
        <f aca="false">$F$28*SUMPRODUCT($E$32:$P$32,BX332:CI332,$E$28:$P$28)</f>
        <v>0</v>
      </c>
      <c r="CX332" s="60" t="n">
        <f aca="false">$G$28*SUMPRODUCT($E$33:$P$33,BX332:CI332,$E$28:$P$28)</f>
        <v>0</v>
      </c>
      <c r="CY332" s="60" t="n">
        <f aca="false">$H$28*SUMPRODUCT($E$34:$P$34,BX332:CI332,$E$28:$P$28)</f>
        <v>0</v>
      </c>
      <c r="CZ332" s="60" t="n">
        <f aca="false">$I$28*SUMPRODUCT($E$35:$P$35,BX332:CI332,$E$28:$P$28)</f>
        <v>0</v>
      </c>
      <c r="DA332" s="60" t="n">
        <f aca="false">$J$28*SUMPRODUCT($E$36:$P$36,BX332:CI332,$E$28:$P$28)</f>
        <v>0</v>
      </c>
      <c r="DB332" s="60" t="n">
        <f aca="false">$K$28*SUMPRODUCT($E$37:$P$37,BX332:CI332,$E$28:$P$28)</f>
        <v>0</v>
      </c>
      <c r="DC332" s="60" t="n">
        <f aca="false">$L$28*SUMPRODUCT($E$38:$P$38,BX332:CI332,$E$28:$P$28)</f>
        <v>0</v>
      </c>
      <c r="DD332" s="60" t="n">
        <f aca="false">$M$28*SUMPRODUCT($E$39:$P$39,BX332:CI332,$E$28:$P$28)</f>
        <v>0</v>
      </c>
      <c r="DE332" s="60" t="n">
        <f aca="false">$N$28*SUMPRODUCT($E$40:$P$40,BX332:CI332,$E$28:$P$28)</f>
        <v>0</v>
      </c>
      <c r="DF332" s="60" t="n">
        <f aca="false">$O$28*SUMPRODUCT($E$41:$P$41,BX332:CI332,$E$28:$P$28)</f>
        <v>0</v>
      </c>
      <c r="DG332" s="60" t="n">
        <f aca="false">$P$28*SUMPRODUCT($E$42:$P$42,BX332:CI332,$E$28:$P$28)</f>
        <v>0</v>
      </c>
      <c r="DH332" s="60" t="n">
        <f aca="false">SUMPRODUCT(BX332:CI332,CV332:DG332)</f>
        <v>0.184416866619846</v>
      </c>
      <c r="DI332" s="60" t="n">
        <f aca="false">SUMPRODUCT(BX332:CI332,$E$27:$P$27)</f>
        <v>2.67389635063809E-005</v>
      </c>
      <c r="DJ332" s="60" t="n">
        <f aca="false">DH332*$C$9/($C$10*$C$8)^2</f>
        <v>0.21776909410545</v>
      </c>
      <c r="DK332" s="60" t="n">
        <f aca="false">DI332*$C$9/($C$10*$C$8)</f>
        <v>0.0918845243259994</v>
      </c>
      <c r="DL332" s="60" t="n">
        <f aca="false">CHOOSE($C$7,-(1+DK332),-1,-(1-DK332))</f>
        <v>-0.908115475674001</v>
      </c>
      <c r="DM332" s="60" t="n">
        <f aca="false">CHOOSE($C$7,DJ332,DJ332-DK332-DK332^2,DJ332-3*DK332^2-2*DK332)</f>
        <v>0.00867174802160559</v>
      </c>
      <c r="DN332" s="60" t="n">
        <f aca="false">CHOOSE($C$7,-DJ332*DK332,-DJ332*DK332,-(DJ332*DK332-DK332^2-DK332^3))</f>
        <v>-0.0107910842936637</v>
      </c>
      <c r="DO332" s="60" t="n">
        <f aca="false">DM332-DL332^2/3</f>
        <v>-0.266219491031267</v>
      </c>
      <c r="DP332" s="60" t="n">
        <f aca="false">2*DL332^3/27-DL332*DM332/3+DN332</f>
        <v>-0.0636400988362784</v>
      </c>
      <c r="DQ332" s="60" t="n">
        <f aca="false">DP332^2/4+DO332^3/27</f>
        <v>0.000313710901361829</v>
      </c>
      <c r="DR332" s="60" t="n">
        <f aca="false">-DP332/2-IF(DP332&gt;=0,1,-1)*SQRT(MAX(DQ332,0))</f>
        <v>0.0495319352963236</v>
      </c>
      <c r="DS332" s="60" t="n">
        <f aca="false">SIGN(DR332)*ABS(DR332)^(1/3)</f>
        <v>0.367249967174439</v>
      </c>
      <c r="DT332" s="60" t="n">
        <f aca="false">IF(DS332=0,0,DS332-DO332/(3*DS332))</f>
        <v>0.60888329127384</v>
      </c>
      <c r="DU332" s="60" t="n">
        <f aca="false">2*SQRT(MAX(-DO332,0)/3)</f>
        <v>0.595784626668918</v>
      </c>
      <c r="DV332" s="60" t="n">
        <f aca="false">ACOS(IF(DU332=0,0,MAX(-1,MIN(1,3*DP332/(DO332*DU332)))))</f>
        <v>0</v>
      </c>
      <c r="DW332" s="60" t="n">
        <f aca="false">DU332*COS(DV332/3)</f>
        <v>0.595784626668918</v>
      </c>
      <c r="DX332" s="60" t="n">
        <f aca="false">IF(DQ332&lt;0,DW332,DT332)-DL332/3</f>
        <v>0.91158844983184</v>
      </c>
      <c r="DY332" s="60" t="n">
        <f aca="false">IFERROR((((DX332+DL332)*DX332+DM332)*DX332+DN332)/((3*DX332+2*DL332)*DX332+DM332),0)</f>
        <v>0</v>
      </c>
      <c r="DZ332" s="60" t="n">
        <f aca="false">IF(ABS(DY332)&lt;0.1*ABS(DX332),DX332-DY332,DX332)</f>
        <v>0.91158844983184</v>
      </c>
      <c r="EA332" s="60" t="n">
        <f aca="false">IFERROR((((DZ332+DL332)*DZ332+DM332)*DZ332+DN332)/((3*DZ332+2*DL332)*DZ332+DM332),0)</f>
        <v>0</v>
      </c>
      <c r="EB332" s="60" t="n">
        <f aca="false">IF(ABS(EA332)&lt;0.1*ABS(DZ332),DZ332-EA332,DZ332)</f>
        <v>0.91158844983184</v>
      </c>
      <c r="EC332" s="60" t="n">
        <f aca="false">-DN332/EB332</f>
        <v>0.0118376711504565</v>
      </c>
      <c r="ED332" s="60" t="n">
        <f aca="false">(DM332-EC332)/EB332</f>
        <v>-0.00347297415783941</v>
      </c>
      <c r="EE332" s="60" t="n">
        <f aca="false">ED332^2-4*EC332</f>
        <v>-0.0473386230523248</v>
      </c>
      <c r="EF332" s="60" t="n">
        <f aca="false">IF(EE332&gt;=0,(ED332+IF(ED332&gt;=0,1,-1)*SQRT(EE332))/2,0)</f>
        <v>0</v>
      </c>
      <c r="EG332" s="60" t="n">
        <f aca="false">IF(AND(EE332&gt;=0,EF332&lt;&gt;0),MIN(EF332,EC332/EF332),-1)</f>
        <v>-1</v>
      </c>
      <c r="EH332" s="60" t="n">
        <f aca="false">AND(EE332&gt;=0,EG332&gt;DK332,ABS(EB332-EG332)&gt;=0.00005*MAX(EB332,EG332))</f>
        <v>0</v>
      </c>
      <c r="EI332" s="60" t="n">
        <f aca="false">IF(EH332,IFERROR((((EG332+DL332)*EG332+DM332)*EG332+DN332)/((3*EG332+2*DL332)*EG332+DM332),0),0)</f>
        <v>0</v>
      </c>
      <c r="EJ332" s="60" t="n">
        <f aca="false">IF(ABS(EI332)&lt;0.1*ABS(EG332),EG332-EI332,EG332)</f>
        <v>-1</v>
      </c>
      <c r="EK332" s="60" t="n">
        <f aca="false">IF(EH332,IFERROR((((EJ332+DL332)*EJ332+DM332)*EJ332+DN332)/((3*EJ332+2*DL332)*EJ332+DM332),0),0)</f>
        <v>0</v>
      </c>
      <c r="EL332" s="60" t="n">
        <f aca="false">IF(ABS(EK332)&lt;0.1*ABS(EJ332),EJ332-EK332,EJ332)</f>
        <v>-1</v>
      </c>
      <c r="EM332" s="60" t="n">
        <f aca="false">IF(EH332,MAX(EB332,EL332),EB332)</f>
        <v>0.91158844983184</v>
      </c>
      <c r="EN332" s="60" t="n">
        <f aca="false">IF(EH332,MIN(EB332,EL332),-1)</f>
        <v>-1</v>
      </c>
      <c r="EO332" s="60" t="n">
        <f aca="false">CHOOSE($C$7,DJ332/EM332,DJ332/DK332*LN(1+DK332/EM332),DJ332/(2*SQRT(2)*DK332)*LN((EM332+(1+SQRT(2))*DK332)/(EM332+(1-SQRT(2))*DK332)))</f>
        <v>0.218240791233887</v>
      </c>
      <c r="EP332" s="60" t="n">
        <f aca="false">EM332-1-LN(EM332-DK332)-EO332</f>
        <v>-0.107840271021729</v>
      </c>
      <c r="EQ332" s="60" t="n">
        <f aca="false">IF(EH332,CHOOSE($C$7,DJ332/EN332,DJ332/DK332*LN(1+DK332/EN332),DJ332/(2*SQRT(2)*DK332)*LN((EN332+(1+SQRT(2))*DK332)/(EN332+(1-SQRT(2))*DK332))),0)</f>
        <v>0</v>
      </c>
      <c r="ER332" s="60" t="n">
        <f aca="false">IF(EH332,EN332-1-LN(EN332-DK332)-EQ332,0)</f>
        <v>0</v>
      </c>
      <c r="ES332" s="60" t="n">
        <f aca="false">AND(EH332,ER332&lt;EP332)</f>
        <v>0</v>
      </c>
      <c r="ET332" s="60" t="n">
        <f aca="false">IF(ES332,EN332,EM332)</f>
        <v>0.91158844983184</v>
      </c>
      <c r="EU332" s="60" t="n">
        <f aca="false">IF(ES332,EQ332,EO332)</f>
        <v>0.218240791233887</v>
      </c>
      <c r="EV332" s="60" t="n">
        <f aca="false">LN(ET332-DK332)</f>
        <v>-0.198812070380318</v>
      </c>
      <c r="EW332" s="60" t="n">
        <f aca="false">$E$27/DI332*(ET332-1)-EV332-EU332*(2*CV332/DH332-$E$27/DI332)</f>
        <v>-0.107840271021729</v>
      </c>
      <c r="EX332" s="60" t="n">
        <f aca="false">$F$27/DI332*(ET332-1)-EV332-EU332*(2*CW332/DH332-$F$27/DI332)</f>
        <v>0.198812070380318</v>
      </c>
      <c r="EY332" s="60" t="n">
        <f aca="false">$G$27/DI332*(ET332-1)-EV332-EU332*(2*CX332/DH332-$G$27/DI332)</f>
        <v>0.198812070380318</v>
      </c>
      <c r="EZ332" s="60" t="n">
        <f aca="false">$H$27/DI332*(ET332-1)-EV332-EU332*(2*CY332/DH332-$H$27/DI332)</f>
        <v>0.198812070380318</v>
      </c>
      <c r="FA332" s="60" t="n">
        <f aca="false">$I$27/DI332*(ET332-1)-EV332-EU332*(2*CZ332/DH332-$I$27/DI332)</f>
        <v>0.198812070380318</v>
      </c>
      <c r="FB332" s="60" t="n">
        <f aca="false">$J$27/DI332*(ET332-1)-EV332-EU332*(2*DA332/DH332-$J$27/DI332)</f>
        <v>0.198812070380318</v>
      </c>
      <c r="FC332" s="60" t="n">
        <f aca="false">$K$27/DI332*(ET332-1)-EV332-EU332*(2*DB332/DH332-$K$27/DI332)</f>
        <v>0.198812070380318</v>
      </c>
      <c r="FD332" s="60" t="n">
        <f aca="false">$L$27/DI332*(ET332-1)-EV332-EU332*(2*DC332/DH332-$L$27/DI332)</f>
        <v>0.198812070380318</v>
      </c>
      <c r="FE332" s="60" t="n">
        <f aca="false">$M$27/DI332*(ET332-1)-EV332-EU332*(2*DD332/DH332-$M$27/DI332)</f>
        <v>0.198812070380318</v>
      </c>
      <c r="FF332" s="60" t="n">
        <f aca="false">$N$27/DI332*(ET332-1)-EV332-EU332*(2*DE332/DH332-$N$27/DI332)</f>
        <v>0.198812070380318</v>
      </c>
      <c r="FG332" s="60" t="n">
        <f aca="false">$O$27/DI332*(ET332-1)-EV332-EU332*(2*DF332/DH332-$O$27/DI332)</f>
        <v>0.198812070380318</v>
      </c>
      <c r="FH332" s="60" t="n">
        <f aca="false">$P$27/DI332*(ET332-1)-EV332-EU332*(2*DG332/DH332-$P$27/DI332)</f>
        <v>0.198812070380318</v>
      </c>
      <c r="FI332" s="60" t="n">
        <f aca="false">DK332/ET332&gt;$C$22</f>
        <v>0</v>
      </c>
      <c r="FJ332" s="60" t="n">
        <f aca="false">$E$28*SUMPRODUCT($E$31:$P$31,CJ332:CU332,$E$28:$P$28)</f>
        <v>0.184416866619846</v>
      </c>
      <c r="FK332" s="60" t="n">
        <f aca="false">$F$28*SUMPRODUCT($E$32:$P$32,CJ332:CU332,$E$28:$P$28)</f>
        <v>0</v>
      </c>
      <c r="FL332" s="60" t="n">
        <f aca="false">$G$28*SUMPRODUCT($E$33:$P$33,CJ332:CU332,$E$28:$P$28)</f>
        <v>0</v>
      </c>
      <c r="FM332" s="60" t="n">
        <f aca="false">$H$28*SUMPRODUCT($E$34:$P$34,CJ332:CU332,$E$28:$P$28)</f>
        <v>0</v>
      </c>
      <c r="FN332" s="60" t="n">
        <f aca="false">$I$28*SUMPRODUCT($E$35:$P$35,CJ332:CU332,$E$28:$P$28)</f>
        <v>0</v>
      </c>
      <c r="FO332" s="60" t="n">
        <f aca="false">$J$28*SUMPRODUCT($E$36:$P$36,CJ332:CU332,$E$28:$P$28)</f>
        <v>0</v>
      </c>
      <c r="FP332" s="60" t="n">
        <f aca="false">$K$28*SUMPRODUCT($E$37:$P$37,CJ332:CU332,$E$28:$P$28)</f>
        <v>0</v>
      </c>
      <c r="FQ332" s="60" t="n">
        <f aca="false">$L$28*SUMPRODUCT($E$38:$P$38,CJ332:CU332,$E$28:$P$28)</f>
        <v>0</v>
      </c>
      <c r="FR332" s="60" t="n">
        <f aca="false">$M$28*SUMPRODUCT($E$39:$P$39,CJ332:CU332,$E$28:$P$28)</f>
        <v>0</v>
      </c>
      <c r="FS332" s="60" t="n">
        <f aca="false">$N$28*SUMPRODUCT($E$40:$P$40,CJ332:CU332,$E$28:$P$28)</f>
        <v>0</v>
      </c>
      <c r="FT332" s="60" t="n">
        <f aca="false">$O$28*SUMPRODUCT($E$41:$P$41,CJ332:CU332,$E$28:$P$28)</f>
        <v>0</v>
      </c>
      <c r="FU332" s="60" t="n">
        <f aca="false">$P$28*SUMPRODUCT($E$42:$P$42,CJ332:CU332,$E$28:$P$28)</f>
        <v>0</v>
      </c>
      <c r="FV332" s="60" t="n">
        <f aca="false">SUMPRODUCT(CJ332:CU332,FJ332:FU332)</f>
        <v>0.184416866619846</v>
      </c>
      <c r="FW332" s="60" t="n">
        <f aca="false">SUMPRODUCT(CJ332:CU332,$E$27:$P$27)</f>
        <v>2.67389635063809E-005</v>
      </c>
      <c r="FX332" s="60" t="n">
        <f aca="false">FV332*$C$9/($C$10*$C$8)^2</f>
        <v>0.21776909410545</v>
      </c>
      <c r="FY332" s="60" t="n">
        <f aca="false">FW332*$C$9/($C$10*$C$8)</f>
        <v>0.0918845243259994</v>
      </c>
      <c r="FZ332" s="60" t="n">
        <f aca="false">CHOOSE($C$7,-(1+FY332),-1,-(1-FY332))</f>
        <v>-0.908115475674001</v>
      </c>
      <c r="GA332" s="60" t="n">
        <f aca="false">CHOOSE($C$7,FX332,FX332-FY332-FY332^2,FX332-3*FY332^2-2*FY332)</f>
        <v>0.00867174802160559</v>
      </c>
      <c r="GB332" s="60" t="n">
        <f aca="false">CHOOSE($C$7,-FX332*FY332,-FX332*FY332,-(FX332*FY332-FY332^2-FY332^3))</f>
        <v>-0.0107910842936637</v>
      </c>
      <c r="GC332" s="60" t="n">
        <f aca="false">GA332-FZ332^2/3</f>
        <v>-0.266219491031267</v>
      </c>
      <c r="GD332" s="60" t="n">
        <f aca="false">2*FZ332^3/27-FZ332*GA332/3+GB332</f>
        <v>-0.0636400988362784</v>
      </c>
      <c r="GE332" s="60" t="n">
        <f aca="false">GD332^2/4+GC332^3/27</f>
        <v>0.000313710901361829</v>
      </c>
      <c r="GF332" s="60" t="n">
        <f aca="false">-GD332/2-IF(GD332&gt;=0,1,-1)*SQRT(MAX(GE332,0))</f>
        <v>0.0495319352963236</v>
      </c>
      <c r="GG332" s="60" t="n">
        <f aca="false">SIGN(GF332)*ABS(GF332)^(1/3)</f>
        <v>0.367249967174439</v>
      </c>
      <c r="GH332" s="60" t="n">
        <f aca="false">IF(GG332=0,0,GG332-GC332/(3*GG332))</f>
        <v>0.60888329127384</v>
      </c>
      <c r="GI332" s="60" t="n">
        <f aca="false">2*SQRT(MAX(-GC332,0)/3)</f>
        <v>0.595784626668918</v>
      </c>
      <c r="GJ332" s="60" t="n">
        <f aca="false">ACOS(IF(GI332=0,0,MAX(-1,MIN(1,3*GD332/(GC332*GI332)))))</f>
        <v>0</v>
      </c>
      <c r="GK332" s="60" t="n">
        <f aca="false">GI332*COS(GJ332/3)</f>
        <v>0.595784626668918</v>
      </c>
      <c r="GL332" s="60" t="n">
        <f aca="false">IF(GE332&lt;0,GK332,GH332)-FZ332/3</f>
        <v>0.91158844983184</v>
      </c>
      <c r="GM332" s="60" t="n">
        <f aca="false">IFERROR((((GL332+FZ332)*GL332+GA332)*GL332+GB332)/((3*GL332+2*FZ332)*GL332+GA332),0)</f>
        <v>0</v>
      </c>
      <c r="GN332" s="60" t="n">
        <f aca="false">IF(ABS(GM332)&lt;0.1*ABS(GL332),GL332-GM332,GL332)</f>
        <v>0.91158844983184</v>
      </c>
      <c r="GO332" s="60" t="n">
        <f aca="false">IFERROR((((GN332+FZ332)*GN332+GA332)*GN332+GB332)/((3*GN332+2*FZ332)*GN332+GA332),0)</f>
        <v>0</v>
      </c>
      <c r="GP332" s="60" t="n">
        <f aca="false">IF(ABS(GO332)&lt;0.1*ABS(GN332),GN332-GO332,GN332)</f>
        <v>0.91158844983184</v>
      </c>
      <c r="GQ332" s="60" t="n">
        <f aca="false">-GB332/GP332</f>
        <v>0.0118376711504565</v>
      </c>
      <c r="GR332" s="60" t="n">
        <f aca="false">(GA332-GQ332)/GP332</f>
        <v>-0.00347297415783941</v>
      </c>
      <c r="GS332" s="60" t="n">
        <f aca="false">GR332^2-4*GQ332</f>
        <v>-0.0473386230523248</v>
      </c>
      <c r="GT332" s="60" t="n">
        <f aca="false">IF(GS332&gt;=0,(GR332+IF(GR332&gt;=0,1,-1)*SQRT(GS332))/2,0)</f>
        <v>0</v>
      </c>
      <c r="GU332" s="60" t="n">
        <f aca="false">IF(AND(GS332&gt;=0,GT332&lt;&gt;0),MIN(GT332,GQ332/GT332),-1)</f>
        <v>-1</v>
      </c>
      <c r="GV332" s="60" t="n">
        <f aca="false">AND(GS332&gt;=0,GU332&gt;FY332,ABS(GP332-GU332)&gt;=0.00005*MAX(GP332,GU332))</f>
        <v>0</v>
      </c>
      <c r="GW332" s="60" t="n">
        <f aca="false">IF(GV332,IFERROR((((GU332+FZ332)*GU332+GA332)*GU332+GB332)/((3*GU332+2*FZ332)*GU332+GA332),0),0)</f>
        <v>0</v>
      </c>
      <c r="GX332" s="60" t="n">
        <f aca="false">IF(ABS(GW332)&lt;0.1*ABS(GU332),GU332-GW332,GU332)</f>
        <v>-1</v>
      </c>
      <c r="GY332" s="60" t="n">
        <f aca="false">IF(GV332,IFERROR((((GX332+FZ332)*GX332+GA332)*GX332+GB332)/((3*GX332+2*FZ332)*GX332+GA332),0),0)</f>
        <v>0</v>
      </c>
      <c r="GZ332" s="60" t="n">
        <f aca="false">IF(ABS(GY332)&lt;0.1*ABS(GX332),GX332-GY332,GX332)</f>
        <v>-1</v>
      </c>
      <c r="HA332" s="60" t="n">
        <f aca="false">IF(GV332,MAX(GP332,GZ332),GP332)</f>
        <v>0.91158844983184</v>
      </c>
      <c r="HB332" s="60" t="n">
        <f aca="false">IF(GV332,MIN(GP332,GZ332),-1)</f>
        <v>-1</v>
      </c>
      <c r="HC332" s="60" t="n">
        <f aca="false">CHOOSE($C$7,FX332/HA332,FX332/FY332*LN(1+FY332/HA332),FX332/(2*SQRT(2)*FY332)*LN((HA332+(1+SQRT(2))*FY332)/(HA332+(1-SQRT(2))*FY332)))</f>
        <v>0.218240791233887</v>
      </c>
      <c r="HD332" s="60" t="n">
        <f aca="false">HA332-1-LN(HA332-FY332)-HC332</f>
        <v>-0.107840271021729</v>
      </c>
      <c r="HE332" s="60" t="n">
        <f aca="false">IF(GV332,CHOOSE($C$7,FX332/HB332,FX332/FY332*LN(1+FY332/HB332),FX332/(2*SQRT(2)*FY332)*LN((HB332+(1+SQRT(2))*FY332)/(HB332+(1-SQRT(2))*FY332))),0)</f>
        <v>0</v>
      </c>
      <c r="HF332" s="60" t="n">
        <f aca="false">IF(GV332,HB332-1-LN(HB332-FY332)-HE332,0)</f>
        <v>0</v>
      </c>
      <c r="HG332" s="60" t="n">
        <f aca="false">AND(GV332,HF332&lt;HD332)</f>
        <v>0</v>
      </c>
      <c r="HH332" s="60" t="n">
        <f aca="false">IF(HG332,HB332,HA332)</f>
        <v>0.91158844983184</v>
      </c>
      <c r="HI332" s="60" t="n">
        <f aca="false">IF(HG332,HE332,HC332)</f>
        <v>0.218240791233887</v>
      </c>
      <c r="HJ332" s="60" t="n">
        <f aca="false">LN(HH332-FY332)</f>
        <v>-0.198812070380318</v>
      </c>
      <c r="HK332" s="60" t="n">
        <f aca="false">$E$27/FW332*(HH332-1)-HJ332-HI332*(2*FJ332/FV332-$E$27/FW332)</f>
        <v>-0.107840271021729</v>
      </c>
      <c r="HL332" s="60" t="n">
        <f aca="false">$F$27/FW332*(HH332-1)-HJ332-HI332*(2*FK332/FV332-$F$27/FW332)</f>
        <v>0.198812070380318</v>
      </c>
      <c r="HM332" s="60" t="n">
        <f aca="false">$G$27/FW332*(HH332-1)-HJ332-HI332*(2*FL332/FV332-$G$27/FW332)</f>
        <v>0.198812070380318</v>
      </c>
      <c r="HN332" s="60" t="n">
        <f aca="false">$H$27/FW332*(HH332-1)-HJ332-HI332*(2*FM332/FV332-$H$27/FW332)</f>
        <v>0.198812070380318</v>
      </c>
      <c r="HO332" s="60" t="n">
        <f aca="false">$I$27/FW332*(HH332-1)-HJ332-HI332*(2*FN332/FV332-$I$27/FW332)</f>
        <v>0.198812070380318</v>
      </c>
      <c r="HP332" s="60" t="n">
        <f aca="false">$J$27/FW332*(HH332-1)-HJ332-HI332*(2*FO332/FV332-$J$27/FW332)</f>
        <v>0.198812070380318</v>
      </c>
      <c r="HQ332" s="60" t="n">
        <f aca="false">$K$27/FW332*(HH332-1)-HJ332-HI332*(2*FP332/FV332-$K$27/FW332)</f>
        <v>0.198812070380318</v>
      </c>
      <c r="HR332" s="60" t="n">
        <f aca="false">$L$27/FW332*(HH332-1)-HJ332-HI332*(2*FQ332/FV332-$L$27/FW332)</f>
        <v>0.198812070380318</v>
      </c>
      <c r="HS332" s="60" t="n">
        <f aca="false">$M$27/FW332*(HH332-1)-HJ332-HI332*(2*FR332/FV332-$M$27/FW332)</f>
        <v>0.198812070380318</v>
      </c>
      <c r="HT332" s="60" t="n">
        <f aca="false">$N$27/FW332*(HH332-1)-HJ332-HI332*(2*FS332/FV332-$N$27/FW332)</f>
        <v>0.198812070380318</v>
      </c>
      <c r="HU332" s="60" t="n">
        <f aca="false">$O$27/FW332*(HH332-1)-HJ332-HI332*(2*FT332/FV332-$O$27/FW332)</f>
        <v>0.198812070380318</v>
      </c>
      <c r="HV332" s="60" t="n">
        <f aca="false">$P$27/FW332*(HH332-1)-HJ332-HI332*(2*FU332/FV332-$P$27/FW332)</f>
        <v>0.198812070380318</v>
      </c>
      <c r="HW332" s="60" t="n">
        <f aca="false">FY332/HH332&gt;$C$22</f>
        <v>0</v>
      </c>
      <c r="HX332" s="60" t="n">
        <f aca="false">IF($E$13&gt;0,MAX(-300,MIN(300,EW332-HK332)),0)</f>
        <v>0</v>
      </c>
      <c r="HY332" s="60" t="n">
        <f aca="false">IF($F$13&gt;0,MAX(-300,MIN(300,EX332-HL332)),0)</f>
        <v>0</v>
      </c>
      <c r="HZ332" s="60" t="n">
        <f aca="false">IF($G$13&gt;0,MAX(-300,MIN(300,EY332-HM332)),0)</f>
        <v>0</v>
      </c>
      <c r="IA332" s="60" t="n">
        <f aca="false">IF($H$13&gt;0,MAX(-300,MIN(300,EZ332-HN332)),0)</f>
        <v>0</v>
      </c>
      <c r="IB332" s="60" t="n">
        <f aca="false">IF($I$13&gt;0,MAX(-300,MIN(300,FA332-HO332)),0)</f>
        <v>0</v>
      </c>
      <c r="IC332" s="60" t="n">
        <f aca="false">IF($J$13&gt;0,MAX(-300,MIN(300,FB332-HP332)),0)</f>
        <v>0</v>
      </c>
      <c r="ID332" s="60" t="n">
        <f aca="false">IF($K$13&gt;0,MAX(-300,MIN(300,FC332-HQ332)),0)</f>
        <v>0</v>
      </c>
      <c r="IE332" s="60" t="n">
        <f aca="false">IF($L$13&gt;0,MAX(-300,MIN(300,FD332-HR332)),0)</f>
        <v>0</v>
      </c>
      <c r="IF332" s="60" t="n">
        <f aca="false">IF($M$13&gt;0,MAX(-300,MIN(300,FE332-HS332)),0)</f>
        <v>0</v>
      </c>
      <c r="IG332" s="60" t="n">
        <f aca="false">IF($N$13&gt;0,MAX(-300,MIN(300,FF332-HT332)),0)</f>
        <v>0</v>
      </c>
      <c r="IH332" s="60" t="n">
        <f aca="false">IF($O$13&gt;0,MAX(-300,MIN(300,FG332-HU332)),0)</f>
        <v>0</v>
      </c>
      <c r="II332" s="60" t="n">
        <f aca="false">IF($P$13&gt;0,MAX(-300,MIN(300,FH332-HV332)),0)</f>
        <v>0</v>
      </c>
      <c r="IJ332" s="60" t="n">
        <f aca="false">SUMXMY2(HX332:II332,B332:M332)</f>
        <v>0</v>
      </c>
      <c r="IK332" s="60" t="n">
        <f aca="false">SUMSQ(B332:M332)</f>
        <v>0</v>
      </c>
    </row>
    <row r="333" customFormat="false" ht="15" hidden="false" customHeight="false" outlineLevel="0" collapsed="false">
      <c r="A333" s="59" t="n">
        <v>36</v>
      </c>
      <c r="B333" s="60" t="n">
        <f aca="false">HX332</f>
        <v>0</v>
      </c>
      <c r="C333" s="60" t="n">
        <f aca="false">HY332</f>
        <v>0</v>
      </c>
      <c r="D333" s="60" t="n">
        <f aca="false">HZ332</f>
        <v>0</v>
      </c>
      <c r="E333" s="60" t="n">
        <f aca="false">IA332</f>
        <v>0</v>
      </c>
      <c r="F333" s="60" t="n">
        <f aca="false">IB332</f>
        <v>0</v>
      </c>
      <c r="G333" s="60" t="n">
        <f aca="false">IC332</f>
        <v>0</v>
      </c>
      <c r="H333" s="60" t="n">
        <f aca="false">ID332</f>
        <v>0</v>
      </c>
      <c r="I333" s="60" t="n">
        <f aca="false">IE332</f>
        <v>0</v>
      </c>
      <c r="J333" s="60" t="n">
        <f aca="false">IF332</f>
        <v>0</v>
      </c>
      <c r="K333" s="60" t="n">
        <f aca="false">IG332</f>
        <v>0</v>
      </c>
      <c r="L333" s="60" t="n">
        <f aca="false">IH332</f>
        <v>0</v>
      </c>
      <c r="M333" s="60" t="n">
        <f aca="false">II332</f>
        <v>0</v>
      </c>
      <c r="N333" s="60" t="n">
        <f aca="false">EXP(B333)</f>
        <v>1</v>
      </c>
      <c r="O333" s="60" t="n">
        <f aca="false">EXP(C333)</f>
        <v>1</v>
      </c>
      <c r="P333" s="60" t="n">
        <f aca="false">EXP(D333)</f>
        <v>1</v>
      </c>
      <c r="Q333" s="60" t="n">
        <f aca="false">EXP(E333)</f>
        <v>1</v>
      </c>
      <c r="R333" s="60" t="n">
        <f aca="false">EXP(F333)</f>
        <v>1</v>
      </c>
      <c r="S333" s="60" t="n">
        <f aca="false">EXP(G333)</f>
        <v>1</v>
      </c>
      <c r="T333" s="60" t="n">
        <f aca="false">EXP(H333)</f>
        <v>1</v>
      </c>
      <c r="U333" s="60" t="n">
        <f aca="false">EXP(I333)</f>
        <v>1</v>
      </c>
      <c r="V333" s="60" t="n">
        <f aca="false">EXP(J333)</f>
        <v>1</v>
      </c>
      <c r="W333" s="60" t="n">
        <f aca="false">EXP(K333)</f>
        <v>1</v>
      </c>
      <c r="X333" s="60" t="n">
        <f aca="false">EXP(L333)</f>
        <v>1</v>
      </c>
      <c r="Y333" s="60" t="n">
        <f aca="false">EXP(M333)</f>
        <v>1</v>
      </c>
      <c r="Z333" s="60" t="n">
        <f aca="false">MAX(N333:Y333)</f>
        <v>1</v>
      </c>
      <c r="AA333" s="60" t="n">
        <f aca="false">MIN(N333:Y333)</f>
        <v>1</v>
      </c>
      <c r="AB333" s="60" t="n">
        <f aca="false">AND(Z333&gt;1,AA333&lt;1)</f>
        <v>0</v>
      </c>
      <c r="AC333" s="60" t="n">
        <f aca="false">IF(AB333,1/(1-Z333),0)</f>
        <v>0</v>
      </c>
      <c r="AD333" s="60" t="n">
        <f aca="false">IF(AB333,1/(1-AA333),1)</f>
        <v>1</v>
      </c>
      <c r="AE333" s="60" t="n">
        <f aca="false">IF(AB333,MIN(MAX(BI332,AC333+0.000000001*(AD333-AC333)),AD333-0.000000001*(AD333-AC333)),IF(AA333&gt;=1,1,0))</f>
        <v>1</v>
      </c>
      <c r="AF333" s="60" t="n">
        <f aca="false">SUMPRODUCT($E$13:$P$13*(N333:Y333-1)/(1+AE333*(N333:Y333-1)))</f>
        <v>0</v>
      </c>
      <c r="AG333" s="60" t="n">
        <f aca="false">-SUMPRODUCT($E$13:$P$13*(N333:Y333-1)^2/(1+AE333*(N333:Y333-1))^2)</f>
        <v>-0</v>
      </c>
      <c r="AH333" s="60" t="n">
        <f aca="false">IF(OR(NOT(AB333),AG333=0),AE333,IF(AE333-AF333/AG333&lt;=AC333,(AE333+AC333)/2,IF(AE333-AF333/AG333&gt;=AD333,(AE333+AD333)/2,AE333-AF333/AG333)))</f>
        <v>1</v>
      </c>
      <c r="AI333" s="60" t="n">
        <f aca="false">SUMPRODUCT($E$13:$P$13*(N333:Y333-1)/(1+AH333*(N333:Y333-1)))</f>
        <v>0</v>
      </c>
      <c r="AJ333" s="60" t="n">
        <f aca="false">-SUMPRODUCT($E$13:$P$13*(N333:Y333-1)^2/(1+AH333*(N333:Y333-1))^2)</f>
        <v>-0</v>
      </c>
      <c r="AK333" s="60" t="n">
        <f aca="false">IF(OR(NOT(AB333),AJ333=0),AH333,IF(AH333-AI333/AJ333&lt;=AC333,(AH333+AC333)/2,IF(AH333-AI333/AJ333&gt;=AD333,(AH333+AD333)/2,AH333-AI333/AJ333)))</f>
        <v>1</v>
      </c>
      <c r="AL333" s="60" t="n">
        <f aca="false">SUMPRODUCT($E$13:$P$13*(N333:Y333-1)/(1+AK333*(N333:Y333-1)))</f>
        <v>0</v>
      </c>
      <c r="AM333" s="60" t="n">
        <f aca="false">-SUMPRODUCT($E$13:$P$13*(N333:Y333-1)^2/(1+AK333*(N333:Y333-1))^2)</f>
        <v>-0</v>
      </c>
      <c r="AN333" s="60" t="n">
        <f aca="false">IF(OR(NOT(AB333),AM333=0),AK333,IF(AK333-AL333/AM333&lt;=AC333,(AK333+AC333)/2,IF(AK333-AL333/AM333&gt;=AD333,(AK333+AD333)/2,AK333-AL333/AM333)))</f>
        <v>1</v>
      </c>
      <c r="AO333" s="60" t="n">
        <f aca="false">SUMPRODUCT($E$13:$P$13*(N333:Y333-1)/(1+AN333*(N333:Y333-1)))</f>
        <v>0</v>
      </c>
      <c r="AP333" s="60" t="n">
        <f aca="false">-SUMPRODUCT($E$13:$P$13*(N333:Y333-1)^2/(1+AN333*(N333:Y333-1))^2)</f>
        <v>-0</v>
      </c>
      <c r="AQ333" s="60" t="n">
        <f aca="false">IF(OR(NOT(AB333),AP333=0),AN333,IF(AN333-AO333/AP333&lt;=AC333,(AN333+AC333)/2,IF(AN333-AO333/AP333&gt;=AD333,(AN333+AD333)/2,AN333-AO333/AP333)))</f>
        <v>1</v>
      </c>
      <c r="AR333" s="60" t="n">
        <f aca="false">SUMPRODUCT($E$13:$P$13*(N333:Y333-1)/(1+AQ333*(N333:Y333-1)))</f>
        <v>0</v>
      </c>
      <c r="AS333" s="60" t="n">
        <f aca="false">-SUMPRODUCT($E$13:$P$13*(N333:Y333-1)^2/(1+AQ333*(N333:Y333-1))^2)</f>
        <v>-0</v>
      </c>
      <c r="AT333" s="60" t="n">
        <f aca="false">IF(OR(NOT(AB333),AS333=0),AQ333,IF(AQ333-AR333/AS333&lt;=AC333,(AQ333+AC333)/2,IF(AQ333-AR333/AS333&gt;=AD333,(AQ333+AD333)/2,AQ333-AR333/AS333)))</f>
        <v>1</v>
      </c>
      <c r="AU333" s="60" t="n">
        <f aca="false">SUMPRODUCT($E$13:$P$13*(N333:Y333-1)/(1+AT333*(N333:Y333-1)))</f>
        <v>0</v>
      </c>
      <c r="AV333" s="60" t="n">
        <f aca="false">-SUMPRODUCT($E$13:$P$13*(N333:Y333-1)^2/(1+AT333*(N333:Y333-1))^2)</f>
        <v>-0</v>
      </c>
      <c r="AW333" s="60" t="n">
        <f aca="false">IF(OR(NOT(AB333),AV333=0),AT333,IF(AT333-AU333/AV333&lt;=AC333,(AT333+AC333)/2,IF(AT333-AU333/AV333&gt;=AD333,(AT333+AD333)/2,AT333-AU333/AV333)))</f>
        <v>1</v>
      </c>
      <c r="AX333" s="60" t="n">
        <f aca="false">SUMPRODUCT($E$13:$P$13*(N333:Y333-1)/(1+AW333*(N333:Y333-1)))</f>
        <v>0</v>
      </c>
      <c r="AY333" s="60" t="n">
        <f aca="false">-SUMPRODUCT($E$13:$P$13*(N333:Y333-1)^2/(1+AW333*(N333:Y333-1))^2)</f>
        <v>-0</v>
      </c>
      <c r="AZ333" s="60" t="n">
        <f aca="false">IF(OR(NOT(AB333),AY333=0),AW333,IF(AW333-AX333/AY333&lt;=AC333,(AW333+AC333)/2,IF(AW333-AX333/AY333&gt;=AD333,(AW333+AD333)/2,AW333-AX333/AY333)))</f>
        <v>1</v>
      </c>
      <c r="BA333" s="60" t="n">
        <f aca="false">SUMPRODUCT($E$13:$P$13*(N333:Y333-1)/(1+AZ333*(N333:Y333-1)))</f>
        <v>0</v>
      </c>
      <c r="BB333" s="60" t="n">
        <f aca="false">-SUMPRODUCT($E$13:$P$13*(N333:Y333-1)^2/(1+AZ333*(N333:Y333-1))^2)</f>
        <v>-0</v>
      </c>
      <c r="BC333" s="60" t="n">
        <f aca="false">IF(OR(NOT(AB333),BB333=0),AZ333,IF(AZ333-BA333/BB333&lt;=AC333,(AZ333+AC333)/2,IF(AZ333-BA333/BB333&gt;=AD333,(AZ333+AD333)/2,AZ333-BA333/BB333)))</f>
        <v>1</v>
      </c>
      <c r="BD333" s="60" t="n">
        <f aca="false">SUMPRODUCT($E$13:$P$13*(N333:Y333-1)/(1+BC333*(N333:Y333-1)))</f>
        <v>0</v>
      </c>
      <c r="BE333" s="60" t="n">
        <f aca="false">-SUMPRODUCT($E$13:$P$13*(N333:Y333-1)^2/(1+BC333*(N333:Y333-1))^2)</f>
        <v>-0</v>
      </c>
      <c r="BF333" s="60" t="n">
        <f aca="false">IF(OR(NOT(AB333),BE333=0),BC333,IF(BC333-BD333/BE333&lt;=AC333,(BC333+AC333)/2,IF(BC333-BD333/BE333&gt;=AD333,(BC333+AD333)/2,BC333-BD333/BE333)))</f>
        <v>1</v>
      </c>
      <c r="BG333" s="60" t="n">
        <f aca="false">SUMPRODUCT($E$13:$P$13*(N333:Y333-1)/(1+BF333*(N333:Y333-1)))</f>
        <v>0</v>
      </c>
      <c r="BH333" s="60" t="n">
        <f aca="false">-SUMPRODUCT($E$13:$P$13*(N333:Y333-1)^2/(1+BF333*(N333:Y333-1))^2)</f>
        <v>-0</v>
      </c>
      <c r="BI333" s="60" t="n">
        <f aca="false">IF(OR(NOT(AB333),BH333=0),BF333,IF(BF333-BG333/BH333&lt;=AC333,(BF333+AC333)/2,IF(BF333-BG333/BH333&gt;=AD333,(BF333+AD333)/2,BF333-BG333/BH333)))</f>
        <v>1</v>
      </c>
      <c r="BJ333" s="60" t="n">
        <f aca="false">$E$13/(1+BI333*(N333-1))</f>
        <v>1</v>
      </c>
      <c r="BK333" s="60" t="n">
        <f aca="false">$F$13/(1+BI333*(O333-1))</f>
        <v>0</v>
      </c>
      <c r="BL333" s="60" t="n">
        <f aca="false">$G$13/(1+BI333*(P333-1))</f>
        <v>0</v>
      </c>
      <c r="BM333" s="60" t="n">
        <f aca="false">$H$13/(1+BI333*(Q333-1))</f>
        <v>0</v>
      </c>
      <c r="BN333" s="60" t="n">
        <f aca="false">$I$13/(1+BI333*(R333-1))</f>
        <v>0</v>
      </c>
      <c r="BO333" s="60" t="n">
        <f aca="false">$J$13/(1+BI333*(S333-1))</f>
        <v>0</v>
      </c>
      <c r="BP333" s="60" t="n">
        <f aca="false">$K$13/(1+BI333*(T333-1))</f>
        <v>0</v>
      </c>
      <c r="BQ333" s="60" t="n">
        <f aca="false">$L$13/(1+BI333*(U333-1))</f>
        <v>0</v>
      </c>
      <c r="BR333" s="60" t="n">
        <f aca="false">$M$13/(1+BI333*(V333-1))</f>
        <v>0</v>
      </c>
      <c r="BS333" s="60" t="n">
        <f aca="false">$N$13/(1+BI333*(W333-1))</f>
        <v>0</v>
      </c>
      <c r="BT333" s="60" t="n">
        <f aca="false">$O$13/(1+BI333*(X333-1))</f>
        <v>0</v>
      </c>
      <c r="BU333" s="60" t="n">
        <f aca="false">$P$13/(1+BI333*(Y333-1))</f>
        <v>0</v>
      </c>
      <c r="BV333" s="60" t="n">
        <f aca="false">SUM(BJ333:BU333)</f>
        <v>1</v>
      </c>
      <c r="BW333" s="60" t="n">
        <f aca="false">SUMPRODUCT(N333:Y333,BJ333:BU333)</f>
        <v>1</v>
      </c>
      <c r="BX333" s="60" t="n">
        <f aca="false">BJ333/BV333</f>
        <v>1</v>
      </c>
      <c r="BY333" s="60" t="n">
        <f aca="false">BK333/BV333</f>
        <v>0</v>
      </c>
      <c r="BZ333" s="60" t="n">
        <f aca="false">BL333/BV333</f>
        <v>0</v>
      </c>
      <c r="CA333" s="60" t="n">
        <f aca="false">BM333/BV333</f>
        <v>0</v>
      </c>
      <c r="CB333" s="60" t="n">
        <f aca="false">BN333/BV333</f>
        <v>0</v>
      </c>
      <c r="CC333" s="60" t="n">
        <f aca="false">BO333/BV333</f>
        <v>0</v>
      </c>
      <c r="CD333" s="60" t="n">
        <f aca="false">BP333/BV333</f>
        <v>0</v>
      </c>
      <c r="CE333" s="60" t="n">
        <f aca="false">BQ333/BV333</f>
        <v>0</v>
      </c>
      <c r="CF333" s="60" t="n">
        <f aca="false">BR333/BV333</f>
        <v>0</v>
      </c>
      <c r="CG333" s="60" t="n">
        <f aca="false">BS333/BV333</f>
        <v>0</v>
      </c>
      <c r="CH333" s="60" t="n">
        <f aca="false">BT333/BV333</f>
        <v>0</v>
      </c>
      <c r="CI333" s="60" t="n">
        <f aca="false">BU333/BV333</f>
        <v>0</v>
      </c>
      <c r="CJ333" s="60" t="n">
        <f aca="false">N333*BJ333/BW333</f>
        <v>1</v>
      </c>
      <c r="CK333" s="60" t="n">
        <f aca="false">O333*BK333/BW333</f>
        <v>0</v>
      </c>
      <c r="CL333" s="60" t="n">
        <f aca="false">P333*BL333/BW333</f>
        <v>0</v>
      </c>
      <c r="CM333" s="60" t="n">
        <f aca="false">Q333*BM333/BW333</f>
        <v>0</v>
      </c>
      <c r="CN333" s="60" t="n">
        <f aca="false">R333*BN333/BW333</f>
        <v>0</v>
      </c>
      <c r="CO333" s="60" t="n">
        <f aca="false">S333*BO333/BW333</f>
        <v>0</v>
      </c>
      <c r="CP333" s="60" t="n">
        <f aca="false">T333*BP333/BW333</f>
        <v>0</v>
      </c>
      <c r="CQ333" s="60" t="n">
        <f aca="false">U333*BQ333/BW333</f>
        <v>0</v>
      </c>
      <c r="CR333" s="60" t="n">
        <f aca="false">V333*BR333/BW333</f>
        <v>0</v>
      </c>
      <c r="CS333" s="60" t="n">
        <f aca="false">W333*BS333/BW333</f>
        <v>0</v>
      </c>
      <c r="CT333" s="60" t="n">
        <f aca="false">X333*BT333/BW333</f>
        <v>0</v>
      </c>
      <c r="CU333" s="60" t="n">
        <f aca="false">Y333*BU333/BW333</f>
        <v>0</v>
      </c>
      <c r="CV333" s="60" t="n">
        <f aca="false">$E$28*SUMPRODUCT($E$31:$P$31,BX333:CI333,$E$28:$P$28)</f>
        <v>0.184416866619846</v>
      </c>
      <c r="CW333" s="60" t="n">
        <f aca="false">$F$28*SUMPRODUCT($E$32:$P$32,BX333:CI333,$E$28:$P$28)</f>
        <v>0</v>
      </c>
      <c r="CX333" s="60" t="n">
        <f aca="false">$G$28*SUMPRODUCT($E$33:$P$33,BX333:CI333,$E$28:$P$28)</f>
        <v>0</v>
      </c>
      <c r="CY333" s="60" t="n">
        <f aca="false">$H$28*SUMPRODUCT($E$34:$P$34,BX333:CI333,$E$28:$P$28)</f>
        <v>0</v>
      </c>
      <c r="CZ333" s="60" t="n">
        <f aca="false">$I$28*SUMPRODUCT($E$35:$P$35,BX333:CI333,$E$28:$P$28)</f>
        <v>0</v>
      </c>
      <c r="DA333" s="60" t="n">
        <f aca="false">$J$28*SUMPRODUCT($E$36:$P$36,BX333:CI333,$E$28:$P$28)</f>
        <v>0</v>
      </c>
      <c r="DB333" s="60" t="n">
        <f aca="false">$K$28*SUMPRODUCT($E$37:$P$37,BX333:CI333,$E$28:$P$28)</f>
        <v>0</v>
      </c>
      <c r="DC333" s="60" t="n">
        <f aca="false">$L$28*SUMPRODUCT($E$38:$P$38,BX333:CI333,$E$28:$P$28)</f>
        <v>0</v>
      </c>
      <c r="DD333" s="60" t="n">
        <f aca="false">$M$28*SUMPRODUCT($E$39:$P$39,BX333:CI333,$E$28:$P$28)</f>
        <v>0</v>
      </c>
      <c r="DE333" s="60" t="n">
        <f aca="false">$N$28*SUMPRODUCT($E$40:$P$40,BX333:CI333,$E$28:$P$28)</f>
        <v>0</v>
      </c>
      <c r="DF333" s="60" t="n">
        <f aca="false">$O$28*SUMPRODUCT($E$41:$P$41,BX333:CI333,$E$28:$P$28)</f>
        <v>0</v>
      </c>
      <c r="DG333" s="60" t="n">
        <f aca="false">$P$28*SUMPRODUCT($E$42:$P$42,BX333:CI333,$E$28:$P$28)</f>
        <v>0</v>
      </c>
      <c r="DH333" s="60" t="n">
        <f aca="false">SUMPRODUCT(BX333:CI333,CV333:DG333)</f>
        <v>0.184416866619846</v>
      </c>
      <c r="DI333" s="60" t="n">
        <f aca="false">SUMPRODUCT(BX333:CI333,$E$27:$P$27)</f>
        <v>2.67389635063809E-005</v>
      </c>
      <c r="DJ333" s="60" t="n">
        <f aca="false">DH333*$C$9/($C$10*$C$8)^2</f>
        <v>0.21776909410545</v>
      </c>
      <c r="DK333" s="60" t="n">
        <f aca="false">DI333*$C$9/($C$10*$C$8)</f>
        <v>0.0918845243259994</v>
      </c>
      <c r="DL333" s="60" t="n">
        <f aca="false">CHOOSE($C$7,-(1+DK333),-1,-(1-DK333))</f>
        <v>-0.908115475674001</v>
      </c>
      <c r="DM333" s="60" t="n">
        <f aca="false">CHOOSE($C$7,DJ333,DJ333-DK333-DK333^2,DJ333-3*DK333^2-2*DK333)</f>
        <v>0.00867174802160559</v>
      </c>
      <c r="DN333" s="60" t="n">
        <f aca="false">CHOOSE($C$7,-DJ333*DK333,-DJ333*DK333,-(DJ333*DK333-DK333^2-DK333^3))</f>
        <v>-0.0107910842936637</v>
      </c>
      <c r="DO333" s="60" t="n">
        <f aca="false">DM333-DL333^2/3</f>
        <v>-0.266219491031267</v>
      </c>
      <c r="DP333" s="60" t="n">
        <f aca="false">2*DL333^3/27-DL333*DM333/3+DN333</f>
        <v>-0.0636400988362784</v>
      </c>
      <c r="DQ333" s="60" t="n">
        <f aca="false">DP333^2/4+DO333^3/27</f>
        <v>0.000313710901361829</v>
      </c>
      <c r="DR333" s="60" t="n">
        <f aca="false">-DP333/2-IF(DP333&gt;=0,1,-1)*SQRT(MAX(DQ333,0))</f>
        <v>0.0495319352963236</v>
      </c>
      <c r="DS333" s="60" t="n">
        <f aca="false">SIGN(DR333)*ABS(DR333)^(1/3)</f>
        <v>0.367249967174439</v>
      </c>
      <c r="DT333" s="60" t="n">
        <f aca="false">IF(DS333=0,0,DS333-DO333/(3*DS333))</f>
        <v>0.60888329127384</v>
      </c>
      <c r="DU333" s="60" t="n">
        <f aca="false">2*SQRT(MAX(-DO333,0)/3)</f>
        <v>0.595784626668918</v>
      </c>
      <c r="DV333" s="60" t="n">
        <f aca="false">ACOS(IF(DU333=0,0,MAX(-1,MIN(1,3*DP333/(DO333*DU333)))))</f>
        <v>0</v>
      </c>
      <c r="DW333" s="60" t="n">
        <f aca="false">DU333*COS(DV333/3)</f>
        <v>0.595784626668918</v>
      </c>
      <c r="DX333" s="60" t="n">
        <f aca="false">IF(DQ333&lt;0,DW333,DT333)-DL333/3</f>
        <v>0.91158844983184</v>
      </c>
      <c r="DY333" s="60" t="n">
        <f aca="false">IFERROR((((DX333+DL333)*DX333+DM333)*DX333+DN333)/((3*DX333+2*DL333)*DX333+DM333),0)</f>
        <v>0</v>
      </c>
      <c r="DZ333" s="60" t="n">
        <f aca="false">IF(ABS(DY333)&lt;0.1*ABS(DX333),DX333-DY333,DX333)</f>
        <v>0.91158844983184</v>
      </c>
      <c r="EA333" s="60" t="n">
        <f aca="false">IFERROR((((DZ333+DL333)*DZ333+DM333)*DZ333+DN333)/((3*DZ333+2*DL333)*DZ333+DM333),0)</f>
        <v>0</v>
      </c>
      <c r="EB333" s="60" t="n">
        <f aca="false">IF(ABS(EA333)&lt;0.1*ABS(DZ333),DZ333-EA333,DZ333)</f>
        <v>0.91158844983184</v>
      </c>
      <c r="EC333" s="60" t="n">
        <f aca="false">-DN333/EB333</f>
        <v>0.0118376711504565</v>
      </c>
      <c r="ED333" s="60" t="n">
        <f aca="false">(DM333-EC333)/EB333</f>
        <v>-0.00347297415783941</v>
      </c>
      <c r="EE333" s="60" t="n">
        <f aca="false">ED333^2-4*EC333</f>
        <v>-0.0473386230523248</v>
      </c>
      <c r="EF333" s="60" t="n">
        <f aca="false">IF(EE333&gt;=0,(ED333+IF(ED333&gt;=0,1,-1)*SQRT(EE333))/2,0)</f>
        <v>0</v>
      </c>
      <c r="EG333" s="60" t="n">
        <f aca="false">IF(AND(EE333&gt;=0,EF333&lt;&gt;0),MIN(EF333,EC333/EF333),-1)</f>
        <v>-1</v>
      </c>
      <c r="EH333" s="60" t="n">
        <f aca="false">AND(EE333&gt;=0,EG333&gt;DK333,ABS(EB333-EG333)&gt;=0.00005*MAX(EB333,EG333))</f>
        <v>0</v>
      </c>
      <c r="EI333" s="60" t="n">
        <f aca="false">IF(EH333,IFERROR((((EG333+DL333)*EG333+DM333)*EG333+DN333)/((3*EG333+2*DL333)*EG333+DM333),0),0)</f>
        <v>0</v>
      </c>
      <c r="EJ333" s="60" t="n">
        <f aca="false">IF(ABS(EI333)&lt;0.1*ABS(EG333),EG333-EI333,EG333)</f>
        <v>-1</v>
      </c>
      <c r="EK333" s="60" t="n">
        <f aca="false">IF(EH333,IFERROR((((EJ333+DL333)*EJ333+DM333)*EJ333+DN333)/((3*EJ333+2*DL333)*EJ333+DM333),0),0)</f>
        <v>0</v>
      </c>
      <c r="EL333" s="60" t="n">
        <f aca="false">IF(ABS(EK333)&lt;0.1*ABS(EJ333),EJ333-EK333,EJ333)</f>
        <v>-1</v>
      </c>
      <c r="EM333" s="60" t="n">
        <f aca="false">IF(EH333,MAX(EB333,EL333),EB333)</f>
        <v>0.91158844983184</v>
      </c>
      <c r="EN333" s="60" t="n">
        <f aca="false">IF(EH333,MIN(EB333,EL333),-1)</f>
        <v>-1</v>
      </c>
      <c r="EO333" s="60" t="n">
        <f aca="false">CHOOSE($C$7,DJ333/EM333,DJ333/DK333*LN(1+DK333/EM333),DJ333/(2*SQRT(2)*DK333)*LN((EM333+(1+SQRT(2))*DK333)/(EM333+(1-SQRT(2))*DK333)))</f>
        <v>0.218240791233887</v>
      </c>
      <c r="EP333" s="60" t="n">
        <f aca="false">EM333-1-LN(EM333-DK333)-EO333</f>
        <v>-0.107840271021729</v>
      </c>
      <c r="EQ333" s="60" t="n">
        <f aca="false">IF(EH333,CHOOSE($C$7,DJ333/EN333,DJ333/DK333*LN(1+DK333/EN333),DJ333/(2*SQRT(2)*DK333)*LN((EN333+(1+SQRT(2))*DK333)/(EN333+(1-SQRT(2))*DK333))),0)</f>
        <v>0</v>
      </c>
      <c r="ER333" s="60" t="n">
        <f aca="false">IF(EH333,EN333-1-LN(EN333-DK333)-EQ333,0)</f>
        <v>0</v>
      </c>
      <c r="ES333" s="60" t="n">
        <f aca="false">AND(EH333,ER333&lt;EP333)</f>
        <v>0</v>
      </c>
      <c r="ET333" s="60" t="n">
        <f aca="false">IF(ES333,EN333,EM333)</f>
        <v>0.91158844983184</v>
      </c>
      <c r="EU333" s="60" t="n">
        <f aca="false">IF(ES333,EQ333,EO333)</f>
        <v>0.218240791233887</v>
      </c>
      <c r="EV333" s="60" t="n">
        <f aca="false">LN(ET333-DK333)</f>
        <v>-0.198812070380318</v>
      </c>
      <c r="EW333" s="60" t="n">
        <f aca="false">$E$27/DI333*(ET333-1)-EV333-EU333*(2*CV333/DH333-$E$27/DI333)</f>
        <v>-0.107840271021729</v>
      </c>
      <c r="EX333" s="60" t="n">
        <f aca="false">$F$27/DI333*(ET333-1)-EV333-EU333*(2*CW333/DH333-$F$27/DI333)</f>
        <v>0.198812070380318</v>
      </c>
      <c r="EY333" s="60" t="n">
        <f aca="false">$G$27/DI333*(ET333-1)-EV333-EU333*(2*CX333/DH333-$G$27/DI333)</f>
        <v>0.198812070380318</v>
      </c>
      <c r="EZ333" s="60" t="n">
        <f aca="false">$H$27/DI333*(ET333-1)-EV333-EU333*(2*CY333/DH333-$H$27/DI333)</f>
        <v>0.198812070380318</v>
      </c>
      <c r="FA333" s="60" t="n">
        <f aca="false">$I$27/DI333*(ET333-1)-EV333-EU333*(2*CZ333/DH333-$I$27/DI333)</f>
        <v>0.198812070380318</v>
      </c>
      <c r="FB333" s="60" t="n">
        <f aca="false">$J$27/DI333*(ET333-1)-EV333-EU333*(2*DA333/DH333-$J$27/DI333)</f>
        <v>0.198812070380318</v>
      </c>
      <c r="FC333" s="60" t="n">
        <f aca="false">$K$27/DI333*(ET333-1)-EV333-EU333*(2*DB333/DH333-$K$27/DI333)</f>
        <v>0.198812070380318</v>
      </c>
      <c r="FD333" s="60" t="n">
        <f aca="false">$L$27/DI333*(ET333-1)-EV333-EU333*(2*DC333/DH333-$L$27/DI333)</f>
        <v>0.198812070380318</v>
      </c>
      <c r="FE333" s="60" t="n">
        <f aca="false">$M$27/DI333*(ET333-1)-EV333-EU333*(2*DD333/DH333-$M$27/DI333)</f>
        <v>0.198812070380318</v>
      </c>
      <c r="FF333" s="60" t="n">
        <f aca="false">$N$27/DI333*(ET333-1)-EV333-EU333*(2*DE333/DH333-$N$27/DI333)</f>
        <v>0.198812070380318</v>
      </c>
      <c r="FG333" s="60" t="n">
        <f aca="false">$O$27/DI333*(ET333-1)-EV333-EU333*(2*DF333/DH333-$O$27/DI333)</f>
        <v>0.198812070380318</v>
      </c>
      <c r="FH333" s="60" t="n">
        <f aca="false">$P$27/DI333*(ET333-1)-EV333-EU333*(2*DG333/DH333-$P$27/DI333)</f>
        <v>0.198812070380318</v>
      </c>
      <c r="FI333" s="60" t="n">
        <f aca="false">DK333/ET333&gt;$C$22</f>
        <v>0</v>
      </c>
      <c r="FJ333" s="60" t="n">
        <f aca="false">$E$28*SUMPRODUCT($E$31:$P$31,CJ333:CU333,$E$28:$P$28)</f>
        <v>0.184416866619846</v>
      </c>
      <c r="FK333" s="60" t="n">
        <f aca="false">$F$28*SUMPRODUCT($E$32:$P$32,CJ333:CU333,$E$28:$P$28)</f>
        <v>0</v>
      </c>
      <c r="FL333" s="60" t="n">
        <f aca="false">$G$28*SUMPRODUCT($E$33:$P$33,CJ333:CU333,$E$28:$P$28)</f>
        <v>0</v>
      </c>
      <c r="FM333" s="60" t="n">
        <f aca="false">$H$28*SUMPRODUCT($E$34:$P$34,CJ333:CU333,$E$28:$P$28)</f>
        <v>0</v>
      </c>
      <c r="FN333" s="60" t="n">
        <f aca="false">$I$28*SUMPRODUCT($E$35:$P$35,CJ333:CU333,$E$28:$P$28)</f>
        <v>0</v>
      </c>
      <c r="FO333" s="60" t="n">
        <f aca="false">$J$28*SUMPRODUCT($E$36:$P$36,CJ333:CU333,$E$28:$P$28)</f>
        <v>0</v>
      </c>
      <c r="FP333" s="60" t="n">
        <f aca="false">$K$28*SUMPRODUCT($E$37:$P$37,CJ333:CU333,$E$28:$P$28)</f>
        <v>0</v>
      </c>
      <c r="FQ333" s="60" t="n">
        <f aca="false">$L$28*SUMPRODUCT($E$38:$P$38,CJ333:CU333,$E$28:$P$28)</f>
        <v>0</v>
      </c>
      <c r="FR333" s="60" t="n">
        <f aca="false">$M$28*SUMPRODUCT($E$39:$P$39,CJ333:CU333,$E$28:$P$28)</f>
        <v>0</v>
      </c>
      <c r="FS333" s="60" t="n">
        <f aca="false">$N$28*SUMPRODUCT($E$40:$P$40,CJ333:CU333,$E$28:$P$28)</f>
        <v>0</v>
      </c>
      <c r="FT333" s="60" t="n">
        <f aca="false">$O$28*SUMPRODUCT($E$41:$P$41,CJ333:CU333,$E$28:$P$28)</f>
        <v>0</v>
      </c>
      <c r="FU333" s="60" t="n">
        <f aca="false">$P$28*SUMPRODUCT($E$42:$P$42,CJ333:CU333,$E$28:$P$28)</f>
        <v>0</v>
      </c>
      <c r="FV333" s="60" t="n">
        <f aca="false">SUMPRODUCT(CJ333:CU333,FJ333:FU333)</f>
        <v>0.184416866619846</v>
      </c>
      <c r="FW333" s="60" t="n">
        <f aca="false">SUMPRODUCT(CJ333:CU333,$E$27:$P$27)</f>
        <v>2.67389635063809E-005</v>
      </c>
      <c r="FX333" s="60" t="n">
        <f aca="false">FV333*$C$9/($C$10*$C$8)^2</f>
        <v>0.21776909410545</v>
      </c>
      <c r="FY333" s="60" t="n">
        <f aca="false">FW333*$C$9/($C$10*$C$8)</f>
        <v>0.0918845243259994</v>
      </c>
      <c r="FZ333" s="60" t="n">
        <f aca="false">CHOOSE($C$7,-(1+FY333),-1,-(1-FY333))</f>
        <v>-0.908115475674001</v>
      </c>
      <c r="GA333" s="60" t="n">
        <f aca="false">CHOOSE($C$7,FX333,FX333-FY333-FY333^2,FX333-3*FY333^2-2*FY333)</f>
        <v>0.00867174802160559</v>
      </c>
      <c r="GB333" s="60" t="n">
        <f aca="false">CHOOSE($C$7,-FX333*FY333,-FX333*FY333,-(FX333*FY333-FY333^2-FY333^3))</f>
        <v>-0.0107910842936637</v>
      </c>
      <c r="GC333" s="60" t="n">
        <f aca="false">GA333-FZ333^2/3</f>
        <v>-0.266219491031267</v>
      </c>
      <c r="GD333" s="60" t="n">
        <f aca="false">2*FZ333^3/27-FZ333*GA333/3+GB333</f>
        <v>-0.0636400988362784</v>
      </c>
      <c r="GE333" s="60" t="n">
        <f aca="false">GD333^2/4+GC333^3/27</f>
        <v>0.000313710901361829</v>
      </c>
      <c r="GF333" s="60" t="n">
        <f aca="false">-GD333/2-IF(GD333&gt;=0,1,-1)*SQRT(MAX(GE333,0))</f>
        <v>0.0495319352963236</v>
      </c>
      <c r="GG333" s="60" t="n">
        <f aca="false">SIGN(GF333)*ABS(GF333)^(1/3)</f>
        <v>0.367249967174439</v>
      </c>
      <c r="GH333" s="60" t="n">
        <f aca="false">IF(GG333=0,0,GG333-GC333/(3*GG333))</f>
        <v>0.60888329127384</v>
      </c>
      <c r="GI333" s="60" t="n">
        <f aca="false">2*SQRT(MAX(-GC333,0)/3)</f>
        <v>0.595784626668918</v>
      </c>
      <c r="GJ333" s="60" t="n">
        <f aca="false">ACOS(IF(GI333=0,0,MAX(-1,MIN(1,3*GD333/(GC333*GI333)))))</f>
        <v>0</v>
      </c>
      <c r="GK333" s="60" t="n">
        <f aca="false">GI333*COS(GJ333/3)</f>
        <v>0.595784626668918</v>
      </c>
      <c r="GL333" s="60" t="n">
        <f aca="false">IF(GE333&lt;0,GK333,GH333)-FZ333/3</f>
        <v>0.91158844983184</v>
      </c>
      <c r="GM333" s="60" t="n">
        <f aca="false">IFERROR((((GL333+FZ333)*GL333+GA333)*GL333+GB333)/((3*GL333+2*FZ333)*GL333+GA333),0)</f>
        <v>0</v>
      </c>
      <c r="GN333" s="60" t="n">
        <f aca="false">IF(ABS(GM333)&lt;0.1*ABS(GL333),GL333-GM333,GL333)</f>
        <v>0.91158844983184</v>
      </c>
      <c r="GO333" s="60" t="n">
        <f aca="false">IFERROR((((GN333+FZ333)*GN333+GA333)*GN333+GB333)/((3*GN333+2*FZ333)*GN333+GA333),0)</f>
        <v>0</v>
      </c>
      <c r="GP333" s="60" t="n">
        <f aca="false">IF(ABS(GO333)&lt;0.1*ABS(GN333),GN333-GO333,GN333)</f>
        <v>0.91158844983184</v>
      </c>
      <c r="GQ333" s="60" t="n">
        <f aca="false">-GB333/GP333</f>
        <v>0.0118376711504565</v>
      </c>
      <c r="GR333" s="60" t="n">
        <f aca="false">(GA333-GQ333)/GP333</f>
        <v>-0.00347297415783941</v>
      </c>
      <c r="GS333" s="60" t="n">
        <f aca="false">GR333^2-4*GQ333</f>
        <v>-0.0473386230523248</v>
      </c>
      <c r="GT333" s="60" t="n">
        <f aca="false">IF(GS333&gt;=0,(GR333+IF(GR333&gt;=0,1,-1)*SQRT(GS333))/2,0)</f>
        <v>0</v>
      </c>
      <c r="GU333" s="60" t="n">
        <f aca="false">IF(AND(GS333&gt;=0,GT333&lt;&gt;0),MIN(GT333,GQ333/GT333),-1)</f>
        <v>-1</v>
      </c>
      <c r="GV333" s="60" t="n">
        <f aca="false">AND(GS333&gt;=0,GU333&gt;FY333,ABS(GP333-GU333)&gt;=0.00005*MAX(GP333,GU333))</f>
        <v>0</v>
      </c>
      <c r="GW333" s="60" t="n">
        <f aca="false">IF(GV333,IFERROR((((GU333+FZ333)*GU333+GA333)*GU333+GB333)/((3*GU333+2*FZ333)*GU333+GA333),0),0)</f>
        <v>0</v>
      </c>
      <c r="GX333" s="60" t="n">
        <f aca="false">IF(ABS(GW333)&lt;0.1*ABS(GU333),GU333-GW333,GU333)</f>
        <v>-1</v>
      </c>
      <c r="GY333" s="60" t="n">
        <f aca="false">IF(GV333,IFERROR((((GX333+FZ333)*GX333+GA333)*GX333+GB333)/((3*GX333+2*FZ333)*GX333+GA333),0),0)</f>
        <v>0</v>
      </c>
      <c r="GZ333" s="60" t="n">
        <f aca="false">IF(ABS(GY333)&lt;0.1*ABS(GX333),GX333-GY333,GX333)</f>
        <v>-1</v>
      </c>
      <c r="HA333" s="60" t="n">
        <f aca="false">IF(GV333,MAX(GP333,GZ333),GP333)</f>
        <v>0.91158844983184</v>
      </c>
      <c r="HB333" s="60" t="n">
        <f aca="false">IF(GV333,MIN(GP333,GZ333),-1)</f>
        <v>-1</v>
      </c>
      <c r="HC333" s="60" t="n">
        <f aca="false">CHOOSE($C$7,FX333/HA333,FX333/FY333*LN(1+FY333/HA333),FX333/(2*SQRT(2)*FY333)*LN((HA333+(1+SQRT(2))*FY333)/(HA333+(1-SQRT(2))*FY333)))</f>
        <v>0.218240791233887</v>
      </c>
      <c r="HD333" s="60" t="n">
        <f aca="false">HA333-1-LN(HA333-FY333)-HC333</f>
        <v>-0.107840271021729</v>
      </c>
      <c r="HE333" s="60" t="n">
        <f aca="false">IF(GV333,CHOOSE($C$7,FX333/HB333,FX333/FY333*LN(1+FY333/HB333),FX333/(2*SQRT(2)*FY333)*LN((HB333+(1+SQRT(2))*FY333)/(HB333+(1-SQRT(2))*FY333))),0)</f>
        <v>0</v>
      </c>
      <c r="HF333" s="60" t="n">
        <f aca="false">IF(GV333,HB333-1-LN(HB333-FY333)-HE333,0)</f>
        <v>0</v>
      </c>
      <c r="HG333" s="60" t="n">
        <f aca="false">AND(GV333,HF333&lt;HD333)</f>
        <v>0</v>
      </c>
      <c r="HH333" s="60" t="n">
        <f aca="false">IF(HG333,HB333,HA333)</f>
        <v>0.91158844983184</v>
      </c>
      <c r="HI333" s="60" t="n">
        <f aca="false">IF(HG333,HE333,HC333)</f>
        <v>0.218240791233887</v>
      </c>
      <c r="HJ333" s="60" t="n">
        <f aca="false">LN(HH333-FY333)</f>
        <v>-0.198812070380318</v>
      </c>
      <c r="HK333" s="60" t="n">
        <f aca="false">$E$27/FW333*(HH333-1)-HJ333-HI333*(2*FJ333/FV333-$E$27/FW333)</f>
        <v>-0.107840271021729</v>
      </c>
      <c r="HL333" s="60" t="n">
        <f aca="false">$F$27/FW333*(HH333-1)-HJ333-HI333*(2*FK333/FV333-$F$27/FW333)</f>
        <v>0.198812070380318</v>
      </c>
      <c r="HM333" s="60" t="n">
        <f aca="false">$G$27/FW333*(HH333-1)-HJ333-HI333*(2*FL333/FV333-$G$27/FW333)</f>
        <v>0.198812070380318</v>
      </c>
      <c r="HN333" s="60" t="n">
        <f aca="false">$H$27/FW333*(HH333-1)-HJ333-HI333*(2*FM333/FV333-$H$27/FW333)</f>
        <v>0.198812070380318</v>
      </c>
      <c r="HO333" s="60" t="n">
        <f aca="false">$I$27/FW333*(HH333-1)-HJ333-HI333*(2*FN333/FV333-$I$27/FW333)</f>
        <v>0.198812070380318</v>
      </c>
      <c r="HP333" s="60" t="n">
        <f aca="false">$J$27/FW333*(HH333-1)-HJ333-HI333*(2*FO333/FV333-$J$27/FW333)</f>
        <v>0.198812070380318</v>
      </c>
      <c r="HQ333" s="60" t="n">
        <f aca="false">$K$27/FW333*(HH333-1)-HJ333-HI333*(2*FP333/FV333-$K$27/FW333)</f>
        <v>0.198812070380318</v>
      </c>
      <c r="HR333" s="60" t="n">
        <f aca="false">$L$27/FW333*(HH333-1)-HJ333-HI333*(2*FQ333/FV333-$L$27/FW333)</f>
        <v>0.198812070380318</v>
      </c>
      <c r="HS333" s="60" t="n">
        <f aca="false">$M$27/FW333*(HH333-1)-HJ333-HI333*(2*FR333/FV333-$M$27/FW333)</f>
        <v>0.198812070380318</v>
      </c>
      <c r="HT333" s="60" t="n">
        <f aca="false">$N$27/FW333*(HH333-1)-HJ333-HI333*(2*FS333/FV333-$N$27/FW333)</f>
        <v>0.198812070380318</v>
      </c>
      <c r="HU333" s="60" t="n">
        <f aca="false">$O$27/FW333*(HH333-1)-HJ333-HI333*(2*FT333/FV333-$O$27/FW333)</f>
        <v>0.198812070380318</v>
      </c>
      <c r="HV333" s="60" t="n">
        <f aca="false">$P$27/FW333*(HH333-1)-HJ333-HI333*(2*FU333/FV333-$P$27/FW333)</f>
        <v>0.198812070380318</v>
      </c>
      <c r="HW333" s="60" t="n">
        <f aca="false">FY333/HH333&gt;$C$22</f>
        <v>0</v>
      </c>
      <c r="HX333" s="60" t="n">
        <f aca="false">IF($E$13&gt;0,MAX(-300,MIN(300,EW333-HK333)),0)</f>
        <v>0</v>
      </c>
      <c r="HY333" s="60" t="n">
        <f aca="false">IF($F$13&gt;0,MAX(-300,MIN(300,EX333-HL333)),0)</f>
        <v>0</v>
      </c>
      <c r="HZ333" s="60" t="n">
        <f aca="false">IF($G$13&gt;0,MAX(-300,MIN(300,EY333-HM333)),0)</f>
        <v>0</v>
      </c>
      <c r="IA333" s="60" t="n">
        <f aca="false">IF($H$13&gt;0,MAX(-300,MIN(300,EZ333-HN333)),0)</f>
        <v>0</v>
      </c>
      <c r="IB333" s="60" t="n">
        <f aca="false">IF($I$13&gt;0,MAX(-300,MIN(300,FA333-HO333)),0)</f>
        <v>0</v>
      </c>
      <c r="IC333" s="60" t="n">
        <f aca="false">IF($J$13&gt;0,MAX(-300,MIN(300,FB333-HP333)),0)</f>
        <v>0</v>
      </c>
      <c r="ID333" s="60" t="n">
        <f aca="false">IF($K$13&gt;0,MAX(-300,MIN(300,FC333-HQ333)),0)</f>
        <v>0</v>
      </c>
      <c r="IE333" s="60" t="n">
        <f aca="false">IF($L$13&gt;0,MAX(-300,MIN(300,FD333-HR333)),0)</f>
        <v>0</v>
      </c>
      <c r="IF333" s="60" t="n">
        <f aca="false">IF($M$13&gt;0,MAX(-300,MIN(300,FE333-HS333)),0)</f>
        <v>0</v>
      </c>
      <c r="IG333" s="60" t="n">
        <f aca="false">IF($N$13&gt;0,MAX(-300,MIN(300,FF333-HT333)),0)</f>
        <v>0</v>
      </c>
      <c r="IH333" s="60" t="n">
        <f aca="false">IF($O$13&gt;0,MAX(-300,MIN(300,FG333-HU333)),0)</f>
        <v>0</v>
      </c>
      <c r="II333" s="60" t="n">
        <f aca="false">IF($P$13&gt;0,MAX(-300,MIN(300,FH333-HV333)),0)</f>
        <v>0</v>
      </c>
      <c r="IJ333" s="60" t="n">
        <f aca="false">SUMXMY2(HX333:II333,B333:M333)</f>
        <v>0</v>
      </c>
      <c r="IK333" s="60" t="n">
        <f aca="false">SUMSQ(B333:M333)</f>
        <v>0</v>
      </c>
    </row>
    <row r="334" customFormat="false" ht="15" hidden="false" customHeight="false" outlineLevel="0" collapsed="false">
      <c r="A334" s="59" t="n">
        <v>37</v>
      </c>
      <c r="B334" s="60" t="n">
        <f aca="false">HX333</f>
        <v>0</v>
      </c>
      <c r="C334" s="60" t="n">
        <f aca="false">HY333</f>
        <v>0</v>
      </c>
      <c r="D334" s="60" t="n">
        <f aca="false">HZ333</f>
        <v>0</v>
      </c>
      <c r="E334" s="60" t="n">
        <f aca="false">IA333</f>
        <v>0</v>
      </c>
      <c r="F334" s="60" t="n">
        <f aca="false">IB333</f>
        <v>0</v>
      </c>
      <c r="G334" s="60" t="n">
        <f aca="false">IC333</f>
        <v>0</v>
      </c>
      <c r="H334" s="60" t="n">
        <f aca="false">ID333</f>
        <v>0</v>
      </c>
      <c r="I334" s="60" t="n">
        <f aca="false">IE333</f>
        <v>0</v>
      </c>
      <c r="J334" s="60" t="n">
        <f aca="false">IF333</f>
        <v>0</v>
      </c>
      <c r="K334" s="60" t="n">
        <f aca="false">IG333</f>
        <v>0</v>
      </c>
      <c r="L334" s="60" t="n">
        <f aca="false">IH333</f>
        <v>0</v>
      </c>
      <c r="M334" s="60" t="n">
        <f aca="false">II333</f>
        <v>0</v>
      </c>
      <c r="N334" s="60" t="n">
        <f aca="false">EXP(B334)</f>
        <v>1</v>
      </c>
      <c r="O334" s="60" t="n">
        <f aca="false">EXP(C334)</f>
        <v>1</v>
      </c>
      <c r="P334" s="60" t="n">
        <f aca="false">EXP(D334)</f>
        <v>1</v>
      </c>
      <c r="Q334" s="60" t="n">
        <f aca="false">EXP(E334)</f>
        <v>1</v>
      </c>
      <c r="R334" s="60" t="n">
        <f aca="false">EXP(F334)</f>
        <v>1</v>
      </c>
      <c r="S334" s="60" t="n">
        <f aca="false">EXP(G334)</f>
        <v>1</v>
      </c>
      <c r="T334" s="60" t="n">
        <f aca="false">EXP(H334)</f>
        <v>1</v>
      </c>
      <c r="U334" s="60" t="n">
        <f aca="false">EXP(I334)</f>
        <v>1</v>
      </c>
      <c r="V334" s="60" t="n">
        <f aca="false">EXP(J334)</f>
        <v>1</v>
      </c>
      <c r="W334" s="60" t="n">
        <f aca="false">EXP(K334)</f>
        <v>1</v>
      </c>
      <c r="X334" s="60" t="n">
        <f aca="false">EXP(L334)</f>
        <v>1</v>
      </c>
      <c r="Y334" s="60" t="n">
        <f aca="false">EXP(M334)</f>
        <v>1</v>
      </c>
      <c r="Z334" s="60" t="n">
        <f aca="false">MAX(N334:Y334)</f>
        <v>1</v>
      </c>
      <c r="AA334" s="60" t="n">
        <f aca="false">MIN(N334:Y334)</f>
        <v>1</v>
      </c>
      <c r="AB334" s="60" t="n">
        <f aca="false">AND(Z334&gt;1,AA334&lt;1)</f>
        <v>0</v>
      </c>
      <c r="AC334" s="60" t="n">
        <f aca="false">IF(AB334,1/(1-Z334),0)</f>
        <v>0</v>
      </c>
      <c r="AD334" s="60" t="n">
        <f aca="false">IF(AB334,1/(1-AA334),1)</f>
        <v>1</v>
      </c>
      <c r="AE334" s="60" t="n">
        <f aca="false">IF(AB334,MIN(MAX(BI333,AC334+0.000000001*(AD334-AC334)),AD334-0.000000001*(AD334-AC334)),IF(AA334&gt;=1,1,0))</f>
        <v>1</v>
      </c>
      <c r="AF334" s="60" t="n">
        <f aca="false">SUMPRODUCT($E$13:$P$13*(N334:Y334-1)/(1+AE334*(N334:Y334-1)))</f>
        <v>0</v>
      </c>
      <c r="AG334" s="60" t="n">
        <f aca="false">-SUMPRODUCT($E$13:$P$13*(N334:Y334-1)^2/(1+AE334*(N334:Y334-1))^2)</f>
        <v>-0</v>
      </c>
      <c r="AH334" s="60" t="n">
        <f aca="false">IF(OR(NOT(AB334),AG334=0),AE334,IF(AE334-AF334/AG334&lt;=AC334,(AE334+AC334)/2,IF(AE334-AF334/AG334&gt;=AD334,(AE334+AD334)/2,AE334-AF334/AG334)))</f>
        <v>1</v>
      </c>
      <c r="AI334" s="60" t="n">
        <f aca="false">SUMPRODUCT($E$13:$P$13*(N334:Y334-1)/(1+AH334*(N334:Y334-1)))</f>
        <v>0</v>
      </c>
      <c r="AJ334" s="60" t="n">
        <f aca="false">-SUMPRODUCT($E$13:$P$13*(N334:Y334-1)^2/(1+AH334*(N334:Y334-1))^2)</f>
        <v>-0</v>
      </c>
      <c r="AK334" s="60" t="n">
        <f aca="false">IF(OR(NOT(AB334),AJ334=0),AH334,IF(AH334-AI334/AJ334&lt;=AC334,(AH334+AC334)/2,IF(AH334-AI334/AJ334&gt;=AD334,(AH334+AD334)/2,AH334-AI334/AJ334)))</f>
        <v>1</v>
      </c>
      <c r="AL334" s="60" t="n">
        <f aca="false">SUMPRODUCT($E$13:$P$13*(N334:Y334-1)/(1+AK334*(N334:Y334-1)))</f>
        <v>0</v>
      </c>
      <c r="AM334" s="60" t="n">
        <f aca="false">-SUMPRODUCT($E$13:$P$13*(N334:Y334-1)^2/(1+AK334*(N334:Y334-1))^2)</f>
        <v>-0</v>
      </c>
      <c r="AN334" s="60" t="n">
        <f aca="false">IF(OR(NOT(AB334),AM334=0),AK334,IF(AK334-AL334/AM334&lt;=AC334,(AK334+AC334)/2,IF(AK334-AL334/AM334&gt;=AD334,(AK334+AD334)/2,AK334-AL334/AM334)))</f>
        <v>1</v>
      </c>
      <c r="AO334" s="60" t="n">
        <f aca="false">SUMPRODUCT($E$13:$P$13*(N334:Y334-1)/(1+AN334*(N334:Y334-1)))</f>
        <v>0</v>
      </c>
      <c r="AP334" s="60" t="n">
        <f aca="false">-SUMPRODUCT($E$13:$P$13*(N334:Y334-1)^2/(1+AN334*(N334:Y334-1))^2)</f>
        <v>-0</v>
      </c>
      <c r="AQ334" s="60" t="n">
        <f aca="false">IF(OR(NOT(AB334),AP334=0),AN334,IF(AN334-AO334/AP334&lt;=AC334,(AN334+AC334)/2,IF(AN334-AO334/AP334&gt;=AD334,(AN334+AD334)/2,AN334-AO334/AP334)))</f>
        <v>1</v>
      </c>
      <c r="AR334" s="60" t="n">
        <f aca="false">SUMPRODUCT($E$13:$P$13*(N334:Y334-1)/(1+AQ334*(N334:Y334-1)))</f>
        <v>0</v>
      </c>
      <c r="AS334" s="60" t="n">
        <f aca="false">-SUMPRODUCT($E$13:$P$13*(N334:Y334-1)^2/(1+AQ334*(N334:Y334-1))^2)</f>
        <v>-0</v>
      </c>
      <c r="AT334" s="60" t="n">
        <f aca="false">IF(OR(NOT(AB334),AS334=0),AQ334,IF(AQ334-AR334/AS334&lt;=AC334,(AQ334+AC334)/2,IF(AQ334-AR334/AS334&gt;=AD334,(AQ334+AD334)/2,AQ334-AR334/AS334)))</f>
        <v>1</v>
      </c>
      <c r="AU334" s="60" t="n">
        <f aca="false">SUMPRODUCT($E$13:$P$13*(N334:Y334-1)/(1+AT334*(N334:Y334-1)))</f>
        <v>0</v>
      </c>
      <c r="AV334" s="60" t="n">
        <f aca="false">-SUMPRODUCT($E$13:$P$13*(N334:Y334-1)^2/(1+AT334*(N334:Y334-1))^2)</f>
        <v>-0</v>
      </c>
      <c r="AW334" s="60" t="n">
        <f aca="false">IF(OR(NOT(AB334),AV334=0),AT334,IF(AT334-AU334/AV334&lt;=AC334,(AT334+AC334)/2,IF(AT334-AU334/AV334&gt;=AD334,(AT334+AD334)/2,AT334-AU334/AV334)))</f>
        <v>1</v>
      </c>
      <c r="AX334" s="60" t="n">
        <f aca="false">SUMPRODUCT($E$13:$P$13*(N334:Y334-1)/(1+AW334*(N334:Y334-1)))</f>
        <v>0</v>
      </c>
      <c r="AY334" s="60" t="n">
        <f aca="false">-SUMPRODUCT($E$13:$P$13*(N334:Y334-1)^2/(1+AW334*(N334:Y334-1))^2)</f>
        <v>-0</v>
      </c>
      <c r="AZ334" s="60" t="n">
        <f aca="false">IF(OR(NOT(AB334),AY334=0),AW334,IF(AW334-AX334/AY334&lt;=AC334,(AW334+AC334)/2,IF(AW334-AX334/AY334&gt;=AD334,(AW334+AD334)/2,AW334-AX334/AY334)))</f>
        <v>1</v>
      </c>
      <c r="BA334" s="60" t="n">
        <f aca="false">SUMPRODUCT($E$13:$P$13*(N334:Y334-1)/(1+AZ334*(N334:Y334-1)))</f>
        <v>0</v>
      </c>
      <c r="BB334" s="60" t="n">
        <f aca="false">-SUMPRODUCT($E$13:$P$13*(N334:Y334-1)^2/(1+AZ334*(N334:Y334-1))^2)</f>
        <v>-0</v>
      </c>
      <c r="BC334" s="60" t="n">
        <f aca="false">IF(OR(NOT(AB334),BB334=0),AZ334,IF(AZ334-BA334/BB334&lt;=AC334,(AZ334+AC334)/2,IF(AZ334-BA334/BB334&gt;=AD334,(AZ334+AD334)/2,AZ334-BA334/BB334)))</f>
        <v>1</v>
      </c>
      <c r="BD334" s="60" t="n">
        <f aca="false">SUMPRODUCT($E$13:$P$13*(N334:Y334-1)/(1+BC334*(N334:Y334-1)))</f>
        <v>0</v>
      </c>
      <c r="BE334" s="60" t="n">
        <f aca="false">-SUMPRODUCT($E$13:$P$13*(N334:Y334-1)^2/(1+BC334*(N334:Y334-1))^2)</f>
        <v>-0</v>
      </c>
      <c r="BF334" s="60" t="n">
        <f aca="false">IF(OR(NOT(AB334),BE334=0),BC334,IF(BC334-BD334/BE334&lt;=AC334,(BC334+AC334)/2,IF(BC334-BD334/BE334&gt;=AD334,(BC334+AD334)/2,BC334-BD334/BE334)))</f>
        <v>1</v>
      </c>
      <c r="BG334" s="60" t="n">
        <f aca="false">SUMPRODUCT($E$13:$P$13*(N334:Y334-1)/(1+BF334*(N334:Y334-1)))</f>
        <v>0</v>
      </c>
      <c r="BH334" s="60" t="n">
        <f aca="false">-SUMPRODUCT($E$13:$P$13*(N334:Y334-1)^2/(1+BF334*(N334:Y334-1))^2)</f>
        <v>-0</v>
      </c>
      <c r="BI334" s="60" t="n">
        <f aca="false">IF(OR(NOT(AB334),BH334=0),BF334,IF(BF334-BG334/BH334&lt;=AC334,(BF334+AC334)/2,IF(BF334-BG334/BH334&gt;=AD334,(BF334+AD334)/2,BF334-BG334/BH334)))</f>
        <v>1</v>
      </c>
      <c r="BJ334" s="60" t="n">
        <f aca="false">$E$13/(1+BI334*(N334-1))</f>
        <v>1</v>
      </c>
      <c r="BK334" s="60" t="n">
        <f aca="false">$F$13/(1+BI334*(O334-1))</f>
        <v>0</v>
      </c>
      <c r="BL334" s="60" t="n">
        <f aca="false">$G$13/(1+BI334*(P334-1))</f>
        <v>0</v>
      </c>
      <c r="BM334" s="60" t="n">
        <f aca="false">$H$13/(1+BI334*(Q334-1))</f>
        <v>0</v>
      </c>
      <c r="BN334" s="60" t="n">
        <f aca="false">$I$13/(1+BI334*(R334-1))</f>
        <v>0</v>
      </c>
      <c r="BO334" s="60" t="n">
        <f aca="false">$J$13/(1+BI334*(S334-1))</f>
        <v>0</v>
      </c>
      <c r="BP334" s="60" t="n">
        <f aca="false">$K$13/(1+BI334*(T334-1))</f>
        <v>0</v>
      </c>
      <c r="BQ334" s="60" t="n">
        <f aca="false">$L$13/(1+BI334*(U334-1))</f>
        <v>0</v>
      </c>
      <c r="BR334" s="60" t="n">
        <f aca="false">$M$13/(1+BI334*(V334-1))</f>
        <v>0</v>
      </c>
      <c r="BS334" s="60" t="n">
        <f aca="false">$N$13/(1+BI334*(W334-1))</f>
        <v>0</v>
      </c>
      <c r="BT334" s="60" t="n">
        <f aca="false">$O$13/(1+BI334*(X334-1))</f>
        <v>0</v>
      </c>
      <c r="BU334" s="60" t="n">
        <f aca="false">$P$13/(1+BI334*(Y334-1))</f>
        <v>0</v>
      </c>
      <c r="BV334" s="60" t="n">
        <f aca="false">SUM(BJ334:BU334)</f>
        <v>1</v>
      </c>
      <c r="BW334" s="60" t="n">
        <f aca="false">SUMPRODUCT(N334:Y334,BJ334:BU334)</f>
        <v>1</v>
      </c>
      <c r="BX334" s="60" t="n">
        <f aca="false">BJ334/BV334</f>
        <v>1</v>
      </c>
      <c r="BY334" s="60" t="n">
        <f aca="false">BK334/BV334</f>
        <v>0</v>
      </c>
      <c r="BZ334" s="60" t="n">
        <f aca="false">BL334/BV334</f>
        <v>0</v>
      </c>
      <c r="CA334" s="60" t="n">
        <f aca="false">BM334/BV334</f>
        <v>0</v>
      </c>
      <c r="CB334" s="60" t="n">
        <f aca="false">BN334/BV334</f>
        <v>0</v>
      </c>
      <c r="CC334" s="60" t="n">
        <f aca="false">BO334/BV334</f>
        <v>0</v>
      </c>
      <c r="CD334" s="60" t="n">
        <f aca="false">BP334/BV334</f>
        <v>0</v>
      </c>
      <c r="CE334" s="60" t="n">
        <f aca="false">BQ334/BV334</f>
        <v>0</v>
      </c>
      <c r="CF334" s="60" t="n">
        <f aca="false">BR334/BV334</f>
        <v>0</v>
      </c>
      <c r="CG334" s="60" t="n">
        <f aca="false">BS334/BV334</f>
        <v>0</v>
      </c>
      <c r="CH334" s="60" t="n">
        <f aca="false">BT334/BV334</f>
        <v>0</v>
      </c>
      <c r="CI334" s="60" t="n">
        <f aca="false">BU334/BV334</f>
        <v>0</v>
      </c>
      <c r="CJ334" s="60" t="n">
        <f aca="false">N334*BJ334/BW334</f>
        <v>1</v>
      </c>
      <c r="CK334" s="60" t="n">
        <f aca="false">O334*BK334/BW334</f>
        <v>0</v>
      </c>
      <c r="CL334" s="60" t="n">
        <f aca="false">P334*BL334/BW334</f>
        <v>0</v>
      </c>
      <c r="CM334" s="60" t="n">
        <f aca="false">Q334*BM334/BW334</f>
        <v>0</v>
      </c>
      <c r="CN334" s="60" t="n">
        <f aca="false">R334*BN334/BW334</f>
        <v>0</v>
      </c>
      <c r="CO334" s="60" t="n">
        <f aca="false">S334*BO334/BW334</f>
        <v>0</v>
      </c>
      <c r="CP334" s="60" t="n">
        <f aca="false">T334*BP334/BW334</f>
        <v>0</v>
      </c>
      <c r="CQ334" s="60" t="n">
        <f aca="false">U334*BQ334/BW334</f>
        <v>0</v>
      </c>
      <c r="CR334" s="60" t="n">
        <f aca="false">V334*BR334/BW334</f>
        <v>0</v>
      </c>
      <c r="CS334" s="60" t="n">
        <f aca="false">W334*BS334/BW334</f>
        <v>0</v>
      </c>
      <c r="CT334" s="60" t="n">
        <f aca="false">X334*BT334/BW334</f>
        <v>0</v>
      </c>
      <c r="CU334" s="60" t="n">
        <f aca="false">Y334*BU334/BW334</f>
        <v>0</v>
      </c>
      <c r="CV334" s="60" t="n">
        <f aca="false">$E$28*SUMPRODUCT($E$31:$P$31,BX334:CI334,$E$28:$P$28)</f>
        <v>0.184416866619846</v>
      </c>
      <c r="CW334" s="60" t="n">
        <f aca="false">$F$28*SUMPRODUCT($E$32:$P$32,BX334:CI334,$E$28:$P$28)</f>
        <v>0</v>
      </c>
      <c r="CX334" s="60" t="n">
        <f aca="false">$G$28*SUMPRODUCT($E$33:$P$33,BX334:CI334,$E$28:$P$28)</f>
        <v>0</v>
      </c>
      <c r="CY334" s="60" t="n">
        <f aca="false">$H$28*SUMPRODUCT($E$34:$P$34,BX334:CI334,$E$28:$P$28)</f>
        <v>0</v>
      </c>
      <c r="CZ334" s="60" t="n">
        <f aca="false">$I$28*SUMPRODUCT($E$35:$P$35,BX334:CI334,$E$28:$P$28)</f>
        <v>0</v>
      </c>
      <c r="DA334" s="60" t="n">
        <f aca="false">$J$28*SUMPRODUCT($E$36:$P$36,BX334:CI334,$E$28:$P$28)</f>
        <v>0</v>
      </c>
      <c r="DB334" s="60" t="n">
        <f aca="false">$K$28*SUMPRODUCT($E$37:$P$37,BX334:CI334,$E$28:$P$28)</f>
        <v>0</v>
      </c>
      <c r="DC334" s="60" t="n">
        <f aca="false">$L$28*SUMPRODUCT($E$38:$P$38,BX334:CI334,$E$28:$P$28)</f>
        <v>0</v>
      </c>
      <c r="DD334" s="60" t="n">
        <f aca="false">$M$28*SUMPRODUCT($E$39:$P$39,BX334:CI334,$E$28:$P$28)</f>
        <v>0</v>
      </c>
      <c r="DE334" s="60" t="n">
        <f aca="false">$N$28*SUMPRODUCT($E$40:$P$40,BX334:CI334,$E$28:$P$28)</f>
        <v>0</v>
      </c>
      <c r="DF334" s="60" t="n">
        <f aca="false">$O$28*SUMPRODUCT($E$41:$P$41,BX334:CI334,$E$28:$P$28)</f>
        <v>0</v>
      </c>
      <c r="DG334" s="60" t="n">
        <f aca="false">$P$28*SUMPRODUCT($E$42:$P$42,BX334:CI334,$E$28:$P$28)</f>
        <v>0</v>
      </c>
      <c r="DH334" s="60" t="n">
        <f aca="false">SUMPRODUCT(BX334:CI334,CV334:DG334)</f>
        <v>0.184416866619846</v>
      </c>
      <c r="DI334" s="60" t="n">
        <f aca="false">SUMPRODUCT(BX334:CI334,$E$27:$P$27)</f>
        <v>2.67389635063809E-005</v>
      </c>
      <c r="DJ334" s="60" t="n">
        <f aca="false">DH334*$C$9/($C$10*$C$8)^2</f>
        <v>0.21776909410545</v>
      </c>
      <c r="DK334" s="60" t="n">
        <f aca="false">DI334*$C$9/($C$10*$C$8)</f>
        <v>0.0918845243259994</v>
      </c>
      <c r="DL334" s="60" t="n">
        <f aca="false">CHOOSE($C$7,-(1+DK334),-1,-(1-DK334))</f>
        <v>-0.908115475674001</v>
      </c>
      <c r="DM334" s="60" t="n">
        <f aca="false">CHOOSE($C$7,DJ334,DJ334-DK334-DK334^2,DJ334-3*DK334^2-2*DK334)</f>
        <v>0.00867174802160559</v>
      </c>
      <c r="DN334" s="60" t="n">
        <f aca="false">CHOOSE($C$7,-DJ334*DK334,-DJ334*DK334,-(DJ334*DK334-DK334^2-DK334^3))</f>
        <v>-0.0107910842936637</v>
      </c>
      <c r="DO334" s="60" t="n">
        <f aca="false">DM334-DL334^2/3</f>
        <v>-0.266219491031267</v>
      </c>
      <c r="DP334" s="60" t="n">
        <f aca="false">2*DL334^3/27-DL334*DM334/3+DN334</f>
        <v>-0.0636400988362784</v>
      </c>
      <c r="DQ334" s="60" t="n">
        <f aca="false">DP334^2/4+DO334^3/27</f>
        <v>0.000313710901361829</v>
      </c>
      <c r="DR334" s="60" t="n">
        <f aca="false">-DP334/2-IF(DP334&gt;=0,1,-1)*SQRT(MAX(DQ334,0))</f>
        <v>0.0495319352963236</v>
      </c>
      <c r="DS334" s="60" t="n">
        <f aca="false">SIGN(DR334)*ABS(DR334)^(1/3)</f>
        <v>0.367249967174439</v>
      </c>
      <c r="DT334" s="60" t="n">
        <f aca="false">IF(DS334=0,0,DS334-DO334/(3*DS334))</f>
        <v>0.60888329127384</v>
      </c>
      <c r="DU334" s="60" t="n">
        <f aca="false">2*SQRT(MAX(-DO334,0)/3)</f>
        <v>0.595784626668918</v>
      </c>
      <c r="DV334" s="60" t="n">
        <f aca="false">ACOS(IF(DU334=0,0,MAX(-1,MIN(1,3*DP334/(DO334*DU334)))))</f>
        <v>0</v>
      </c>
      <c r="DW334" s="60" t="n">
        <f aca="false">DU334*COS(DV334/3)</f>
        <v>0.595784626668918</v>
      </c>
      <c r="DX334" s="60" t="n">
        <f aca="false">IF(DQ334&lt;0,DW334,DT334)-DL334/3</f>
        <v>0.91158844983184</v>
      </c>
      <c r="DY334" s="60" t="n">
        <f aca="false">IFERROR((((DX334+DL334)*DX334+DM334)*DX334+DN334)/((3*DX334+2*DL334)*DX334+DM334),0)</f>
        <v>0</v>
      </c>
      <c r="DZ334" s="60" t="n">
        <f aca="false">IF(ABS(DY334)&lt;0.1*ABS(DX334),DX334-DY334,DX334)</f>
        <v>0.91158844983184</v>
      </c>
      <c r="EA334" s="60" t="n">
        <f aca="false">IFERROR((((DZ334+DL334)*DZ334+DM334)*DZ334+DN334)/((3*DZ334+2*DL334)*DZ334+DM334),0)</f>
        <v>0</v>
      </c>
      <c r="EB334" s="60" t="n">
        <f aca="false">IF(ABS(EA334)&lt;0.1*ABS(DZ334),DZ334-EA334,DZ334)</f>
        <v>0.91158844983184</v>
      </c>
      <c r="EC334" s="60" t="n">
        <f aca="false">-DN334/EB334</f>
        <v>0.0118376711504565</v>
      </c>
      <c r="ED334" s="60" t="n">
        <f aca="false">(DM334-EC334)/EB334</f>
        <v>-0.00347297415783941</v>
      </c>
      <c r="EE334" s="60" t="n">
        <f aca="false">ED334^2-4*EC334</f>
        <v>-0.0473386230523248</v>
      </c>
      <c r="EF334" s="60" t="n">
        <f aca="false">IF(EE334&gt;=0,(ED334+IF(ED334&gt;=0,1,-1)*SQRT(EE334))/2,0)</f>
        <v>0</v>
      </c>
      <c r="EG334" s="60" t="n">
        <f aca="false">IF(AND(EE334&gt;=0,EF334&lt;&gt;0),MIN(EF334,EC334/EF334),-1)</f>
        <v>-1</v>
      </c>
      <c r="EH334" s="60" t="n">
        <f aca="false">AND(EE334&gt;=0,EG334&gt;DK334,ABS(EB334-EG334)&gt;=0.00005*MAX(EB334,EG334))</f>
        <v>0</v>
      </c>
      <c r="EI334" s="60" t="n">
        <f aca="false">IF(EH334,IFERROR((((EG334+DL334)*EG334+DM334)*EG334+DN334)/((3*EG334+2*DL334)*EG334+DM334),0),0)</f>
        <v>0</v>
      </c>
      <c r="EJ334" s="60" t="n">
        <f aca="false">IF(ABS(EI334)&lt;0.1*ABS(EG334),EG334-EI334,EG334)</f>
        <v>-1</v>
      </c>
      <c r="EK334" s="60" t="n">
        <f aca="false">IF(EH334,IFERROR((((EJ334+DL334)*EJ334+DM334)*EJ334+DN334)/((3*EJ334+2*DL334)*EJ334+DM334),0),0)</f>
        <v>0</v>
      </c>
      <c r="EL334" s="60" t="n">
        <f aca="false">IF(ABS(EK334)&lt;0.1*ABS(EJ334),EJ334-EK334,EJ334)</f>
        <v>-1</v>
      </c>
      <c r="EM334" s="60" t="n">
        <f aca="false">IF(EH334,MAX(EB334,EL334),EB334)</f>
        <v>0.91158844983184</v>
      </c>
      <c r="EN334" s="60" t="n">
        <f aca="false">IF(EH334,MIN(EB334,EL334),-1)</f>
        <v>-1</v>
      </c>
      <c r="EO334" s="60" t="n">
        <f aca="false">CHOOSE($C$7,DJ334/EM334,DJ334/DK334*LN(1+DK334/EM334),DJ334/(2*SQRT(2)*DK334)*LN((EM334+(1+SQRT(2))*DK334)/(EM334+(1-SQRT(2))*DK334)))</f>
        <v>0.218240791233887</v>
      </c>
      <c r="EP334" s="60" t="n">
        <f aca="false">EM334-1-LN(EM334-DK334)-EO334</f>
        <v>-0.107840271021729</v>
      </c>
      <c r="EQ334" s="60" t="n">
        <f aca="false">IF(EH334,CHOOSE($C$7,DJ334/EN334,DJ334/DK334*LN(1+DK334/EN334),DJ334/(2*SQRT(2)*DK334)*LN((EN334+(1+SQRT(2))*DK334)/(EN334+(1-SQRT(2))*DK334))),0)</f>
        <v>0</v>
      </c>
      <c r="ER334" s="60" t="n">
        <f aca="false">IF(EH334,EN334-1-LN(EN334-DK334)-EQ334,0)</f>
        <v>0</v>
      </c>
      <c r="ES334" s="60" t="n">
        <f aca="false">AND(EH334,ER334&lt;EP334)</f>
        <v>0</v>
      </c>
      <c r="ET334" s="60" t="n">
        <f aca="false">IF(ES334,EN334,EM334)</f>
        <v>0.91158844983184</v>
      </c>
      <c r="EU334" s="60" t="n">
        <f aca="false">IF(ES334,EQ334,EO334)</f>
        <v>0.218240791233887</v>
      </c>
      <c r="EV334" s="60" t="n">
        <f aca="false">LN(ET334-DK334)</f>
        <v>-0.198812070380318</v>
      </c>
      <c r="EW334" s="60" t="n">
        <f aca="false">$E$27/DI334*(ET334-1)-EV334-EU334*(2*CV334/DH334-$E$27/DI334)</f>
        <v>-0.107840271021729</v>
      </c>
      <c r="EX334" s="60" t="n">
        <f aca="false">$F$27/DI334*(ET334-1)-EV334-EU334*(2*CW334/DH334-$F$27/DI334)</f>
        <v>0.198812070380318</v>
      </c>
      <c r="EY334" s="60" t="n">
        <f aca="false">$G$27/DI334*(ET334-1)-EV334-EU334*(2*CX334/DH334-$G$27/DI334)</f>
        <v>0.198812070380318</v>
      </c>
      <c r="EZ334" s="60" t="n">
        <f aca="false">$H$27/DI334*(ET334-1)-EV334-EU334*(2*CY334/DH334-$H$27/DI334)</f>
        <v>0.198812070380318</v>
      </c>
      <c r="FA334" s="60" t="n">
        <f aca="false">$I$27/DI334*(ET334-1)-EV334-EU334*(2*CZ334/DH334-$I$27/DI334)</f>
        <v>0.198812070380318</v>
      </c>
      <c r="FB334" s="60" t="n">
        <f aca="false">$J$27/DI334*(ET334-1)-EV334-EU334*(2*DA334/DH334-$J$27/DI334)</f>
        <v>0.198812070380318</v>
      </c>
      <c r="FC334" s="60" t="n">
        <f aca="false">$K$27/DI334*(ET334-1)-EV334-EU334*(2*DB334/DH334-$K$27/DI334)</f>
        <v>0.198812070380318</v>
      </c>
      <c r="FD334" s="60" t="n">
        <f aca="false">$L$27/DI334*(ET334-1)-EV334-EU334*(2*DC334/DH334-$L$27/DI334)</f>
        <v>0.198812070380318</v>
      </c>
      <c r="FE334" s="60" t="n">
        <f aca="false">$M$27/DI334*(ET334-1)-EV334-EU334*(2*DD334/DH334-$M$27/DI334)</f>
        <v>0.198812070380318</v>
      </c>
      <c r="FF334" s="60" t="n">
        <f aca="false">$N$27/DI334*(ET334-1)-EV334-EU334*(2*DE334/DH334-$N$27/DI334)</f>
        <v>0.198812070380318</v>
      </c>
      <c r="FG334" s="60" t="n">
        <f aca="false">$O$27/DI334*(ET334-1)-EV334-EU334*(2*DF334/DH334-$O$27/DI334)</f>
        <v>0.198812070380318</v>
      </c>
      <c r="FH334" s="60" t="n">
        <f aca="false">$P$27/DI334*(ET334-1)-EV334-EU334*(2*DG334/DH334-$P$27/DI334)</f>
        <v>0.198812070380318</v>
      </c>
      <c r="FI334" s="60" t="n">
        <f aca="false">DK334/ET334&gt;$C$22</f>
        <v>0</v>
      </c>
      <c r="FJ334" s="60" t="n">
        <f aca="false">$E$28*SUMPRODUCT($E$31:$P$31,CJ334:CU334,$E$28:$P$28)</f>
        <v>0.184416866619846</v>
      </c>
      <c r="FK334" s="60" t="n">
        <f aca="false">$F$28*SUMPRODUCT($E$32:$P$32,CJ334:CU334,$E$28:$P$28)</f>
        <v>0</v>
      </c>
      <c r="FL334" s="60" t="n">
        <f aca="false">$G$28*SUMPRODUCT($E$33:$P$33,CJ334:CU334,$E$28:$P$28)</f>
        <v>0</v>
      </c>
      <c r="FM334" s="60" t="n">
        <f aca="false">$H$28*SUMPRODUCT($E$34:$P$34,CJ334:CU334,$E$28:$P$28)</f>
        <v>0</v>
      </c>
      <c r="FN334" s="60" t="n">
        <f aca="false">$I$28*SUMPRODUCT($E$35:$P$35,CJ334:CU334,$E$28:$P$28)</f>
        <v>0</v>
      </c>
      <c r="FO334" s="60" t="n">
        <f aca="false">$J$28*SUMPRODUCT($E$36:$P$36,CJ334:CU334,$E$28:$P$28)</f>
        <v>0</v>
      </c>
      <c r="FP334" s="60" t="n">
        <f aca="false">$K$28*SUMPRODUCT($E$37:$P$37,CJ334:CU334,$E$28:$P$28)</f>
        <v>0</v>
      </c>
      <c r="FQ334" s="60" t="n">
        <f aca="false">$L$28*SUMPRODUCT($E$38:$P$38,CJ334:CU334,$E$28:$P$28)</f>
        <v>0</v>
      </c>
      <c r="FR334" s="60" t="n">
        <f aca="false">$M$28*SUMPRODUCT($E$39:$P$39,CJ334:CU334,$E$28:$P$28)</f>
        <v>0</v>
      </c>
      <c r="FS334" s="60" t="n">
        <f aca="false">$N$28*SUMPRODUCT($E$40:$P$40,CJ334:CU334,$E$28:$P$28)</f>
        <v>0</v>
      </c>
      <c r="FT334" s="60" t="n">
        <f aca="false">$O$28*SUMPRODUCT($E$41:$P$41,CJ334:CU334,$E$28:$P$28)</f>
        <v>0</v>
      </c>
      <c r="FU334" s="60" t="n">
        <f aca="false">$P$28*SUMPRODUCT($E$42:$P$42,CJ334:CU334,$E$28:$P$28)</f>
        <v>0</v>
      </c>
      <c r="FV334" s="60" t="n">
        <f aca="false">SUMPRODUCT(CJ334:CU334,FJ334:FU334)</f>
        <v>0.184416866619846</v>
      </c>
      <c r="FW334" s="60" t="n">
        <f aca="false">SUMPRODUCT(CJ334:CU334,$E$27:$P$27)</f>
        <v>2.67389635063809E-005</v>
      </c>
      <c r="FX334" s="60" t="n">
        <f aca="false">FV334*$C$9/($C$10*$C$8)^2</f>
        <v>0.21776909410545</v>
      </c>
      <c r="FY334" s="60" t="n">
        <f aca="false">FW334*$C$9/($C$10*$C$8)</f>
        <v>0.0918845243259994</v>
      </c>
      <c r="FZ334" s="60" t="n">
        <f aca="false">CHOOSE($C$7,-(1+FY334),-1,-(1-FY334))</f>
        <v>-0.908115475674001</v>
      </c>
      <c r="GA334" s="60" t="n">
        <f aca="false">CHOOSE($C$7,FX334,FX334-FY334-FY334^2,FX334-3*FY334^2-2*FY334)</f>
        <v>0.00867174802160559</v>
      </c>
      <c r="GB334" s="60" t="n">
        <f aca="false">CHOOSE($C$7,-FX334*FY334,-FX334*FY334,-(FX334*FY334-FY334^2-FY334^3))</f>
        <v>-0.0107910842936637</v>
      </c>
      <c r="GC334" s="60" t="n">
        <f aca="false">GA334-FZ334^2/3</f>
        <v>-0.266219491031267</v>
      </c>
      <c r="GD334" s="60" t="n">
        <f aca="false">2*FZ334^3/27-FZ334*GA334/3+GB334</f>
        <v>-0.0636400988362784</v>
      </c>
      <c r="GE334" s="60" t="n">
        <f aca="false">GD334^2/4+GC334^3/27</f>
        <v>0.000313710901361829</v>
      </c>
      <c r="GF334" s="60" t="n">
        <f aca="false">-GD334/2-IF(GD334&gt;=0,1,-1)*SQRT(MAX(GE334,0))</f>
        <v>0.0495319352963236</v>
      </c>
      <c r="GG334" s="60" t="n">
        <f aca="false">SIGN(GF334)*ABS(GF334)^(1/3)</f>
        <v>0.367249967174439</v>
      </c>
      <c r="GH334" s="60" t="n">
        <f aca="false">IF(GG334=0,0,GG334-GC334/(3*GG334))</f>
        <v>0.60888329127384</v>
      </c>
      <c r="GI334" s="60" t="n">
        <f aca="false">2*SQRT(MAX(-GC334,0)/3)</f>
        <v>0.595784626668918</v>
      </c>
      <c r="GJ334" s="60" t="n">
        <f aca="false">ACOS(IF(GI334=0,0,MAX(-1,MIN(1,3*GD334/(GC334*GI334)))))</f>
        <v>0</v>
      </c>
      <c r="GK334" s="60" t="n">
        <f aca="false">GI334*COS(GJ334/3)</f>
        <v>0.595784626668918</v>
      </c>
      <c r="GL334" s="60" t="n">
        <f aca="false">IF(GE334&lt;0,GK334,GH334)-FZ334/3</f>
        <v>0.91158844983184</v>
      </c>
      <c r="GM334" s="60" t="n">
        <f aca="false">IFERROR((((GL334+FZ334)*GL334+GA334)*GL334+GB334)/((3*GL334+2*FZ334)*GL334+GA334),0)</f>
        <v>0</v>
      </c>
      <c r="GN334" s="60" t="n">
        <f aca="false">IF(ABS(GM334)&lt;0.1*ABS(GL334),GL334-GM334,GL334)</f>
        <v>0.91158844983184</v>
      </c>
      <c r="GO334" s="60" t="n">
        <f aca="false">IFERROR((((GN334+FZ334)*GN334+GA334)*GN334+GB334)/((3*GN334+2*FZ334)*GN334+GA334),0)</f>
        <v>0</v>
      </c>
      <c r="GP334" s="60" t="n">
        <f aca="false">IF(ABS(GO334)&lt;0.1*ABS(GN334),GN334-GO334,GN334)</f>
        <v>0.91158844983184</v>
      </c>
      <c r="GQ334" s="60" t="n">
        <f aca="false">-GB334/GP334</f>
        <v>0.0118376711504565</v>
      </c>
      <c r="GR334" s="60" t="n">
        <f aca="false">(GA334-GQ334)/GP334</f>
        <v>-0.00347297415783941</v>
      </c>
      <c r="GS334" s="60" t="n">
        <f aca="false">GR334^2-4*GQ334</f>
        <v>-0.0473386230523248</v>
      </c>
      <c r="GT334" s="60" t="n">
        <f aca="false">IF(GS334&gt;=0,(GR334+IF(GR334&gt;=0,1,-1)*SQRT(GS334))/2,0)</f>
        <v>0</v>
      </c>
      <c r="GU334" s="60" t="n">
        <f aca="false">IF(AND(GS334&gt;=0,GT334&lt;&gt;0),MIN(GT334,GQ334/GT334),-1)</f>
        <v>-1</v>
      </c>
      <c r="GV334" s="60" t="n">
        <f aca="false">AND(GS334&gt;=0,GU334&gt;FY334,ABS(GP334-GU334)&gt;=0.00005*MAX(GP334,GU334))</f>
        <v>0</v>
      </c>
      <c r="GW334" s="60" t="n">
        <f aca="false">IF(GV334,IFERROR((((GU334+FZ334)*GU334+GA334)*GU334+GB334)/((3*GU334+2*FZ334)*GU334+GA334),0),0)</f>
        <v>0</v>
      </c>
      <c r="GX334" s="60" t="n">
        <f aca="false">IF(ABS(GW334)&lt;0.1*ABS(GU334),GU334-GW334,GU334)</f>
        <v>-1</v>
      </c>
      <c r="GY334" s="60" t="n">
        <f aca="false">IF(GV334,IFERROR((((GX334+FZ334)*GX334+GA334)*GX334+GB334)/((3*GX334+2*FZ334)*GX334+GA334),0),0)</f>
        <v>0</v>
      </c>
      <c r="GZ334" s="60" t="n">
        <f aca="false">IF(ABS(GY334)&lt;0.1*ABS(GX334),GX334-GY334,GX334)</f>
        <v>-1</v>
      </c>
      <c r="HA334" s="60" t="n">
        <f aca="false">IF(GV334,MAX(GP334,GZ334),GP334)</f>
        <v>0.91158844983184</v>
      </c>
      <c r="HB334" s="60" t="n">
        <f aca="false">IF(GV334,MIN(GP334,GZ334),-1)</f>
        <v>-1</v>
      </c>
      <c r="HC334" s="60" t="n">
        <f aca="false">CHOOSE($C$7,FX334/HA334,FX334/FY334*LN(1+FY334/HA334),FX334/(2*SQRT(2)*FY334)*LN((HA334+(1+SQRT(2))*FY334)/(HA334+(1-SQRT(2))*FY334)))</f>
        <v>0.218240791233887</v>
      </c>
      <c r="HD334" s="60" t="n">
        <f aca="false">HA334-1-LN(HA334-FY334)-HC334</f>
        <v>-0.107840271021729</v>
      </c>
      <c r="HE334" s="60" t="n">
        <f aca="false">IF(GV334,CHOOSE($C$7,FX334/HB334,FX334/FY334*LN(1+FY334/HB334),FX334/(2*SQRT(2)*FY334)*LN((HB334+(1+SQRT(2))*FY334)/(HB334+(1-SQRT(2))*FY334))),0)</f>
        <v>0</v>
      </c>
      <c r="HF334" s="60" t="n">
        <f aca="false">IF(GV334,HB334-1-LN(HB334-FY334)-HE334,0)</f>
        <v>0</v>
      </c>
      <c r="HG334" s="60" t="n">
        <f aca="false">AND(GV334,HF334&lt;HD334)</f>
        <v>0</v>
      </c>
      <c r="HH334" s="60" t="n">
        <f aca="false">IF(HG334,HB334,HA334)</f>
        <v>0.91158844983184</v>
      </c>
      <c r="HI334" s="60" t="n">
        <f aca="false">IF(HG334,HE334,HC334)</f>
        <v>0.218240791233887</v>
      </c>
      <c r="HJ334" s="60" t="n">
        <f aca="false">LN(HH334-FY334)</f>
        <v>-0.198812070380318</v>
      </c>
      <c r="HK334" s="60" t="n">
        <f aca="false">$E$27/FW334*(HH334-1)-HJ334-HI334*(2*FJ334/FV334-$E$27/FW334)</f>
        <v>-0.107840271021729</v>
      </c>
      <c r="HL334" s="60" t="n">
        <f aca="false">$F$27/FW334*(HH334-1)-HJ334-HI334*(2*FK334/FV334-$F$27/FW334)</f>
        <v>0.198812070380318</v>
      </c>
      <c r="HM334" s="60" t="n">
        <f aca="false">$G$27/FW334*(HH334-1)-HJ334-HI334*(2*FL334/FV334-$G$27/FW334)</f>
        <v>0.198812070380318</v>
      </c>
      <c r="HN334" s="60" t="n">
        <f aca="false">$H$27/FW334*(HH334-1)-HJ334-HI334*(2*FM334/FV334-$H$27/FW334)</f>
        <v>0.198812070380318</v>
      </c>
      <c r="HO334" s="60" t="n">
        <f aca="false">$I$27/FW334*(HH334-1)-HJ334-HI334*(2*FN334/FV334-$I$27/FW334)</f>
        <v>0.198812070380318</v>
      </c>
      <c r="HP334" s="60" t="n">
        <f aca="false">$J$27/FW334*(HH334-1)-HJ334-HI334*(2*FO334/FV334-$J$27/FW334)</f>
        <v>0.198812070380318</v>
      </c>
      <c r="HQ334" s="60" t="n">
        <f aca="false">$K$27/FW334*(HH334-1)-HJ334-HI334*(2*FP334/FV334-$K$27/FW334)</f>
        <v>0.198812070380318</v>
      </c>
      <c r="HR334" s="60" t="n">
        <f aca="false">$L$27/FW334*(HH334-1)-HJ334-HI334*(2*FQ334/FV334-$L$27/FW334)</f>
        <v>0.198812070380318</v>
      </c>
      <c r="HS334" s="60" t="n">
        <f aca="false">$M$27/FW334*(HH334-1)-HJ334-HI334*(2*FR334/FV334-$M$27/FW334)</f>
        <v>0.198812070380318</v>
      </c>
      <c r="HT334" s="60" t="n">
        <f aca="false">$N$27/FW334*(HH334-1)-HJ334-HI334*(2*FS334/FV334-$N$27/FW334)</f>
        <v>0.198812070380318</v>
      </c>
      <c r="HU334" s="60" t="n">
        <f aca="false">$O$27/FW334*(HH334-1)-HJ334-HI334*(2*FT334/FV334-$O$27/FW334)</f>
        <v>0.198812070380318</v>
      </c>
      <c r="HV334" s="60" t="n">
        <f aca="false">$P$27/FW334*(HH334-1)-HJ334-HI334*(2*FU334/FV334-$P$27/FW334)</f>
        <v>0.198812070380318</v>
      </c>
      <c r="HW334" s="60" t="n">
        <f aca="false">FY334/HH334&gt;$C$22</f>
        <v>0</v>
      </c>
      <c r="HX334" s="60" t="n">
        <f aca="false">IF($E$13&gt;0,MAX(-300,MIN(300,EW334-HK334)),0)</f>
        <v>0</v>
      </c>
      <c r="HY334" s="60" t="n">
        <f aca="false">IF($F$13&gt;0,MAX(-300,MIN(300,EX334-HL334)),0)</f>
        <v>0</v>
      </c>
      <c r="HZ334" s="60" t="n">
        <f aca="false">IF($G$13&gt;0,MAX(-300,MIN(300,EY334-HM334)),0)</f>
        <v>0</v>
      </c>
      <c r="IA334" s="60" t="n">
        <f aca="false">IF($H$13&gt;0,MAX(-300,MIN(300,EZ334-HN334)),0)</f>
        <v>0</v>
      </c>
      <c r="IB334" s="60" t="n">
        <f aca="false">IF($I$13&gt;0,MAX(-300,MIN(300,FA334-HO334)),0)</f>
        <v>0</v>
      </c>
      <c r="IC334" s="60" t="n">
        <f aca="false">IF($J$13&gt;0,MAX(-300,MIN(300,FB334-HP334)),0)</f>
        <v>0</v>
      </c>
      <c r="ID334" s="60" t="n">
        <f aca="false">IF($K$13&gt;0,MAX(-300,MIN(300,FC334-HQ334)),0)</f>
        <v>0</v>
      </c>
      <c r="IE334" s="60" t="n">
        <f aca="false">IF($L$13&gt;0,MAX(-300,MIN(300,FD334-HR334)),0)</f>
        <v>0</v>
      </c>
      <c r="IF334" s="60" t="n">
        <f aca="false">IF($M$13&gt;0,MAX(-300,MIN(300,FE334-HS334)),0)</f>
        <v>0</v>
      </c>
      <c r="IG334" s="60" t="n">
        <f aca="false">IF($N$13&gt;0,MAX(-300,MIN(300,FF334-HT334)),0)</f>
        <v>0</v>
      </c>
      <c r="IH334" s="60" t="n">
        <f aca="false">IF($O$13&gt;0,MAX(-300,MIN(300,FG334-HU334)),0)</f>
        <v>0</v>
      </c>
      <c r="II334" s="60" t="n">
        <f aca="false">IF($P$13&gt;0,MAX(-300,MIN(300,FH334-HV334)),0)</f>
        <v>0</v>
      </c>
      <c r="IJ334" s="60" t="n">
        <f aca="false">SUMXMY2(HX334:II334,B334:M334)</f>
        <v>0</v>
      </c>
      <c r="IK334" s="60" t="n">
        <f aca="false">SUMSQ(B334:M334)</f>
        <v>0</v>
      </c>
    </row>
    <row r="335" customFormat="false" ht="15" hidden="false" customHeight="false" outlineLevel="0" collapsed="false">
      <c r="A335" s="59" t="n">
        <v>38</v>
      </c>
      <c r="B335" s="60" t="n">
        <f aca="false">HX334</f>
        <v>0</v>
      </c>
      <c r="C335" s="60" t="n">
        <f aca="false">HY334</f>
        <v>0</v>
      </c>
      <c r="D335" s="60" t="n">
        <f aca="false">HZ334</f>
        <v>0</v>
      </c>
      <c r="E335" s="60" t="n">
        <f aca="false">IA334</f>
        <v>0</v>
      </c>
      <c r="F335" s="60" t="n">
        <f aca="false">IB334</f>
        <v>0</v>
      </c>
      <c r="G335" s="60" t="n">
        <f aca="false">IC334</f>
        <v>0</v>
      </c>
      <c r="H335" s="60" t="n">
        <f aca="false">ID334</f>
        <v>0</v>
      </c>
      <c r="I335" s="60" t="n">
        <f aca="false">IE334</f>
        <v>0</v>
      </c>
      <c r="J335" s="60" t="n">
        <f aca="false">IF334</f>
        <v>0</v>
      </c>
      <c r="K335" s="60" t="n">
        <f aca="false">IG334</f>
        <v>0</v>
      </c>
      <c r="L335" s="60" t="n">
        <f aca="false">IH334</f>
        <v>0</v>
      </c>
      <c r="M335" s="60" t="n">
        <f aca="false">II334</f>
        <v>0</v>
      </c>
      <c r="N335" s="60" t="n">
        <f aca="false">EXP(B335)</f>
        <v>1</v>
      </c>
      <c r="O335" s="60" t="n">
        <f aca="false">EXP(C335)</f>
        <v>1</v>
      </c>
      <c r="P335" s="60" t="n">
        <f aca="false">EXP(D335)</f>
        <v>1</v>
      </c>
      <c r="Q335" s="60" t="n">
        <f aca="false">EXP(E335)</f>
        <v>1</v>
      </c>
      <c r="R335" s="60" t="n">
        <f aca="false">EXP(F335)</f>
        <v>1</v>
      </c>
      <c r="S335" s="60" t="n">
        <f aca="false">EXP(G335)</f>
        <v>1</v>
      </c>
      <c r="T335" s="60" t="n">
        <f aca="false">EXP(H335)</f>
        <v>1</v>
      </c>
      <c r="U335" s="60" t="n">
        <f aca="false">EXP(I335)</f>
        <v>1</v>
      </c>
      <c r="V335" s="60" t="n">
        <f aca="false">EXP(J335)</f>
        <v>1</v>
      </c>
      <c r="W335" s="60" t="n">
        <f aca="false">EXP(K335)</f>
        <v>1</v>
      </c>
      <c r="X335" s="60" t="n">
        <f aca="false">EXP(L335)</f>
        <v>1</v>
      </c>
      <c r="Y335" s="60" t="n">
        <f aca="false">EXP(M335)</f>
        <v>1</v>
      </c>
      <c r="Z335" s="60" t="n">
        <f aca="false">MAX(N335:Y335)</f>
        <v>1</v>
      </c>
      <c r="AA335" s="60" t="n">
        <f aca="false">MIN(N335:Y335)</f>
        <v>1</v>
      </c>
      <c r="AB335" s="60" t="n">
        <f aca="false">AND(Z335&gt;1,AA335&lt;1)</f>
        <v>0</v>
      </c>
      <c r="AC335" s="60" t="n">
        <f aca="false">IF(AB335,1/(1-Z335),0)</f>
        <v>0</v>
      </c>
      <c r="AD335" s="60" t="n">
        <f aca="false">IF(AB335,1/(1-AA335),1)</f>
        <v>1</v>
      </c>
      <c r="AE335" s="60" t="n">
        <f aca="false">IF(AB335,MIN(MAX(BI334,AC335+0.000000001*(AD335-AC335)),AD335-0.000000001*(AD335-AC335)),IF(AA335&gt;=1,1,0))</f>
        <v>1</v>
      </c>
      <c r="AF335" s="60" t="n">
        <f aca="false">SUMPRODUCT($E$13:$P$13*(N335:Y335-1)/(1+AE335*(N335:Y335-1)))</f>
        <v>0</v>
      </c>
      <c r="AG335" s="60" t="n">
        <f aca="false">-SUMPRODUCT($E$13:$P$13*(N335:Y335-1)^2/(1+AE335*(N335:Y335-1))^2)</f>
        <v>-0</v>
      </c>
      <c r="AH335" s="60" t="n">
        <f aca="false">IF(OR(NOT(AB335),AG335=0),AE335,IF(AE335-AF335/AG335&lt;=AC335,(AE335+AC335)/2,IF(AE335-AF335/AG335&gt;=AD335,(AE335+AD335)/2,AE335-AF335/AG335)))</f>
        <v>1</v>
      </c>
      <c r="AI335" s="60" t="n">
        <f aca="false">SUMPRODUCT($E$13:$P$13*(N335:Y335-1)/(1+AH335*(N335:Y335-1)))</f>
        <v>0</v>
      </c>
      <c r="AJ335" s="60" t="n">
        <f aca="false">-SUMPRODUCT($E$13:$P$13*(N335:Y335-1)^2/(1+AH335*(N335:Y335-1))^2)</f>
        <v>-0</v>
      </c>
      <c r="AK335" s="60" t="n">
        <f aca="false">IF(OR(NOT(AB335),AJ335=0),AH335,IF(AH335-AI335/AJ335&lt;=AC335,(AH335+AC335)/2,IF(AH335-AI335/AJ335&gt;=AD335,(AH335+AD335)/2,AH335-AI335/AJ335)))</f>
        <v>1</v>
      </c>
      <c r="AL335" s="60" t="n">
        <f aca="false">SUMPRODUCT($E$13:$P$13*(N335:Y335-1)/(1+AK335*(N335:Y335-1)))</f>
        <v>0</v>
      </c>
      <c r="AM335" s="60" t="n">
        <f aca="false">-SUMPRODUCT($E$13:$P$13*(N335:Y335-1)^2/(1+AK335*(N335:Y335-1))^2)</f>
        <v>-0</v>
      </c>
      <c r="AN335" s="60" t="n">
        <f aca="false">IF(OR(NOT(AB335),AM335=0),AK335,IF(AK335-AL335/AM335&lt;=AC335,(AK335+AC335)/2,IF(AK335-AL335/AM335&gt;=AD335,(AK335+AD335)/2,AK335-AL335/AM335)))</f>
        <v>1</v>
      </c>
      <c r="AO335" s="60" t="n">
        <f aca="false">SUMPRODUCT($E$13:$P$13*(N335:Y335-1)/(1+AN335*(N335:Y335-1)))</f>
        <v>0</v>
      </c>
      <c r="AP335" s="60" t="n">
        <f aca="false">-SUMPRODUCT($E$13:$P$13*(N335:Y335-1)^2/(1+AN335*(N335:Y335-1))^2)</f>
        <v>-0</v>
      </c>
      <c r="AQ335" s="60" t="n">
        <f aca="false">IF(OR(NOT(AB335),AP335=0),AN335,IF(AN335-AO335/AP335&lt;=AC335,(AN335+AC335)/2,IF(AN335-AO335/AP335&gt;=AD335,(AN335+AD335)/2,AN335-AO335/AP335)))</f>
        <v>1</v>
      </c>
      <c r="AR335" s="60" t="n">
        <f aca="false">SUMPRODUCT($E$13:$P$13*(N335:Y335-1)/(1+AQ335*(N335:Y335-1)))</f>
        <v>0</v>
      </c>
      <c r="AS335" s="60" t="n">
        <f aca="false">-SUMPRODUCT($E$13:$P$13*(N335:Y335-1)^2/(1+AQ335*(N335:Y335-1))^2)</f>
        <v>-0</v>
      </c>
      <c r="AT335" s="60" t="n">
        <f aca="false">IF(OR(NOT(AB335),AS335=0),AQ335,IF(AQ335-AR335/AS335&lt;=AC335,(AQ335+AC335)/2,IF(AQ335-AR335/AS335&gt;=AD335,(AQ335+AD335)/2,AQ335-AR335/AS335)))</f>
        <v>1</v>
      </c>
      <c r="AU335" s="60" t="n">
        <f aca="false">SUMPRODUCT($E$13:$P$13*(N335:Y335-1)/(1+AT335*(N335:Y335-1)))</f>
        <v>0</v>
      </c>
      <c r="AV335" s="60" t="n">
        <f aca="false">-SUMPRODUCT($E$13:$P$13*(N335:Y335-1)^2/(1+AT335*(N335:Y335-1))^2)</f>
        <v>-0</v>
      </c>
      <c r="AW335" s="60" t="n">
        <f aca="false">IF(OR(NOT(AB335),AV335=0),AT335,IF(AT335-AU335/AV335&lt;=AC335,(AT335+AC335)/2,IF(AT335-AU335/AV335&gt;=AD335,(AT335+AD335)/2,AT335-AU335/AV335)))</f>
        <v>1</v>
      </c>
      <c r="AX335" s="60" t="n">
        <f aca="false">SUMPRODUCT($E$13:$P$13*(N335:Y335-1)/(1+AW335*(N335:Y335-1)))</f>
        <v>0</v>
      </c>
      <c r="AY335" s="60" t="n">
        <f aca="false">-SUMPRODUCT($E$13:$P$13*(N335:Y335-1)^2/(1+AW335*(N335:Y335-1))^2)</f>
        <v>-0</v>
      </c>
      <c r="AZ335" s="60" t="n">
        <f aca="false">IF(OR(NOT(AB335),AY335=0),AW335,IF(AW335-AX335/AY335&lt;=AC335,(AW335+AC335)/2,IF(AW335-AX335/AY335&gt;=AD335,(AW335+AD335)/2,AW335-AX335/AY335)))</f>
        <v>1</v>
      </c>
      <c r="BA335" s="60" t="n">
        <f aca="false">SUMPRODUCT($E$13:$P$13*(N335:Y335-1)/(1+AZ335*(N335:Y335-1)))</f>
        <v>0</v>
      </c>
      <c r="BB335" s="60" t="n">
        <f aca="false">-SUMPRODUCT($E$13:$P$13*(N335:Y335-1)^2/(1+AZ335*(N335:Y335-1))^2)</f>
        <v>-0</v>
      </c>
      <c r="BC335" s="60" t="n">
        <f aca="false">IF(OR(NOT(AB335),BB335=0),AZ335,IF(AZ335-BA335/BB335&lt;=AC335,(AZ335+AC335)/2,IF(AZ335-BA335/BB335&gt;=AD335,(AZ335+AD335)/2,AZ335-BA335/BB335)))</f>
        <v>1</v>
      </c>
      <c r="BD335" s="60" t="n">
        <f aca="false">SUMPRODUCT($E$13:$P$13*(N335:Y335-1)/(1+BC335*(N335:Y335-1)))</f>
        <v>0</v>
      </c>
      <c r="BE335" s="60" t="n">
        <f aca="false">-SUMPRODUCT($E$13:$P$13*(N335:Y335-1)^2/(1+BC335*(N335:Y335-1))^2)</f>
        <v>-0</v>
      </c>
      <c r="BF335" s="60" t="n">
        <f aca="false">IF(OR(NOT(AB335),BE335=0),BC335,IF(BC335-BD335/BE335&lt;=AC335,(BC335+AC335)/2,IF(BC335-BD335/BE335&gt;=AD335,(BC335+AD335)/2,BC335-BD335/BE335)))</f>
        <v>1</v>
      </c>
      <c r="BG335" s="60" t="n">
        <f aca="false">SUMPRODUCT($E$13:$P$13*(N335:Y335-1)/(1+BF335*(N335:Y335-1)))</f>
        <v>0</v>
      </c>
      <c r="BH335" s="60" t="n">
        <f aca="false">-SUMPRODUCT($E$13:$P$13*(N335:Y335-1)^2/(1+BF335*(N335:Y335-1))^2)</f>
        <v>-0</v>
      </c>
      <c r="BI335" s="60" t="n">
        <f aca="false">IF(OR(NOT(AB335),BH335=0),BF335,IF(BF335-BG335/BH335&lt;=AC335,(BF335+AC335)/2,IF(BF335-BG335/BH335&gt;=AD335,(BF335+AD335)/2,BF335-BG335/BH335)))</f>
        <v>1</v>
      </c>
      <c r="BJ335" s="60" t="n">
        <f aca="false">$E$13/(1+BI335*(N335-1))</f>
        <v>1</v>
      </c>
      <c r="BK335" s="60" t="n">
        <f aca="false">$F$13/(1+BI335*(O335-1))</f>
        <v>0</v>
      </c>
      <c r="BL335" s="60" t="n">
        <f aca="false">$G$13/(1+BI335*(P335-1))</f>
        <v>0</v>
      </c>
      <c r="BM335" s="60" t="n">
        <f aca="false">$H$13/(1+BI335*(Q335-1))</f>
        <v>0</v>
      </c>
      <c r="BN335" s="60" t="n">
        <f aca="false">$I$13/(1+BI335*(R335-1))</f>
        <v>0</v>
      </c>
      <c r="BO335" s="60" t="n">
        <f aca="false">$J$13/(1+BI335*(S335-1))</f>
        <v>0</v>
      </c>
      <c r="BP335" s="60" t="n">
        <f aca="false">$K$13/(1+BI335*(T335-1))</f>
        <v>0</v>
      </c>
      <c r="BQ335" s="60" t="n">
        <f aca="false">$L$13/(1+BI335*(U335-1))</f>
        <v>0</v>
      </c>
      <c r="BR335" s="60" t="n">
        <f aca="false">$M$13/(1+BI335*(V335-1))</f>
        <v>0</v>
      </c>
      <c r="BS335" s="60" t="n">
        <f aca="false">$N$13/(1+BI335*(W335-1))</f>
        <v>0</v>
      </c>
      <c r="BT335" s="60" t="n">
        <f aca="false">$O$13/(1+BI335*(X335-1))</f>
        <v>0</v>
      </c>
      <c r="BU335" s="60" t="n">
        <f aca="false">$P$13/(1+BI335*(Y335-1))</f>
        <v>0</v>
      </c>
      <c r="BV335" s="60" t="n">
        <f aca="false">SUM(BJ335:BU335)</f>
        <v>1</v>
      </c>
      <c r="BW335" s="60" t="n">
        <f aca="false">SUMPRODUCT(N335:Y335,BJ335:BU335)</f>
        <v>1</v>
      </c>
      <c r="BX335" s="60" t="n">
        <f aca="false">BJ335/BV335</f>
        <v>1</v>
      </c>
      <c r="BY335" s="60" t="n">
        <f aca="false">BK335/BV335</f>
        <v>0</v>
      </c>
      <c r="BZ335" s="60" t="n">
        <f aca="false">BL335/BV335</f>
        <v>0</v>
      </c>
      <c r="CA335" s="60" t="n">
        <f aca="false">BM335/BV335</f>
        <v>0</v>
      </c>
      <c r="CB335" s="60" t="n">
        <f aca="false">BN335/BV335</f>
        <v>0</v>
      </c>
      <c r="CC335" s="60" t="n">
        <f aca="false">BO335/BV335</f>
        <v>0</v>
      </c>
      <c r="CD335" s="60" t="n">
        <f aca="false">BP335/BV335</f>
        <v>0</v>
      </c>
      <c r="CE335" s="60" t="n">
        <f aca="false">BQ335/BV335</f>
        <v>0</v>
      </c>
      <c r="CF335" s="60" t="n">
        <f aca="false">BR335/BV335</f>
        <v>0</v>
      </c>
      <c r="CG335" s="60" t="n">
        <f aca="false">BS335/BV335</f>
        <v>0</v>
      </c>
      <c r="CH335" s="60" t="n">
        <f aca="false">BT335/BV335</f>
        <v>0</v>
      </c>
      <c r="CI335" s="60" t="n">
        <f aca="false">BU335/BV335</f>
        <v>0</v>
      </c>
      <c r="CJ335" s="60" t="n">
        <f aca="false">N335*BJ335/BW335</f>
        <v>1</v>
      </c>
      <c r="CK335" s="60" t="n">
        <f aca="false">O335*BK335/BW335</f>
        <v>0</v>
      </c>
      <c r="CL335" s="60" t="n">
        <f aca="false">P335*BL335/BW335</f>
        <v>0</v>
      </c>
      <c r="CM335" s="60" t="n">
        <f aca="false">Q335*BM335/BW335</f>
        <v>0</v>
      </c>
      <c r="CN335" s="60" t="n">
        <f aca="false">R335*BN335/BW335</f>
        <v>0</v>
      </c>
      <c r="CO335" s="60" t="n">
        <f aca="false">S335*BO335/BW335</f>
        <v>0</v>
      </c>
      <c r="CP335" s="60" t="n">
        <f aca="false">T335*BP335/BW335</f>
        <v>0</v>
      </c>
      <c r="CQ335" s="60" t="n">
        <f aca="false">U335*BQ335/BW335</f>
        <v>0</v>
      </c>
      <c r="CR335" s="60" t="n">
        <f aca="false">V335*BR335/BW335</f>
        <v>0</v>
      </c>
      <c r="CS335" s="60" t="n">
        <f aca="false">W335*BS335/BW335</f>
        <v>0</v>
      </c>
      <c r="CT335" s="60" t="n">
        <f aca="false">X335*BT335/BW335</f>
        <v>0</v>
      </c>
      <c r="CU335" s="60" t="n">
        <f aca="false">Y335*BU335/BW335</f>
        <v>0</v>
      </c>
      <c r="CV335" s="60" t="n">
        <f aca="false">$E$28*SUMPRODUCT($E$31:$P$31,BX335:CI335,$E$28:$P$28)</f>
        <v>0.184416866619846</v>
      </c>
      <c r="CW335" s="60" t="n">
        <f aca="false">$F$28*SUMPRODUCT($E$32:$P$32,BX335:CI335,$E$28:$P$28)</f>
        <v>0</v>
      </c>
      <c r="CX335" s="60" t="n">
        <f aca="false">$G$28*SUMPRODUCT($E$33:$P$33,BX335:CI335,$E$28:$P$28)</f>
        <v>0</v>
      </c>
      <c r="CY335" s="60" t="n">
        <f aca="false">$H$28*SUMPRODUCT($E$34:$P$34,BX335:CI335,$E$28:$P$28)</f>
        <v>0</v>
      </c>
      <c r="CZ335" s="60" t="n">
        <f aca="false">$I$28*SUMPRODUCT($E$35:$P$35,BX335:CI335,$E$28:$P$28)</f>
        <v>0</v>
      </c>
      <c r="DA335" s="60" t="n">
        <f aca="false">$J$28*SUMPRODUCT($E$36:$P$36,BX335:CI335,$E$28:$P$28)</f>
        <v>0</v>
      </c>
      <c r="DB335" s="60" t="n">
        <f aca="false">$K$28*SUMPRODUCT($E$37:$P$37,BX335:CI335,$E$28:$P$28)</f>
        <v>0</v>
      </c>
      <c r="DC335" s="60" t="n">
        <f aca="false">$L$28*SUMPRODUCT($E$38:$P$38,BX335:CI335,$E$28:$P$28)</f>
        <v>0</v>
      </c>
      <c r="DD335" s="60" t="n">
        <f aca="false">$M$28*SUMPRODUCT($E$39:$P$39,BX335:CI335,$E$28:$P$28)</f>
        <v>0</v>
      </c>
      <c r="DE335" s="60" t="n">
        <f aca="false">$N$28*SUMPRODUCT($E$40:$P$40,BX335:CI335,$E$28:$P$28)</f>
        <v>0</v>
      </c>
      <c r="DF335" s="60" t="n">
        <f aca="false">$O$28*SUMPRODUCT($E$41:$P$41,BX335:CI335,$E$28:$P$28)</f>
        <v>0</v>
      </c>
      <c r="DG335" s="60" t="n">
        <f aca="false">$P$28*SUMPRODUCT($E$42:$P$42,BX335:CI335,$E$28:$P$28)</f>
        <v>0</v>
      </c>
      <c r="DH335" s="60" t="n">
        <f aca="false">SUMPRODUCT(BX335:CI335,CV335:DG335)</f>
        <v>0.184416866619846</v>
      </c>
      <c r="DI335" s="60" t="n">
        <f aca="false">SUMPRODUCT(BX335:CI335,$E$27:$P$27)</f>
        <v>2.67389635063809E-005</v>
      </c>
      <c r="DJ335" s="60" t="n">
        <f aca="false">DH335*$C$9/($C$10*$C$8)^2</f>
        <v>0.21776909410545</v>
      </c>
      <c r="DK335" s="60" t="n">
        <f aca="false">DI335*$C$9/($C$10*$C$8)</f>
        <v>0.0918845243259994</v>
      </c>
      <c r="DL335" s="60" t="n">
        <f aca="false">CHOOSE($C$7,-(1+DK335),-1,-(1-DK335))</f>
        <v>-0.908115475674001</v>
      </c>
      <c r="DM335" s="60" t="n">
        <f aca="false">CHOOSE($C$7,DJ335,DJ335-DK335-DK335^2,DJ335-3*DK335^2-2*DK335)</f>
        <v>0.00867174802160559</v>
      </c>
      <c r="DN335" s="60" t="n">
        <f aca="false">CHOOSE($C$7,-DJ335*DK335,-DJ335*DK335,-(DJ335*DK335-DK335^2-DK335^3))</f>
        <v>-0.0107910842936637</v>
      </c>
      <c r="DO335" s="60" t="n">
        <f aca="false">DM335-DL335^2/3</f>
        <v>-0.266219491031267</v>
      </c>
      <c r="DP335" s="60" t="n">
        <f aca="false">2*DL335^3/27-DL335*DM335/3+DN335</f>
        <v>-0.0636400988362784</v>
      </c>
      <c r="DQ335" s="60" t="n">
        <f aca="false">DP335^2/4+DO335^3/27</f>
        <v>0.000313710901361829</v>
      </c>
      <c r="DR335" s="60" t="n">
        <f aca="false">-DP335/2-IF(DP335&gt;=0,1,-1)*SQRT(MAX(DQ335,0))</f>
        <v>0.0495319352963236</v>
      </c>
      <c r="DS335" s="60" t="n">
        <f aca="false">SIGN(DR335)*ABS(DR335)^(1/3)</f>
        <v>0.367249967174439</v>
      </c>
      <c r="DT335" s="60" t="n">
        <f aca="false">IF(DS335=0,0,DS335-DO335/(3*DS335))</f>
        <v>0.60888329127384</v>
      </c>
      <c r="DU335" s="60" t="n">
        <f aca="false">2*SQRT(MAX(-DO335,0)/3)</f>
        <v>0.595784626668918</v>
      </c>
      <c r="DV335" s="60" t="n">
        <f aca="false">ACOS(IF(DU335=0,0,MAX(-1,MIN(1,3*DP335/(DO335*DU335)))))</f>
        <v>0</v>
      </c>
      <c r="DW335" s="60" t="n">
        <f aca="false">DU335*COS(DV335/3)</f>
        <v>0.595784626668918</v>
      </c>
      <c r="DX335" s="60" t="n">
        <f aca="false">IF(DQ335&lt;0,DW335,DT335)-DL335/3</f>
        <v>0.91158844983184</v>
      </c>
      <c r="DY335" s="60" t="n">
        <f aca="false">IFERROR((((DX335+DL335)*DX335+DM335)*DX335+DN335)/((3*DX335+2*DL335)*DX335+DM335),0)</f>
        <v>0</v>
      </c>
      <c r="DZ335" s="60" t="n">
        <f aca="false">IF(ABS(DY335)&lt;0.1*ABS(DX335),DX335-DY335,DX335)</f>
        <v>0.91158844983184</v>
      </c>
      <c r="EA335" s="60" t="n">
        <f aca="false">IFERROR((((DZ335+DL335)*DZ335+DM335)*DZ335+DN335)/((3*DZ335+2*DL335)*DZ335+DM335),0)</f>
        <v>0</v>
      </c>
      <c r="EB335" s="60" t="n">
        <f aca="false">IF(ABS(EA335)&lt;0.1*ABS(DZ335),DZ335-EA335,DZ335)</f>
        <v>0.91158844983184</v>
      </c>
      <c r="EC335" s="60" t="n">
        <f aca="false">-DN335/EB335</f>
        <v>0.0118376711504565</v>
      </c>
      <c r="ED335" s="60" t="n">
        <f aca="false">(DM335-EC335)/EB335</f>
        <v>-0.00347297415783941</v>
      </c>
      <c r="EE335" s="60" t="n">
        <f aca="false">ED335^2-4*EC335</f>
        <v>-0.0473386230523248</v>
      </c>
      <c r="EF335" s="60" t="n">
        <f aca="false">IF(EE335&gt;=0,(ED335+IF(ED335&gt;=0,1,-1)*SQRT(EE335))/2,0)</f>
        <v>0</v>
      </c>
      <c r="EG335" s="60" t="n">
        <f aca="false">IF(AND(EE335&gt;=0,EF335&lt;&gt;0),MIN(EF335,EC335/EF335),-1)</f>
        <v>-1</v>
      </c>
      <c r="EH335" s="60" t="n">
        <f aca="false">AND(EE335&gt;=0,EG335&gt;DK335,ABS(EB335-EG335)&gt;=0.00005*MAX(EB335,EG335))</f>
        <v>0</v>
      </c>
      <c r="EI335" s="60" t="n">
        <f aca="false">IF(EH335,IFERROR((((EG335+DL335)*EG335+DM335)*EG335+DN335)/((3*EG335+2*DL335)*EG335+DM335),0),0)</f>
        <v>0</v>
      </c>
      <c r="EJ335" s="60" t="n">
        <f aca="false">IF(ABS(EI335)&lt;0.1*ABS(EG335),EG335-EI335,EG335)</f>
        <v>-1</v>
      </c>
      <c r="EK335" s="60" t="n">
        <f aca="false">IF(EH335,IFERROR((((EJ335+DL335)*EJ335+DM335)*EJ335+DN335)/((3*EJ335+2*DL335)*EJ335+DM335),0),0)</f>
        <v>0</v>
      </c>
      <c r="EL335" s="60" t="n">
        <f aca="false">IF(ABS(EK335)&lt;0.1*ABS(EJ335),EJ335-EK335,EJ335)</f>
        <v>-1</v>
      </c>
      <c r="EM335" s="60" t="n">
        <f aca="false">IF(EH335,MAX(EB335,EL335),EB335)</f>
        <v>0.91158844983184</v>
      </c>
      <c r="EN335" s="60" t="n">
        <f aca="false">IF(EH335,MIN(EB335,EL335),-1)</f>
        <v>-1</v>
      </c>
      <c r="EO335" s="60" t="n">
        <f aca="false">CHOOSE($C$7,DJ335/EM335,DJ335/DK335*LN(1+DK335/EM335),DJ335/(2*SQRT(2)*DK335)*LN((EM335+(1+SQRT(2))*DK335)/(EM335+(1-SQRT(2))*DK335)))</f>
        <v>0.218240791233887</v>
      </c>
      <c r="EP335" s="60" t="n">
        <f aca="false">EM335-1-LN(EM335-DK335)-EO335</f>
        <v>-0.107840271021729</v>
      </c>
      <c r="EQ335" s="60" t="n">
        <f aca="false">IF(EH335,CHOOSE($C$7,DJ335/EN335,DJ335/DK335*LN(1+DK335/EN335),DJ335/(2*SQRT(2)*DK335)*LN((EN335+(1+SQRT(2))*DK335)/(EN335+(1-SQRT(2))*DK335))),0)</f>
        <v>0</v>
      </c>
      <c r="ER335" s="60" t="n">
        <f aca="false">IF(EH335,EN335-1-LN(EN335-DK335)-EQ335,0)</f>
        <v>0</v>
      </c>
      <c r="ES335" s="60" t="n">
        <f aca="false">AND(EH335,ER335&lt;EP335)</f>
        <v>0</v>
      </c>
      <c r="ET335" s="60" t="n">
        <f aca="false">IF(ES335,EN335,EM335)</f>
        <v>0.91158844983184</v>
      </c>
      <c r="EU335" s="60" t="n">
        <f aca="false">IF(ES335,EQ335,EO335)</f>
        <v>0.218240791233887</v>
      </c>
      <c r="EV335" s="60" t="n">
        <f aca="false">LN(ET335-DK335)</f>
        <v>-0.198812070380318</v>
      </c>
      <c r="EW335" s="60" t="n">
        <f aca="false">$E$27/DI335*(ET335-1)-EV335-EU335*(2*CV335/DH335-$E$27/DI335)</f>
        <v>-0.107840271021729</v>
      </c>
      <c r="EX335" s="60" t="n">
        <f aca="false">$F$27/DI335*(ET335-1)-EV335-EU335*(2*CW335/DH335-$F$27/DI335)</f>
        <v>0.198812070380318</v>
      </c>
      <c r="EY335" s="60" t="n">
        <f aca="false">$G$27/DI335*(ET335-1)-EV335-EU335*(2*CX335/DH335-$G$27/DI335)</f>
        <v>0.198812070380318</v>
      </c>
      <c r="EZ335" s="60" t="n">
        <f aca="false">$H$27/DI335*(ET335-1)-EV335-EU335*(2*CY335/DH335-$H$27/DI335)</f>
        <v>0.198812070380318</v>
      </c>
      <c r="FA335" s="60" t="n">
        <f aca="false">$I$27/DI335*(ET335-1)-EV335-EU335*(2*CZ335/DH335-$I$27/DI335)</f>
        <v>0.198812070380318</v>
      </c>
      <c r="FB335" s="60" t="n">
        <f aca="false">$J$27/DI335*(ET335-1)-EV335-EU335*(2*DA335/DH335-$J$27/DI335)</f>
        <v>0.198812070380318</v>
      </c>
      <c r="FC335" s="60" t="n">
        <f aca="false">$K$27/DI335*(ET335-1)-EV335-EU335*(2*DB335/DH335-$K$27/DI335)</f>
        <v>0.198812070380318</v>
      </c>
      <c r="FD335" s="60" t="n">
        <f aca="false">$L$27/DI335*(ET335-1)-EV335-EU335*(2*DC335/DH335-$L$27/DI335)</f>
        <v>0.198812070380318</v>
      </c>
      <c r="FE335" s="60" t="n">
        <f aca="false">$M$27/DI335*(ET335-1)-EV335-EU335*(2*DD335/DH335-$M$27/DI335)</f>
        <v>0.198812070380318</v>
      </c>
      <c r="FF335" s="60" t="n">
        <f aca="false">$N$27/DI335*(ET335-1)-EV335-EU335*(2*DE335/DH335-$N$27/DI335)</f>
        <v>0.198812070380318</v>
      </c>
      <c r="FG335" s="60" t="n">
        <f aca="false">$O$27/DI335*(ET335-1)-EV335-EU335*(2*DF335/DH335-$O$27/DI335)</f>
        <v>0.198812070380318</v>
      </c>
      <c r="FH335" s="60" t="n">
        <f aca="false">$P$27/DI335*(ET335-1)-EV335-EU335*(2*DG335/DH335-$P$27/DI335)</f>
        <v>0.198812070380318</v>
      </c>
      <c r="FI335" s="60" t="n">
        <f aca="false">DK335/ET335&gt;$C$22</f>
        <v>0</v>
      </c>
      <c r="FJ335" s="60" t="n">
        <f aca="false">$E$28*SUMPRODUCT($E$31:$P$31,CJ335:CU335,$E$28:$P$28)</f>
        <v>0.184416866619846</v>
      </c>
      <c r="FK335" s="60" t="n">
        <f aca="false">$F$28*SUMPRODUCT($E$32:$P$32,CJ335:CU335,$E$28:$P$28)</f>
        <v>0</v>
      </c>
      <c r="FL335" s="60" t="n">
        <f aca="false">$G$28*SUMPRODUCT($E$33:$P$33,CJ335:CU335,$E$28:$P$28)</f>
        <v>0</v>
      </c>
      <c r="FM335" s="60" t="n">
        <f aca="false">$H$28*SUMPRODUCT($E$34:$P$34,CJ335:CU335,$E$28:$P$28)</f>
        <v>0</v>
      </c>
      <c r="FN335" s="60" t="n">
        <f aca="false">$I$28*SUMPRODUCT($E$35:$P$35,CJ335:CU335,$E$28:$P$28)</f>
        <v>0</v>
      </c>
      <c r="FO335" s="60" t="n">
        <f aca="false">$J$28*SUMPRODUCT($E$36:$P$36,CJ335:CU335,$E$28:$P$28)</f>
        <v>0</v>
      </c>
      <c r="FP335" s="60" t="n">
        <f aca="false">$K$28*SUMPRODUCT($E$37:$P$37,CJ335:CU335,$E$28:$P$28)</f>
        <v>0</v>
      </c>
      <c r="FQ335" s="60" t="n">
        <f aca="false">$L$28*SUMPRODUCT($E$38:$P$38,CJ335:CU335,$E$28:$P$28)</f>
        <v>0</v>
      </c>
      <c r="FR335" s="60" t="n">
        <f aca="false">$M$28*SUMPRODUCT($E$39:$P$39,CJ335:CU335,$E$28:$P$28)</f>
        <v>0</v>
      </c>
      <c r="FS335" s="60" t="n">
        <f aca="false">$N$28*SUMPRODUCT($E$40:$P$40,CJ335:CU335,$E$28:$P$28)</f>
        <v>0</v>
      </c>
      <c r="FT335" s="60" t="n">
        <f aca="false">$O$28*SUMPRODUCT($E$41:$P$41,CJ335:CU335,$E$28:$P$28)</f>
        <v>0</v>
      </c>
      <c r="FU335" s="60" t="n">
        <f aca="false">$P$28*SUMPRODUCT($E$42:$P$42,CJ335:CU335,$E$28:$P$28)</f>
        <v>0</v>
      </c>
      <c r="FV335" s="60" t="n">
        <f aca="false">SUMPRODUCT(CJ335:CU335,FJ335:FU335)</f>
        <v>0.184416866619846</v>
      </c>
      <c r="FW335" s="60" t="n">
        <f aca="false">SUMPRODUCT(CJ335:CU335,$E$27:$P$27)</f>
        <v>2.67389635063809E-005</v>
      </c>
      <c r="FX335" s="60" t="n">
        <f aca="false">FV335*$C$9/($C$10*$C$8)^2</f>
        <v>0.21776909410545</v>
      </c>
      <c r="FY335" s="60" t="n">
        <f aca="false">FW335*$C$9/($C$10*$C$8)</f>
        <v>0.0918845243259994</v>
      </c>
      <c r="FZ335" s="60" t="n">
        <f aca="false">CHOOSE($C$7,-(1+FY335),-1,-(1-FY335))</f>
        <v>-0.908115475674001</v>
      </c>
      <c r="GA335" s="60" t="n">
        <f aca="false">CHOOSE($C$7,FX335,FX335-FY335-FY335^2,FX335-3*FY335^2-2*FY335)</f>
        <v>0.00867174802160559</v>
      </c>
      <c r="GB335" s="60" t="n">
        <f aca="false">CHOOSE($C$7,-FX335*FY335,-FX335*FY335,-(FX335*FY335-FY335^2-FY335^3))</f>
        <v>-0.0107910842936637</v>
      </c>
      <c r="GC335" s="60" t="n">
        <f aca="false">GA335-FZ335^2/3</f>
        <v>-0.266219491031267</v>
      </c>
      <c r="GD335" s="60" t="n">
        <f aca="false">2*FZ335^3/27-FZ335*GA335/3+GB335</f>
        <v>-0.0636400988362784</v>
      </c>
      <c r="GE335" s="60" t="n">
        <f aca="false">GD335^2/4+GC335^3/27</f>
        <v>0.000313710901361829</v>
      </c>
      <c r="GF335" s="60" t="n">
        <f aca="false">-GD335/2-IF(GD335&gt;=0,1,-1)*SQRT(MAX(GE335,0))</f>
        <v>0.0495319352963236</v>
      </c>
      <c r="GG335" s="60" t="n">
        <f aca="false">SIGN(GF335)*ABS(GF335)^(1/3)</f>
        <v>0.367249967174439</v>
      </c>
      <c r="GH335" s="60" t="n">
        <f aca="false">IF(GG335=0,0,GG335-GC335/(3*GG335))</f>
        <v>0.60888329127384</v>
      </c>
      <c r="GI335" s="60" t="n">
        <f aca="false">2*SQRT(MAX(-GC335,0)/3)</f>
        <v>0.595784626668918</v>
      </c>
      <c r="GJ335" s="60" t="n">
        <f aca="false">ACOS(IF(GI335=0,0,MAX(-1,MIN(1,3*GD335/(GC335*GI335)))))</f>
        <v>0</v>
      </c>
      <c r="GK335" s="60" t="n">
        <f aca="false">GI335*COS(GJ335/3)</f>
        <v>0.595784626668918</v>
      </c>
      <c r="GL335" s="60" t="n">
        <f aca="false">IF(GE335&lt;0,GK335,GH335)-FZ335/3</f>
        <v>0.91158844983184</v>
      </c>
      <c r="GM335" s="60" t="n">
        <f aca="false">IFERROR((((GL335+FZ335)*GL335+GA335)*GL335+GB335)/((3*GL335+2*FZ335)*GL335+GA335),0)</f>
        <v>0</v>
      </c>
      <c r="GN335" s="60" t="n">
        <f aca="false">IF(ABS(GM335)&lt;0.1*ABS(GL335),GL335-GM335,GL335)</f>
        <v>0.91158844983184</v>
      </c>
      <c r="GO335" s="60" t="n">
        <f aca="false">IFERROR((((GN335+FZ335)*GN335+GA335)*GN335+GB335)/((3*GN335+2*FZ335)*GN335+GA335),0)</f>
        <v>0</v>
      </c>
      <c r="GP335" s="60" t="n">
        <f aca="false">IF(ABS(GO335)&lt;0.1*ABS(GN335),GN335-GO335,GN335)</f>
        <v>0.91158844983184</v>
      </c>
      <c r="GQ335" s="60" t="n">
        <f aca="false">-GB335/GP335</f>
        <v>0.0118376711504565</v>
      </c>
      <c r="GR335" s="60" t="n">
        <f aca="false">(GA335-GQ335)/GP335</f>
        <v>-0.00347297415783941</v>
      </c>
      <c r="GS335" s="60" t="n">
        <f aca="false">GR335^2-4*GQ335</f>
        <v>-0.0473386230523248</v>
      </c>
      <c r="GT335" s="60" t="n">
        <f aca="false">IF(GS335&gt;=0,(GR335+IF(GR335&gt;=0,1,-1)*SQRT(GS335))/2,0)</f>
        <v>0</v>
      </c>
      <c r="GU335" s="60" t="n">
        <f aca="false">IF(AND(GS335&gt;=0,GT335&lt;&gt;0),MIN(GT335,GQ335/GT335),-1)</f>
        <v>-1</v>
      </c>
      <c r="GV335" s="60" t="n">
        <f aca="false">AND(GS335&gt;=0,GU335&gt;FY335,ABS(GP335-GU335)&gt;=0.00005*MAX(GP335,GU335))</f>
        <v>0</v>
      </c>
      <c r="GW335" s="60" t="n">
        <f aca="false">IF(GV335,IFERROR((((GU335+FZ335)*GU335+GA335)*GU335+GB335)/((3*GU335+2*FZ335)*GU335+GA335),0),0)</f>
        <v>0</v>
      </c>
      <c r="GX335" s="60" t="n">
        <f aca="false">IF(ABS(GW335)&lt;0.1*ABS(GU335),GU335-GW335,GU335)</f>
        <v>-1</v>
      </c>
      <c r="GY335" s="60" t="n">
        <f aca="false">IF(GV335,IFERROR((((GX335+FZ335)*GX335+GA335)*GX335+GB335)/((3*GX335+2*FZ335)*GX335+GA335),0),0)</f>
        <v>0</v>
      </c>
      <c r="GZ335" s="60" t="n">
        <f aca="false">IF(ABS(GY335)&lt;0.1*ABS(GX335),GX335-GY335,GX335)</f>
        <v>-1</v>
      </c>
      <c r="HA335" s="60" t="n">
        <f aca="false">IF(GV335,MAX(GP335,GZ335),GP335)</f>
        <v>0.91158844983184</v>
      </c>
      <c r="HB335" s="60" t="n">
        <f aca="false">IF(GV335,MIN(GP335,GZ335),-1)</f>
        <v>-1</v>
      </c>
      <c r="HC335" s="60" t="n">
        <f aca="false">CHOOSE($C$7,FX335/HA335,FX335/FY335*LN(1+FY335/HA335),FX335/(2*SQRT(2)*FY335)*LN((HA335+(1+SQRT(2))*FY335)/(HA335+(1-SQRT(2))*FY335)))</f>
        <v>0.218240791233887</v>
      </c>
      <c r="HD335" s="60" t="n">
        <f aca="false">HA335-1-LN(HA335-FY335)-HC335</f>
        <v>-0.107840271021729</v>
      </c>
      <c r="HE335" s="60" t="n">
        <f aca="false">IF(GV335,CHOOSE($C$7,FX335/HB335,FX335/FY335*LN(1+FY335/HB335),FX335/(2*SQRT(2)*FY335)*LN((HB335+(1+SQRT(2))*FY335)/(HB335+(1-SQRT(2))*FY335))),0)</f>
        <v>0</v>
      </c>
      <c r="HF335" s="60" t="n">
        <f aca="false">IF(GV335,HB335-1-LN(HB335-FY335)-HE335,0)</f>
        <v>0</v>
      </c>
      <c r="HG335" s="60" t="n">
        <f aca="false">AND(GV335,HF335&lt;HD335)</f>
        <v>0</v>
      </c>
      <c r="HH335" s="60" t="n">
        <f aca="false">IF(HG335,HB335,HA335)</f>
        <v>0.91158844983184</v>
      </c>
      <c r="HI335" s="60" t="n">
        <f aca="false">IF(HG335,HE335,HC335)</f>
        <v>0.218240791233887</v>
      </c>
      <c r="HJ335" s="60" t="n">
        <f aca="false">LN(HH335-FY335)</f>
        <v>-0.198812070380318</v>
      </c>
      <c r="HK335" s="60" t="n">
        <f aca="false">$E$27/FW335*(HH335-1)-HJ335-HI335*(2*FJ335/FV335-$E$27/FW335)</f>
        <v>-0.107840271021729</v>
      </c>
      <c r="HL335" s="60" t="n">
        <f aca="false">$F$27/FW335*(HH335-1)-HJ335-HI335*(2*FK335/FV335-$F$27/FW335)</f>
        <v>0.198812070380318</v>
      </c>
      <c r="HM335" s="60" t="n">
        <f aca="false">$G$27/FW335*(HH335-1)-HJ335-HI335*(2*FL335/FV335-$G$27/FW335)</f>
        <v>0.198812070380318</v>
      </c>
      <c r="HN335" s="60" t="n">
        <f aca="false">$H$27/FW335*(HH335-1)-HJ335-HI335*(2*FM335/FV335-$H$27/FW335)</f>
        <v>0.198812070380318</v>
      </c>
      <c r="HO335" s="60" t="n">
        <f aca="false">$I$27/FW335*(HH335-1)-HJ335-HI335*(2*FN335/FV335-$I$27/FW335)</f>
        <v>0.198812070380318</v>
      </c>
      <c r="HP335" s="60" t="n">
        <f aca="false">$J$27/FW335*(HH335-1)-HJ335-HI335*(2*FO335/FV335-$J$27/FW335)</f>
        <v>0.198812070380318</v>
      </c>
      <c r="HQ335" s="60" t="n">
        <f aca="false">$K$27/FW335*(HH335-1)-HJ335-HI335*(2*FP335/FV335-$K$27/FW335)</f>
        <v>0.198812070380318</v>
      </c>
      <c r="HR335" s="60" t="n">
        <f aca="false">$L$27/FW335*(HH335-1)-HJ335-HI335*(2*FQ335/FV335-$L$27/FW335)</f>
        <v>0.198812070380318</v>
      </c>
      <c r="HS335" s="60" t="n">
        <f aca="false">$M$27/FW335*(HH335-1)-HJ335-HI335*(2*FR335/FV335-$M$27/FW335)</f>
        <v>0.198812070380318</v>
      </c>
      <c r="HT335" s="60" t="n">
        <f aca="false">$N$27/FW335*(HH335-1)-HJ335-HI335*(2*FS335/FV335-$N$27/FW335)</f>
        <v>0.198812070380318</v>
      </c>
      <c r="HU335" s="60" t="n">
        <f aca="false">$O$27/FW335*(HH335-1)-HJ335-HI335*(2*FT335/FV335-$O$27/FW335)</f>
        <v>0.198812070380318</v>
      </c>
      <c r="HV335" s="60" t="n">
        <f aca="false">$P$27/FW335*(HH335-1)-HJ335-HI335*(2*FU335/FV335-$P$27/FW335)</f>
        <v>0.198812070380318</v>
      </c>
      <c r="HW335" s="60" t="n">
        <f aca="false">FY335/HH335&gt;$C$22</f>
        <v>0</v>
      </c>
      <c r="HX335" s="60" t="n">
        <f aca="false">IF($E$13&gt;0,MAX(-300,MIN(300,EW335-HK335)),0)</f>
        <v>0</v>
      </c>
      <c r="HY335" s="60" t="n">
        <f aca="false">IF($F$13&gt;0,MAX(-300,MIN(300,EX335-HL335)),0)</f>
        <v>0</v>
      </c>
      <c r="HZ335" s="60" t="n">
        <f aca="false">IF($G$13&gt;0,MAX(-300,MIN(300,EY335-HM335)),0)</f>
        <v>0</v>
      </c>
      <c r="IA335" s="60" t="n">
        <f aca="false">IF($H$13&gt;0,MAX(-300,MIN(300,EZ335-HN335)),0)</f>
        <v>0</v>
      </c>
      <c r="IB335" s="60" t="n">
        <f aca="false">IF($I$13&gt;0,MAX(-300,MIN(300,FA335-HO335)),0)</f>
        <v>0</v>
      </c>
      <c r="IC335" s="60" t="n">
        <f aca="false">IF($J$13&gt;0,MAX(-300,MIN(300,FB335-HP335)),0)</f>
        <v>0</v>
      </c>
      <c r="ID335" s="60" t="n">
        <f aca="false">IF($K$13&gt;0,MAX(-300,MIN(300,FC335-HQ335)),0)</f>
        <v>0</v>
      </c>
      <c r="IE335" s="60" t="n">
        <f aca="false">IF($L$13&gt;0,MAX(-300,MIN(300,FD335-HR335)),0)</f>
        <v>0</v>
      </c>
      <c r="IF335" s="60" t="n">
        <f aca="false">IF($M$13&gt;0,MAX(-300,MIN(300,FE335-HS335)),0)</f>
        <v>0</v>
      </c>
      <c r="IG335" s="60" t="n">
        <f aca="false">IF($N$13&gt;0,MAX(-300,MIN(300,FF335-HT335)),0)</f>
        <v>0</v>
      </c>
      <c r="IH335" s="60" t="n">
        <f aca="false">IF($O$13&gt;0,MAX(-300,MIN(300,FG335-HU335)),0)</f>
        <v>0</v>
      </c>
      <c r="II335" s="60" t="n">
        <f aca="false">IF($P$13&gt;0,MAX(-300,MIN(300,FH335-HV335)),0)</f>
        <v>0</v>
      </c>
      <c r="IJ335" s="60" t="n">
        <f aca="false">SUMXMY2(HX335:II335,B335:M335)</f>
        <v>0</v>
      </c>
      <c r="IK335" s="60" t="n">
        <f aca="false">SUMSQ(B335:M335)</f>
        <v>0</v>
      </c>
    </row>
    <row r="336" customFormat="false" ht="15" hidden="false" customHeight="false" outlineLevel="0" collapsed="false">
      <c r="A336" s="59" t="n">
        <v>39</v>
      </c>
      <c r="B336" s="60" t="n">
        <f aca="false">HX335</f>
        <v>0</v>
      </c>
      <c r="C336" s="60" t="n">
        <f aca="false">HY335</f>
        <v>0</v>
      </c>
      <c r="D336" s="60" t="n">
        <f aca="false">HZ335</f>
        <v>0</v>
      </c>
      <c r="E336" s="60" t="n">
        <f aca="false">IA335</f>
        <v>0</v>
      </c>
      <c r="F336" s="60" t="n">
        <f aca="false">IB335</f>
        <v>0</v>
      </c>
      <c r="G336" s="60" t="n">
        <f aca="false">IC335</f>
        <v>0</v>
      </c>
      <c r="H336" s="60" t="n">
        <f aca="false">ID335</f>
        <v>0</v>
      </c>
      <c r="I336" s="60" t="n">
        <f aca="false">IE335</f>
        <v>0</v>
      </c>
      <c r="J336" s="60" t="n">
        <f aca="false">IF335</f>
        <v>0</v>
      </c>
      <c r="K336" s="60" t="n">
        <f aca="false">IG335</f>
        <v>0</v>
      </c>
      <c r="L336" s="60" t="n">
        <f aca="false">IH335</f>
        <v>0</v>
      </c>
      <c r="M336" s="60" t="n">
        <f aca="false">II335</f>
        <v>0</v>
      </c>
      <c r="N336" s="60" t="n">
        <f aca="false">EXP(B336)</f>
        <v>1</v>
      </c>
      <c r="O336" s="60" t="n">
        <f aca="false">EXP(C336)</f>
        <v>1</v>
      </c>
      <c r="P336" s="60" t="n">
        <f aca="false">EXP(D336)</f>
        <v>1</v>
      </c>
      <c r="Q336" s="60" t="n">
        <f aca="false">EXP(E336)</f>
        <v>1</v>
      </c>
      <c r="R336" s="60" t="n">
        <f aca="false">EXP(F336)</f>
        <v>1</v>
      </c>
      <c r="S336" s="60" t="n">
        <f aca="false">EXP(G336)</f>
        <v>1</v>
      </c>
      <c r="T336" s="60" t="n">
        <f aca="false">EXP(H336)</f>
        <v>1</v>
      </c>
      <c r="U336" s="60" t="n">
        <f aca="false">EXP(I336)</f>
        <v>1</v>
      </c>
      <c r="V336" s="60" t="n">
        <f aca="false">EXP(J336)</f>
        <v>1</v>
      </c>
      <c r="W336" s="60" t="n">
        <f aca="false">EXP(K336)</f>
        <v>1</v>
      </c>
      <c r="X336" s="60" t="n">
        <f aca="false">EXP(L336)</f>
        <v>1</v>
      </c>
      <c r="Y336" s="60" t="n">
        <f aca="false">EXP(M336)</f>
        <v>1</v>
      </c>
      <c r="Z336" s="60" t="n">
        <f aca="false">MAX(N336:Y336)</f>
        <v>1</v>
      </c>
      <c r="AA336" s="60" t="n">
        <f aca="false">MIN(N336:Y336)</f>
        <v>1</v>
      </c>
      <c r="AB336" s="60" t="n">
        <f aca="false">AND(Z336&gt;1,AA336&lt;1)</f>
        <v>0</v>
      </c>
      <c r="AC336" s="60" t="n">
        <f aca="false">IF(AB336,1/(1-Z336),0)</f>
        <v>0</v>
      </c>
      <c r="AD336" s="60" t="n">
        <f aca="false">IF(AB336,1/(1-AA336),1)</f>
        <v>1</v>
      </c>
      <c r="AE336" s="60" t="n">
        <f aca="false">IF(AB336,MIN(MAX(BI335,AC336+0.000000001*(AD336-AC336)),AD336-0.000000001*(AD336-AC336)),IF(AA336&gt;=1,1,0))</f>
        <v>1</v>
      </c>
      <c r="AF336" s="60" t="n">
        <f aca="false">SUMPRODUCT($E$13:$P$13*(N336:Y336-1)/(1+AE336*(N336:Y336-1)))</f>
        <v>0</v>
      </c>
      <c r="AG336" s="60" t="n">
        <f aca="false">-SUMPRODUCT($E$13:$P$13*(N336:Y336-1)^2/(1+AE336*(N336:Y336-1))^2)</f>
        <v>-0</v>
      </c>
      <c r="AH336" s="60" t="n">
        <f aca="false">IF(OR(NOT(AB336),AG336=0),AE336,IF(AE336-AF336/AG336&lt;=AC336,(AE336+AC336)/2,IF(AE336-AF336/AG336&gt;=AD336,(AE336+AD336)/2,AE336-AF336/AG336)))</f>
        <v>1</v>
      </c>
      <c r="AI336" s="60" t="n">
        <f aca="false">SUMPRODUCT($E$13:$P$13*(N336:Y336-1)/(1+AH336*(N336:Y336-1)))</f>
        <v>0</v>
      </c>
      <c r="AJ336" s="60" t="n">
        <f aca="false">-SUMPRODUCT($E$13:$P$13*(N336:Y336-1)^2/(1+AH336*(N336:Y336-1))^2)</f>
        <v>-0</v>
      </c>
      <c r="AK336" s="60" t="n">
        <f aca="false">IF(OR(NOT(AB336),AJ336=0),AH336,IF(AH336-AI336/AJ336&lt;=AC336,(AH336+AC336)/2,IF(AH336-AI336/AJ336&gt;=AD336,(AH336+AD336)/2,AH336-AI336/AJ336)))</f>
        <v>1</v>
      </c>
      <c r="AL336" s="60" t="n">
        <f aca="false">SUMPRODUCT($E$13:$P$13*(N336:Y336-1)/(1+AK336*(N336:Y336-1)))</f>
        <v>0</v>
      </c>
      <c r="AM336" s="60" t="n">
        <f aca="false">-SUMPRODUCT($E$13:$P$13*(N336:Y336-1)^2/(1+AK336*(N336:Y336-1))^2)</f>
        <v>-0</v>
      </c>
      <c r="AN336" s="60" t="n">
        <f aca="false">IF(OR(NOT(AB336),AM336=0),AK336,IF(AK336-AL336/AM336&lt;=AC336,(AK336+AC336)/2,IF(AK336-AL336/AM336&gt;=AD336,(AK336+AD336)/2,AK336-AL336/AM336)))</f>
        <v>1</v>
      </c>
      <c r="AO336" s="60" t="n">
        <f aca="false">SUMPRODUCT($E$13:$P$13*(N336:Y336-1)/(1+AN336*(N336:Y336-1)))</f>
        <v>0</v>
      </c>
      <c r="AP336" s="60" t="n">
        <f aca="false">-SUMPRODUCT($E$13:$P$13*(N336:Y336-1)^2/(1+AN336*(N336:Y336-1))^2)</f>
        <v>-0</v>
      </c>
      <c r="AQ336" s="60" t="n">
        <f aca="false">IF(OR(NOT(AB336),AP336=0),AN336,IF(AN336-AO336/AP336&lt;=AC336,(AN336+AC336)/2,IF(AN336-AO336/AP336&gt;=AD336,(AN336+AD336)/2,AN336-AO336/AP336)))</f>
        <v>1</v>
      </c>
      <c r="AR336" s="60" t="n">
        <f aca="false">SUMPRODUCT($E$13:$P$13*(N336:Y336-1)/(1+AQ336*(N336:Y336-1)))</f>
        <v>0</v>
      </c>
      <c r="AS336" s="60" t="n">
        <f aca="false">-SUMPRODUCT($E$13:$P$13*(N336:Y336-1)^2/(1+AQ336*(N336:Y336-1))^2)</f>
        <v>-0</v>
      </c>
      <c r="AT336" s="60" t="n">
        <f aca="false">IF(OR(NOT(AB336),AS336=0),AQ336,IF(AQ336-AR336/AS336&lt;=AC336,(AQ336+AC336)/2,IF(AQ336-AR336/AS336&gt;=AD336,(AQ336+AD336)/2,AQ336-AR336/AS336)))</f>
        <v>1</v>
      </c>
      <c r="AU336" s="60" t="n">
        <f aca="false">SUMPRODUCT($E$13:$P$13*(N336:Y336-1)/(1+AT336*(N336:Y336-1)))</f>
        <v>0</v>
      </c>
      <c r="AV336" s="60" t="n">
        <f aca="false">-SUMPRODUCT($E$13:$P$13*(N336:Y336-1)^2/(1+AT336*(N336:Y336-1))^2)</f>
        <v>-0</v>
      </c>
      <c r="AW336" s="60" t="n">
        <f aca="false">IF(OR(NOT(AB336),AV336=0),AT336,IF(AT336-AU336/AV336&lt;=AC336,(AT336+AC336)/2,IF(AT336-AU336/AV336&gt;=AD336,(AT336+AD336)/2,AT336-AU336/AV336)))</f>
        <v>1</v>
      </c>
      <c r="AX336" s="60" t="n">
        <f aca="false">SUMPRODUCT($E$13:$P$13*(N336:Y336-1)/(1+AW336*(N336:Y336-1)))</f>
        <v>0</v>
      </c>
      <c r="AY336" s="60" t="n">
        <f aca="false">-SUMPRODUCT($E$13:$P$13*(N336:Y336-1)^2/(1+AW336*(N336:Y336-1))^2)</f>
        <v>-0</v>
      </c>
      <c r="AZ336" s="60" t="n">
        <f aca="false">IF(OR(NOT(AB336),AY336=0),AW336,IF(AW336-AX336/AY336&lt;=AC336,(AW336+AC336)/2,IF(AW336-AX336/AY336&gt;=AD336,(AW336+AD336)/2,AW336-AX336/AY336)))</f>
        <v>1</v>
      </c>
      <c r="BA336" s="60" t="n">
        <f aca="false">SUMPRODUCT($E$13:$P$13*(N336:Y336-1)/(1+AZ336*(N336:Y336-1)))</f>
        <v>0</v>
      </c>
      <c r="BB336" s="60" t="n">
        <f aca="false">-SUMPRODUCT($E$13:$P$13*(N336:Y336-1)^2/(1+AZ336*(N336:Y336-1))^2)</f>
        <v>-0</v>
      </c>
      <c r="BC336" s="60" t="n">
        <f aca="false">IF(OR(NOT(AB336),BB336=0),AZ336,IF(AZ336-BA336/BB336&lt;=AC336,(AZ336+AC336)/2,IF(AZ336-BA336/BB336&gt;=AD336,(AZ336+AD336)/2,AZ336-BA336/BB336)))</f>
        <v>1</v>
      </c>
      <c r="BD336" s="60" t="n">
        <f aca="false">SUMPRODUCT($E$13:$P$13*(N336:Y336-1)/(1+BC336*(N336:Y336-1)))</f>
        <v>0</v>
      </c>
      <c r="BE336" s="60" t="n">
        <f aca="false">-SUMPRODUCT($E$13:$P$13*(N336:Y336-1)^2/(1+BC336*(N336:Y336-1))^2)</f>
        <v>-0</v>
      </c>
      <c r="BF336" s="60" t="n">
        <f aca="false">IF(OR(NOT(AB336),BE336=0),BC336,IF(BC336-BD336/BE336&lt;=AC336,(BC336+AC336)/2,IF(BC336-BD336/BE336&gt;=AD336,(BC336+AD336)/2,BC336-BD336/BE336)))</f>
        <v>1</v>
      </c>
      <c r="BG336" s="60" t="n">
        <f aca="false">SUMPRODUCT($E$13:$P$13*(N336:Y336-1)/(1+BF336*(N336:Y336-1)))</f>
        <v>0</v>
      </c>
      <c r="BH336" s="60" t="n">
        <f aca="false">-SUMPRODUCT($E$13:$P$13*(N336:Y336-1)^2/(1+BF336*(N336:Y336-1))^2)</f>
        <v>-0</v>
      </c>
      <c r="BI336" s="60" t="n">
        <f aca="false">IF(OR(NOT(AB336),BH336=0),BF336,IF(BF336-BG336/BH336&lt;=AC336,(BF336+AC336)/2,IF(BF336-BG336/BH336&gt;=AD336,(BF336+AD336)/2,BF336-BG336/BH336)))</f>
        <v>1</v>
      </c>
      <c r="BJ336" s="60" t="n">
        <f aca="false">$E$13/(1+BI336*(N336-1))</f>
        <v>1</v>
      </c>
      <c r="BK336" s="60" t="n">
        <f aca="false">$F$13/(1+BI336*(O336-1))</f>
        <v>0</v>
      </c>
      <c r="BL336" s="60" t="n">
        <f aca="false">$G$13/(1+BI336*(P336-1))</f>
        <v>0</v>
      </c>
      <c r="BM336" s="60" t="n">
        <f aca="false">$H$13/(1+BI336*(Q336-1))</f>
        <v>0</v>
      </c>
      <c r="BN336" s="60" t="n">
        <f aca="false">$I$13/(1+BI336*(R336-1))</f>
        <v>0</v>
      </c>
      <c r="BO336" s="60" t="n">
        <f aca="false">$J$13/(1+BI336*(S336-1))</f>
        <v>0</v>
      </c>
      <c r="BP336" s="60" t="n">
        <f aca="false">$K$13/(1+BI336*(T336-1))</f>
        <v>0</v>
      </c>
      <c r="BQ336" s="60" t="n">
        <f aca="false">$L$13/(1+BI336*(U336-1))</f>
        <v>0</v>
      </c>
      <c r="BR336" s="60" t="n">
        <f aca="false">$M$13/(1+BI336*(V336-1))</f>
        <v>0</v>
      </c>
      <c r="BS336" s="60" t="n">
        <f aca="false">$N$13/(1+BI336*(W336-1))</f>
        <v>0</v>
      </c>
      <c r="BT336" s="60" t="n">
        <f aca="false">$O$13/(1+BI336*(X336-1))</f>
        <v>0</v>
      </c>
      <c r="BU336" s="60" t="n">
        <f aca="false">$P$13/(1+BI336*(Y336-1))</f>
        <v>0</v>
      </c>
      <c r="BV336" s="60" t="n">
        <f aca="false">SUM(BJ336:BU336)</f>
        <v>1</v>
      </c>
      <c r="BW336" s="60" t="n">
        <f aca="false">SUMPRODUCT(N336:Y336,BJ336:BU336)</f>
        <v>1</v>
      </c>
      <c r="BX336" s="60" t="n">
        <f aca="false">BJ336/BV336</f>
        <v>1</v>
      </c>
      <c r="BY336" s="60" t="n">
        <f aca="false">BK336/BV336</f>
        <v>0</v>
      </c>
      <c r="BZ336" s="60" t="n">
        <f aca="false">BL336/BV336</f>
        <v>0</v>
      </c>
      <c r="CA336" s="60" t="n">
        <f aca="false">BM336/BV336</f>
        <v>0</v>
      </c>
      <c r="CB336" s="60" t="n">
        <f aca="false">BN336/BV336</f>
        <v>0</v>
      </c>
      <c r="CC336" s="60" t="n">
        <f aca="false">BO336/BV336</f>
        <v>0</v>
      </c>
      <c r="CD336" s="60" t="n">
        <f aca="false">BP336/BV336</f>
        <v>0</v>
      </c>
      <c r="CE336" s="60" t="n">
        <f aca="false">BQ336/BV336</f>
        <v>0</v>
      </c>
      <c r="CF336" s="60" t="n">
        <f aca="false">BR336/BV336</f>
        <v>0</v>
      </c>
      <c r="CG336" s="60" t="n">
        <f aca="false">BS336/BV336</f>
        <v>0</v>
      </c>
      <c r="CH336" s="60" t="n">
        <f aca="false">BT336/BV336</f>
        <v>0</v>
      </c>
      <c r="CI336" s="60" t="n">
        <f aca="false">BU336/BV336</f>
        <v>0</v>
      </c>
      <c r="CJ336" s="60" t="n">
        <f aca="false">N336*BJ336/BW336</f>
        <v>1</v>
      </c>
      <c r="CK336" s="60" t="n">
        <f aca="false">O336*BK336/BW336</f>
        <v>0</v>
      </c>
      <c r="CL336" s="60" t="n">
        <f aca="false">P336*BL336/BW336</f>
        <v>0</v>
      </c>
      <c r="CM336" s="60" t="n">
        <f aca="false">Q336*BM336/BW336</f>
        <v>0</v>
      </c>
      <c r="CN336" s="60" t="n">
        <f aca="false">R336*BN336/BW336</f>
        <v>0</v>
      </c>
      <c r="CO336" s="60" t="n">
        <f aca="false">S336*BO336/BW336</f>
        <v>0</v>
      </c>
      <c r="CP336" s="60" t="n">
        <f aca="false">T336*BP336/BW336</f>
        <v>0</v>
      </c>
      <c r="CQ336" s="60" t="n">
        <f aca="false">U336*BQ336/BW336</f>
        <v>0</v>
      </c>
      <c r="CR336" s="60" t="n">
        <f aca="false">V336*BR336/BW336</f>
        <v>0</v>
      </c>
      <c r="CS336" s="60" t="n">
        <f aca="false">W336*BS336/BW336</f>
        <v>0</v>
      </c>
      <c r="CT336" s="60" t="n">
        <f aca="false">X336*BT336/BW336</f>
        <v>0</v>
      </c>
      <c r="CU336" s="60" t="n">
        <f aca="false">Y336*BU336/BW336</f>
        <v>0</v>
      </c>
      <c r="CV336" s="60" t="n">
        <f aca="false">$E$28*SUMPRODUCT($E$31:$P$31,BX336:CI336,$E$28:$P$28)</f>
        <v>0.184416866619846</v>
      </c>
      <c r="CW336" s="60" t="n">
        <f aca="false">$F$28*SUMPRODUCT($E$32:$P$32,BX336:CI336,$E$28:$P$28)</f>
        <v>0</v>
      </c>
      <c r="CX336" s="60" t="n">
        <f aca="false">$G$28*SUMPRODUCT($E$33:$P$33,BX336:CI336,$E$28:$P$28)</f>
        <v>0</v>
      </c>
      <c r="CY336" s="60" t="n">
        <f aca="false">$H$28*SUMPRODUCT($E$34:$P$34,BX336:CI336,$E$28:$P$28)</f>
        <v>0</v>
      </c>
      <c r="CZ336" s="60" t="n">
        <f aca="false">$I$28*SUMPRODUCT($E$35:$P$35,BX336:CI336,$E$28:$P$28)</f>
        <v>0</v>
      </c>
      <c r="DA336" s="60" t="n">
        <f aca="false">$J$28*SUMPRODUCT($E$36:$P$36,BX336:CI336,$E$28:$P$28)</f>
        <v>0</v>
      </c>
      <c r="DB336" s="60" t="n">
        <f aca="false">$K$28*SUMPRODUCT($E$37:$P$37,BX336:CI336,$E$28:$P$28)</f>
        <v>0</v>
      </c>
      <c r="DC336" s="60" t="n">
        <f aca="false">$L$28*SUMPRODUCT($E$38:$P$38,BX336:CI336,$E$28:$P$28)</f>
        <v>0</v>
      </c>
      <c r="DD336" s="60" t="n">
        <f aca="false">$M$28*SUMPRODUCT($E$39:$P$39,BX336:CI336,$E$28:$P$28)</f>
        <v>0</v>
      </c>
      <c r="DE336" s="60" t="n">
        <f aca="false">$N$28*SUMPRODUCT($E$40:$P$40,BX336:CI336,$E$28:$P$28)</f>
        <v>0</v>
      </c>
      <c r="DF336" s="60" t="n">
        <f aca="false">$O$28*SUMPRODUCT($E$41:$P$41,BX336:CI336,$E$28:$P$28)</f>
        <v>0</v>
      </c>
      <c r="DG336" s="60" t="n">
        <f aca="false">$P$28*SUMPRODUCT($E$42:$P$42,BX336:CI336,$E$28:$P$28)</f>
        <v>0</v>
      </c>
      <c r="DH336" s="60" t="n">
        <f aca="false">SUMPRODUCT(BX336:CI336,CV336:DG336)</f>
        <v>0.184416866619846</v>
      </c>
      <c r="DI336" s="60" t="n">
        <f aca="false">SUMPRODUCT(BX336:CI336,$E$27:$P$27)</f>
        <v>2.67389635063809E-005</v>
      </c>
      <c r="DJ336" s="60" t="n">
        <f aca="false">DH336*$C$9/($C$10*$C$8)^2</f>
        <v>0.21776909410545</v>
      </c>
      <c r="DK336" s="60" t="n">
        <f aca="false">DI336*$C$9/($C$10*$C$8)</f>
        <v>0.0918845243259994</v>
      </c>
      <c r="DL336" s="60" t="n">
        <f aca="false">CHOOSE($C$7,-(1+DK336),-1,-(1-DK336))</f>
        <v>-0.908115475674001</v>
      </c>
      <c r="DM336" s="60" t="n">
        <f aca="false">CHOOSE($C$7,DJ336,DJ336-DK336-DK336^2,DJ336-3*DK336^2-2*DK336)</f>
        <v>0.00867174802160559</v>
      </c>
      <c r="DN336" s="60" t="n">
        <f aca="false">CHOOSE($C$7,-DJ336*DK336,-DJ336*DK336,-(DJ336*DK336-DK336^2-DK336^3))</f>
        <v>-0.0107910842936637</v>
      </c>
      <c r="DO336" s="60" t="n">
        <f aca="false">DM336-DL336^2/3</f>
        <v>-0.266219491031267</v>
      </c>
      <c r="DP336" s="60" t="n">
        <f aca="false">2*DL336^3/27-DL336*DM336/3+DN336</f>
        <v>-0.0636400988362784</v>
      </c>
      <c r="DQ336" s="60" t="n">
        <f aca="false">DP336^2/4+DO336^3/27</f>
        <v>0.000313710901361829</v>
      </c>
      <c r="DR336" s="60" t="n">
        <f aca="false">-DP336/2-IF(DP336&gt;=0,1,-1)*SQRT(MAX(DQ336,0))</f>
        <v>0.0495319352963236</v>
      </c>
      <c r="DS336" s="60" t="n">
        <f aca="false">SIGN(DR336)*ABS(DR336)^(1/3)</f>
        <v>0.367249967174439</v>
      </c>
      <c r="DT336" s="60" t="n">
        <f aca="false">IF(DS336=0,0,DS336-DO336/(3*DS336))</f>
        <v>0.60888329127384</v>
      </c>
      <c r="DU336" s="60" t="n">
        <f aca="false">2*SQRT(MAX(-DO336,0)/3)</f>
        <v>0.595784626668918</v>
      </c>
      <c r="DV336" s="60" t="n">
        <f aca="false">ACOS(IF(DU336=0,0,MAX(-1,MIN(1,3*DP336/(DO336*DU336)))))</f>
        <v>0</v>
      </c>
      <c r="DW336" s="60" t="n">
        <f aca="false">DU336*COS(DV336/3)</f>
        <v>0.595784626668918</v>
      </c>
      <c r="DX336" s="60" t="n">
        <f aca="false">IF(DQ336&lt;0,DW336,DT336)-DL336/3</f>
        <v>0.91158844983184</v>
      </c>
      <c r="DY336" s="60" t="n">
        <f aca="false">IFERROR((((DX336+DL336)*DX336+DM336)*DX336+DN336)/((3*DX336+2*DL336)*DX336+DM336),0)</f>
        <v>0</v>
      </c>
      <c r="DZ336" s="60" t="n">
        <f aca="false">IF(ABS(DY336)&lt;0.1*ABS(DX336),DX336-DY336,DX336)</f>
        <v>0.91158844983184</v>
      </c>
      <c r="EA336" s="60" t="n">
        <f aca="false">IFERROR((((DZ336+DL336)*DZ336+DM336)*DZ336+DN336)/((3*DZ336+2*DL336)*DZ336+DM336),0)</f>
        <v>0</v>
      </c>
      <c r="EB336" s="60" t="n">
        <f aca="false">IF(ABS(EA336)&lt;0.1*ABS(DZ336),DZ336-EA336,DZ336)</f>
        <v>0.91158844983184</v>
      </c>
      <c r="EC336" s="60" t="n">
        <f aca="false">-DN336/EB336</f>
        <v>0.0118376711504565</v>
      </c>
      <c r="ED336" s="60" t="n">
        <f aca="false">(DM336-EC336)/EB336</f>
        <v>-0.00347297415783941</v>
      </c>
      <c r="EE336" s="60" t="n">
        <f aca="false">ED336^2-4*EC336</f>
        <v>-0.0473386230523248</v>
      </c>
      <c r="EF336" s="60" t="n">
        <f aca="false">IF(EE336&gt;=0,(ED336+IF(ED336&gt;=0,1,-1)*SQRT(EE336))/2,0)</f>
        <v>0</v>
      </c>
      <c r="EG336" s="60" t="n">
        <f aca="false">IF(AND(EE336&gt;=0,EF336&lt;&gt;0),MIN(EF336,EC336/EF336),-1)</f>
        <v>-1</v>
      </c>
      <c r="EH336" s="60" t="n">
        <f aca="false">AND(EE336&gt;=0,EG336&gt;DK336,ABS(EB336-EG336)&gt;=0.00005*MAX(EB336,EG336))</f>
        <v>0</v>
      </c>
      <c r="EI336" s="60" t="n">
        <f aca="false">IF(EH336,IFERROR((((EG336+DL336)*EG336+DM336)*EG336+DN336)/((3*EG336+2*DL336)*EG336+DM336),0),0)</f>
        <v>0</v>
      </c>
      <c r="EJ336" s="60" t="n">
        <f aca="false">IF(ABS(EI336)&lt;0.1*ABS(EG336),EG336-EI336,EG336)</f>
        <v>-1</v>
      </c>
      <c r="EK336" s="60" t="n">
        <f aca="false">IF(EH336,IFERROR((((EJ336+DL336)*EJ336+DM336)*EJ336+DN336)/((3*EJ336+2*DL336)*EJ336+DM336),0),0)</f>
        <v>0</v>
      </c>
      <c r="EL336" s="60" t="n">
        <f aca="false">IF(ABS(EK336)&lt;0.1*ABS(EJ336),EJ336-EK336,EJ336)</f>
        <v>-1</v>
      </c>
      <c r="EM336" s="60" t="n">
        <f aca="false">IF(EH336,MAX(EB336,EL336),EB336)</f>
        <v>0.91158844983184</v>
      </c>
      <c r="EN336" s="60" t="n">
        <f aca="false">IF(EH336,MIN(EB336,EL336),-1)</f>
        <v>-1</v>
      </c>
      <c r="EO336" s="60" t="n">
        <f aca="false">CHOOSE($C$7,DJ336/EM336,DJ336/DK336*LN(1+DK336/EM336),DJ336/(2*SQRT(2)*DK336)*LN((EM336+(1+SQRT(2))*DK336)/(EM336+(1-SQRT(2))*DK336)))</f>
        <v>0.218240791233887</v>
      </c>
      <c r="EP336" s="60" t="n">
        <f aca="false">EM336-1-LN(EM336-DK336)-EO336</f>
        <v>-0.107840271021729</v>
      </c>
      <c r="EQ336" s="60" t="n">
        <f aca="false">IF(EH336,CHOOSE($C$7,DJ336/EN336,DJ336/DK336*LN(1+DK336/EN336),DJ336/(2*SQRT(2)*DK336)*LN((EN336+(1+SQRT(2))*DK336)/(EN336+(1-SQRT(2))*DK336))),0)</f>
        <v>0</v>
      </c>
      <c r="ER336" s="60" t="n">
        <f aca="false">IF(EH336,EN336-1-LN(EN336-DK336)-EQ336,0)</f>
        <v>0</v>
      </c>
      <c r="ES336" s="60" t="n">
        <f aca="false">AND(EH336,ER336&lt;EP336)</f>
        <v>0</v>
      </c>
      <c r="ET336" s="60" t="n">
        <f aca="false">IF(ES336,EN336,EM336)</f>
        <v>0.91158844983184</v>
      </c>
      <c r="EU336" s="60" t="n">
        <f aca="false">IF(ES336,EQ336,EO336)</f>
        <v>0.218240791233887</v>
      </c>
      <c r="EV336" s="60" t="n">
        <f aca="false">LN(ET336-DK336)</f>
        <v>-0.198812070380318</v>
      </c>
      <c r="EW336" s="60" t="n">
        <f aca="false">$E$27/DI336*(ET336-1)-EV336-EU336*(2*CV336/DH336-$E$27/DI336)</f>
        <v>-0.107840271021729</v>
      </c>
      <c r="EX336" s="60" t="n">
        <f aca="false">$F$27/DI336*(ET336-1)-EV336-EU336*(2*CW336/DH336-$F$27/DI336)</f>
        <v>0.198812070380318</v>
      </c>
      <c r="EY336" s="60" t="n">
        <f aca="false">$G$27/DI336*(ET336-1)-EV336-EU336*(2*CX336/DH336-$G$27/DI336)</f>
        <v>0.198812070380318</v>
      </c>
      <c r="EZ336" s="60" t="n">
        <f aca="false">$H$27/DI336*(ET336-1)-EV336-EU336*(2*CY336/DH336-$H$27/DI336)</f>
        <v>0.198812070380318</v>
      </c>
      <c r="FA336" s="60" t="n">
        <f aca="false">$I$27/DI336*(ET336-1)-EV336-EU336*(2*CZ336/DH336-$I$27/DI336)</f>
        <v>0.198812070380318</v>
      </c>
      <c r="FB336" s="60" t="n">
        <f aca="false">$J$27/DI336*(ET336-1)-EV336-EU336*(2*DA336/DH336-$J$27/DI336)</f>
        <v>0.198812070380318</v>
      </c>
      <c r="FC336" s="60" t="n">
        <f aca="false">$K$27/DI336*(ET336-1)-EV336-EU336*(2*DB336/DH336-$K$27/DI336)</f>
        <v>0.198812070380318</v>
      </c>
      <c r="FD336" s="60" t="n">
        <f aca="false">$L$27/DI336*(ET336-1)-EV336-EU336*(2*DC336/DH336-$L$27/DI336)</f>
        <v>0.198812070380318</v>
      </c>
      <c r="FE336" s="60" t="n">
        <f aca="false">$M$27/DI336*(ET336-1)-EV336-EU336*(2*DD336/DH336-$M$27/DI336)</f>
        <v>0.198812070380318</v>
      </c>
      <c r="FF336" s="60" t="n">
        <f aca="false">$N$27/DI336*(ET336-1)-EV336-EU336*(2*DE336/DH336-$N$27/DI336)</f>
        <v>0.198812070380318</v>
      </c>
      <c r="FG336" s="60" t="n">
        <f aca="false">$O$27/DI336*(ET336-1)-EV336-EU336*(2*DF336/DH336-$O$27/DI336)</f>
        <v>0.198812070380318</v>
      </c>
      <c r="FH336" s="60" t="n">
        <f aca="false">$P$27/DI336*(ET336-1)-EV336-EU336*(2*DG336/DH336-$P$27/DI336)</f>
        <v>0.198812070380318</v>
      </c>
      <c r="FI336" s="60" t="n">
        <f aca="false">DK336/ET336&gt;$C$22</f>
        <v>0</v>
      </c>
      <c r="FJ336" s="60" t="n">
        <f aca="false">$E$28*SUMPRODUCT($E$31:$P$31,CJ336:CU336,$E$28:$P$28)</f>
        <v>0.184416866619846</v>
      </c>
      <c r="FK336" s="60" t="n">
        <f aca="false">$F$28*SUMPRODUCT($E$32:$P$32,CJ336:CU336,$E$28:$P$28)</f>
        <v>0</v>
      </c>
      <c r="FL336" s="60" t="n">
        <f aca="false">$G$28*SUMPRODUCT($E$33:$P$33,CJ336:CU336,$E$28:$P$28)</f>
        <v>0</v>
      </c>
      <c r="FM336" s="60" t="n">
        <f aca="false">$H$28*SUMPRODUCT($E$34:$P$34,CJ336:CU336,$E$28:$P$28)</f>
        <v>0</v>
      </c>
      <c r="FN336" s="60" t="n">
        <f aca="false">$I$28*SUMPRODUCT($E$35:$P$35,CJ336:CU336,$E$28:$P$28)</f>
        <v>0</v>
      </c>
      <c r="FO336" s="60" t="n">
        <f aca="false">$J$28*SUMPRODUCT($E$36:$P$36,CJ336:CU336,$E$28:$P$28)</f>
        <v>0</v>
      </c>
      <c r="FP336" s="60" t="n">
        <f aca="false">$K$28*SUMPRODUCT($E$37:$P$37,CJ336:CU336,$E$28:$P$28)</f>
        <v>0</v>
      </c>
      <c r="FQ336" s="60" t="n">
        <f aca="false">$L$28*SUMPRODUCT($E$38:$P$38,CJ336:CU336,$E$28:$P$28)</f>
        <v>0</v>
      </c>
      <c r="FR336" s="60" t="n">
        <f aca="false">$M$28*SUMPRODUCT($E$39:$P$39,CJ336:CU336,$E$28:$P$28)</f>
        <v>0</v>
      </c>
      <c r="FS336" s="60" t="n">
        <f aca="false">$N$28*SUMPRODUCT($E$40:$P$40,CJ336:CU336,$E$28:$P$28)</f>
        <v>0</v>
      </c>
      <c r="FT336" s="60" t="n">
        <f aca="false">$O$28*SUMPRODUCT($E$41:$P$41,CJ336:CU336,$E$28:$P$28)</f>
        <v>0</v>
      </c>
      <c r="FU336" s="60" t="n">
        <f aca="false">$P$28*SUMPRODUCT($E$42:$P$42,CJ336:CU336,$E$28:$P$28)</f>
        <v>0</v>
      </c>
      <c r="FV336" s="60" t="n">
        <f aca="false">SUMPRODUCT(CJ336:CU336,FJ336:FU336)</f>
        <v>0.184416866619846</v>
      </c>
      <c r="FW336" s="60" t="n">
        <f aca="false">SUMPRODUCT(CJ336:CU336,$E$27:$P$27)</f>
        <v>2.67389635063809E-005</v>
      </c>
      <c r="FX336" s="60" t="n">
        <f aca="false">FV336*$C$9/($C$10*$C$8)^2</f>
        <v>0.21776909410545</v>
      </c>
      <c r="FY336" s="60" t="n">
        <f aca="false">FW336*$C$9/($C$10*$C$8)</f>
        <v>0.0918845243259994</v>
      </c>
      <c r="FZ336" s="60" t="n">
        <f aca="false">CHOOSE($C$7,-(1+FY336),-1,-(1-FY336))</f>
        <v>-0.908115475674001</v>
      </c>
      <c r="GA336" s="60" t="n">
        <f aca="false">CHOOSE($C$7,FX336,FX336-FY336-FY336^2,FX336-3*FY336^2-2*FY336)</f>
        <v>0.00867174802160559</v>
      </c>
      <c r="GB336" s="60" t="n">
        <f aca="false">CHOOSE($C$7,-FX336*FY336,-FX336*FY336,-(FX336*FY336-FY336^2-FY336^3))</f>
        <v>-0.0107910842936637</v>
      </c>
      <c r="GC336" s="60" t="n">
        <f aca="false">GA336-FZ336^2/3</f>
        <v>-0.266219491031267</v>
      </c>
      <c r="GD336" s="60" t="n">
        <f aca="false">2*FZ336^3/27-FZ336*GA336/3+GB336</f>
        <v>-0.0636400988362784</v>
      </c>
      <c r="GE336" s="60" t="n">
        <f aca="false">GD336^2/4+GC336^3/27</f>
        <v>0.000313710901361829</v>
      </c>
      <c r="GF336" s="60" t="n">
        <f aca="false">-GD336/2-IF(GD336&gt;=0,1,-1)*SQRT(MAX(GE336,0))</f>
        <v>0.0495319352963236</v>
      </c>
      <c r="GG336" s="60" t="n">
        <f aca="false">SIGN(GF336)*ABS(GF336)^(1/3)</f>
        <v>0.367249967174439</v>
      </c>
      <c r="GH336" s="60" t="n">
        <f aca="false">IF(GG336=0,0,GG336-GC336/(3*GG336))</f>
        <v>0.60888329127384</v>
      </c>
      <c r="GI336" s="60" t="n">
        <f aca="false">2*SQRT(MAX(-GC336,0)/3)</f>
        <v>0.595784626668918</v>
      </c>
      <c r="GJ336" s="60" t="n">
        <f aca="false">ACOS(IF(GI336=0,0,MAX(-1,MIN(1,3*GD336/(GC336*GI336)))))</f>
        <v>0</v>
      </c>
      <c r="GK336" s="60" t="n">
        <f aca="false">GI336*COS(GJ336/3)</f>
        <v>0.595784626668918</v>
      </c>
      <c r="GL336" s="60" t="n">
        <f aca="false">IF(GE336&lt;0,GK336,GH336)-FZ336/3</f>
        <v>0.91158844983184</v>
      </c>
      <c r="GM336" s="60" t="n">
        <f aca="false">IFERROR((((GL336+FZ336)*GL336+GA336)*GL336+GB336)/((3*GL336+2*FZ336)*GL336+GA336),0)</f>
        <v>0</v>
      </c>
      <c r="GN336" s="60" t="n">
        <f aca="false">IF(ABS(GM336)&lt;0.1*ABS(GL336),GL336-GM336,GL336)</f>
        <v>0.91158844983184</v>
      </c>
      <c r="GO336" s="60" t="n">
        <f aca="false">IFERROR((((GN336+FZ336)*GN336+GA336)*GN336+GB336)/((3*GN336+2*FZ336)*GN336+GA336),0)</f>
        <v>0</v>
      </c>
      <c r="GP336" s="60" t="n">
        <f aca="false">IF(ABS(GO336)&lt;0.1*ABS(GN336),GN336-GO336,GN336)</f>
        <v>0.91158844983184</v>
      </c>
      <c r="GQ336" s="60" t="n">
        <f aca="false">-GB336/GP336</f>
        <v>0.0118376711504565</v>
      </c>
      <c r="GR336" s="60" t="n">
        <f aca="false">(GA336-GQ336)/GP336</f>
        <v>-0.00347297415783941</v>
      </c>
      <c r="GS336" s="60" t="n">
        <f aca="false">GR336^2-4*GQ336</f>
        <v>-0.0473386230523248</v>
      </c>
      <c r="GT336" s="60" t="n">
        <f aca="false">IF(GS336&gt;=0,(GR336+IF(GR336&gt;=0,1,-1)*SQRT(GS336))/2,0)</f>
        <v>0</v>
      </c>
      <c r="GU336" s="60" t="n">
        <f aca="false">IF(AND(GS336&gt;=0,GT336&lt;&gt;0),MIN(GT336,GQ336/GT336),-1)</f>
        <v>-1</v>
      </c>
      <c r="GV336" s="60" t="n">
        <f aca="false">AND(GS336&gt;=0,GU336&gt;FY336,ABS(GP336-GU336)&gt;=0.00005*MAX(GP336,GU336))</f>
        <v>0</v>
      </c>
      <c r="GW336" s="60" t="n">
        <f aca="false">IF(GV336,IFERROR((((GU336+FZ336)*GU336+GA336)*GU336+GB336)/((3*GU336+2*FZ336)*GU336+GA336),0),0)</f>
        <v>0</v>
      </c>
      <c r="GX336" s="60" t="n">
        <f aca="false">IF(ABS(GW336)&lt;0.1*ABS(GU336),GU336-GW336,GU336)</f>
        <v>-1</v>
      </c>
      <c r="GY336" s="60" t="n">
        <f aca="false">IF(GV336,IFERROR((((GX336+FZ336)*GX336+GA336)*GX336+GB336)/((3*GX336+2*FZ336)*GX336+GA336),0),0)</f>
        <v>0</v>
      </c>
      <c r="GZ336" s="60" t="n">
        <f aca="false">IF(ABS(GY336)&lt;0.1*ABS(GX336),GX336-GY336,GX336)</f>
        <v>-1</v>
      </c>
      <c r="HA336" s="60" t="n">
        <f aca="false">IF(GV336,MAX(GP336,GZ336),GP336)</f>
        <v>0.91158844983184</v>
      </c>
      <c r="HB336" s="60" t="n">
        <f aca="false">IF(GV336,MIN(GP336,GZ336),-1)</f>
        <v>-1</v>
      </c>
      <c r="HC336" s="60" t="n">
        <f aca="false">CHOOSE($C$7,FX336/HA336,FX336/FY336*LN(1+FY336/HA336),FX336/(2*SQRT(2)*FY336)*LN((HA336+(1+SQRT(2))*FY336)/(HA336+(1-SQRT(2))*FY336)))</f>
        <v>0.218240791233887</v>
      </c>
      <c r="HD336" s="60" t="n">
        <f aca="false">HA336-1-LN(HA336-FY336)-HC336</f>
        <v>-0.107840271021729</v>
      </c>
      <c r="HE336" s="60" t="n">
        <f aca="false">IF(GV336,CHOOSE($C$7,FX336/HB336,FX336/FY336*LN(1+FY336/HB336),FX336/(2*SQRT(2)*FY336)*LN((HB336+(1+SQRT(2))*FY336)/(HB336+(1-SQRT(2))*FY336))),0)</f>
        <v>0</v>
      </c>
      <c r="HF336" s="60" t="n">
        <f aca="false">IF(GV336,HB336-1-LN(HB336-FY336)-HE336,0)</f>
        <v>0</v>
      </c>
      <c r="HG336" s="60" t="n">
        <f aca="false">AND(GV336,HF336&lt;HD336)</f>
        <v>0</v>
      </c>
      <c r="HH336" s="60" t="n">
        <f aca="false">IF(HG336,HB336,HA336)</f>
        <v>0.91158844983184</v>
      </c>
      <c r="HI336" s="60" t="n">
        <f aca="false">IF(HG336,HE336,HC336)</f>
        <v>0.218240791233887</v>
      </c>
      <c r="HJ336" s="60" t="n">
        <f aca="false">LN(HH336-FY336)</f>
        <v>-0.198812070380318</v>
      </c>
      <c r="HK336" s="60" t="n">
        <f aca="false">$E$27/FW336*(HH336-1)-HJ336-HI336*(2*FJ336/FV336-$E$27/FW336)</f>
        <v>-0.107840271021729</v>
      </c>
      <c r="HL336" s="60" t="n">
        <f aca="false">$F$27/FW336*(HH336-1)-HJ336-HI336*(2*FK336/FV336-$F$27/FW336)</f>
        <v>0.198812070380318</v>
      </c>
      <c r="HM336" s="60" t="n">
        <f aca="false">$G$27/FW336*(HH336-1)-HJ336-HI336*(2*FL336/FV336-$G$27/FW336)</f>
        <v>0.198812070380318</v>
      </c>
      <c r="HN336" s="60" t="n">
        <f aca="false">$H$27/FW336*(HH336-1)-HJ336-HI336*(2*FM336/FV336-$H$27/FW336)</f>
        <v>0.198812070380318</v>
      </c>
      <c r="HO336" s="60" t="n">
        <f aca="false">$I$27/FW336*(HH336-1)-HJ336-HI336*(2*FN336/FV336-$I$27/FW336)</f>
        <v>0.198812070380318</v>
      </c>
      <c r="HP336" s="60" t="n">
        <f aca="false">$J$27/FW336*(HH336-1)-HJ336-HI336*(2*FO336/FV336-$J$27/FW336)</f>
        <v>0.198812070380318</v>
      </c>
      <c r="HQ336" s="60" t="n">
        <f aca="false">$K$27/FW336*(HH336-1)-HJ336-HI336*(2*FP336/FV336-$K$27/FW336)</f>
        <v>0.198812070380318</v>
      </c>
      <c r="HR336" s="60" t="n">
        <f aca="false">$L$27/FW336*(HH336-1)-HJ336-HI336*(2*FQ336/FV336-$L$27/FW336)</f>
        <v>0.198812070380318</v>
      </c>
      <c r="HS336" s="60" t="n">
        <f aca="false">$M$27/FW336*(HH336-1)-HJ336-HI336*(2*FR336/FV336-$M$27/FW336)</f>
        <v>0.198812070380318</v>
      </c>
      <c r="HT336" s="60" t="n">
        <f aca="false">$N$27/FW336*(HH336-1)-HJ336-HI336*(2*FS336/FV336-$N$27/FW336)</f>
        <v>0.198812070380318</v>
      </c>
      <c r="HU336" s="60" t="n">
        <f aca="false">$O$27/FW336*(HH336-1)-HJ336-HI336*(2*FT336/FV336-$O$27/FW336)</f>
        <v>0.198812070380318</v>
      </c>
      <c r="HV336" s="60" t="n">
        <f aca="false">$P$27/FW336*(HH336-1)-HJ336-HI336*(2*FU336/FV336-$P$27/FW336)</f>
        <v>0.198812070380318</v>
      </c>
      <c r="HW336" s="60" t="n">
        <f aca="false">FY336/HH336&gt;$C$22</f>
        <v>0</v>
      </c>
      <c r="HX336" s="60" t="n">
        <f aca="false">IF($E$13&gt;0,MAX(-300,MIN(300,EW336-HK336)),0)</f>
        <v>0</v>
      </c>
      <c r="HY336" s="60" t="n">
        <f aca="false">IF($F$13&gt;0,MAX(-300,MIN(300,EX336-HL336)),0)</f>
        <v>0</v>
      </c>
      <c r="HZ336" s="60" t="n">
        <f aca="false">IF($G$13&gt;0,MAX(-300,MIN(300,EY336-HM336)),0)</f>
        <v>0</v>
      </c>
      <c r="IA336" s="60" t="n">
        <f aca="false">IF($H$13&gt;0,MAX(-300,MIN(300,EZ336-HN336)),0)</f>
        <v>0</v>
      </c>
      <c r="IB336" s="60" t="n">
        <f aca="false">IF($I$13&gt;0,MAX(-300,MIN(300,FA336-HO336)),0)</f>
        <v>0</v>
      </c>
      <c r="IC336" s="60" t="n">
        <f aca="false">IF($J$13&gt;0,MAX(-300,MIN(300,FB336-HP336)),0)</f>
        <v>0</v>
      </c>
      <c r="ID336" s="60" t="n">
        <f aca="false">IF($K$13&gt;0,MAX(-300,MIN(300,FC336-HQ336)),0)</f>
        <v>0</v>
      </c>
      <c r="IE336" s="60" t="n">
        <f aca="false">IF($L$13&gt;0,MAX(-300,MIN(300,FD336-HR336)),0)</f>
        <v>0</v>
      </c>
      <c r="IF336" s="60" t="n">
        <f aca="false">IF($M$13&gt;0,MAX(-300,MIN(300,FE336-HS336)),0)</f>
        <v>0</v>
      </c>
      <c r="IG336" s="60" t="n">
        <f aca="false">IF($N$13&gt;0,MAX(-300,MIN(300,FF336-HT336)),0)</f>
        <v>0</v>
      </c>
      <c r="IH336" s="60" t="n">
        <f aca="false">IF($O$13&gt;0,MAX(-300,MIN(300,FG336-HU336)),0)</f>
        <v>0</v>
      </c>
      <c r="II336" s="60" t="n">
        <f aca="false">IF($P$13&gt;0,MAX(-300,MIN(300,FH336-HV336)),0)</f>
        <v>0</v>
      </c>
      <c r="IJ336" s="60" t="n">
        <f aca="false">SUMXMY2(HX336:II336,B336:M336)</f>
        <v>0</v>
      </c>
      <c r="IK336" s="60" t="n">
        <f aca="false">SUMSQ(B336:M336)</f>
        <v>0</v>
      </c>
    </row>
    <row r="337" customFormat="false" ht="15" hidden="false" customHeight="false" outlineLevel="0" collapsed="false">
      <c r="A337" s="59" t="n">
        <v>40</v>
      </c>
      <c r="B337" s="60" t="n">
        <f aca="false">HX336</f>
        <v>0</v>
      </c>
      <c r="C337" s="60" t="n">
        <f aca="false">HY336</f>
        <v>0</v>
      </c>
      <c r="D337" s="60" t="n">
        <f aca="false">HZ336</f>
        <v>0</v>
      </c>
      <c r="E337" s="60" t="n">
        <f aca="false">IA336</f>
        <v>0</v>
      </c>
      <c r="F337" s="60" t="n">
        <f aca="false">IB336</f>
        <v>0</v>
      </c>
      <c r="G337" s="60" t="n">
        <f aca="false">IC336</f>
        <v>0</v>
      </c>
      <c r="H337" s="60" t="n">
        <f aca="false">ID336</f>
        <v>0</v>
      </c>
      <c r="I337" s="60" t="n">
        <f aca="false">IE336</f>
        <v>0</v>
      </c>
      <c r="J337" s="60" t="n">
        <f aca="false">IF336</f>
        <v>0</v>
      </c>
      <c r="K337" s="60" t="n">
        <f aca="false">IG336</f>
        <v>0</v>
      </c>
      <c r="L337" s="60" t="n">
        <f aca="false">IH336</f>
        <v>0</v>
      </c>
      <c r="M337" s="60" t="n">
        <f aca="false">II336</f>
        <v>0</v>
      </c>
      <c r="N337" s="60" t="n">
        <f aca="false">EXP(B337)</f>
        <v>1</v>
      </c>
      <c r="O337" s="60" t="n">
        <f aca="false">EXP(C337)</f>
        <v>1</v>
      </c>
      <c r="P337" s="60" t="n">
        <f aca="false">EXP(D337)</f>
        <v>1</v>
      </c>
      <c r="Q337" s="60" t="n">
        <f aca="false">EXP(E337)</f>
        <v>1</v>
      </c>
      <c r="R337" s="60" t="n">
        <f aca="false">EXP(F337)</f>
        <v>1</v>
      </c>
      <c r="S337" s="60" t="n">
        <f aca="false">EXP(G337)</f>
        <v>1</v>
      </c>
      <c r="T337" s="60" t="n">
        <f aca="false">EXP(H337)</f>
        <v>1</v>
      </c>
      <c r="U337" s="60" t="n">
        <f aca="false">EXP(I337)</f>
        <v>1</v>
      </c>
      <c r="V337" s="60" t="n">
        <f aca="false">EXP(J337)</f>
        <v>1</v>
      </c>
      <c r="W337" s="60" t="n">
        <f aca="false">EXP(K337)</f>
        <v>1</v>
      </c>
      <c r="X337" s="60" t="n">
        <f aca="false">EXP(L337)</f>
        <v>1</v>
      </c>
      <c r="Y337" s="60" t="n">
        <f aca="false">EXP(M337)</f>
        <v>1</v>
      </c>
      <c r="Z337" s="60" t="n">
        <f aca="false">MAX(N337:Y337)</f>
        <v>1</v>
      </c>
      <c r="AA337" s="60" t="n">
        <f aca="false">MIN(N337:Y337)</f>
        <v>1</v>
      </c>
      <c r="AB337" s="60" t="n">
        <f aca="false">AND(Z337&gt;1,AA337&lt;1)</f>
        <v>0</v>
      </c>
      <c r="AC337" s="60" t="n">
        <f aca="false">IF(AB337,1/(1-Z337),0)</f>
        <v>0</v>
      </c>
      <c r="AD337" s="60" t="n">
        <f aca="false">IF(AB337,1/(1-AA337),1)</f>
        <v>1</v>
      </c>
      <c r="AE337" s="60" t="n">
        <f aca="false">IF(AB337,MIN(MAX(BI336,AC337+0.000000001*(AD337-AC337)),AD337-0.000000001*(AD337-AC337)),IF(AA337&gt;=1,1,0))</f>
        <v>1</v>
      </c>
      <c r="AF337" s="60" t="n">
        <f aca="false">SUMPRODUCT($E$13:$P$13*(N337:Y337-1)/(1+AE337*(N337:Y337-1)))</f>
        <v>0</v>
      </c>
      <c r="AG337" s="60" t="n">
        <f aca="false">-SUMPRODUCT($E$13:$P$13*(N337:Y337-1)^2/(1+AE337*(N337:Y337-1))^2)</f>
        <v>-0</v>
      </c>
      <c r="AH337" s="60" t="n">
        <f aca="false">IF(OR(NOT(AB337),AG337=0),AE337,IF(AE337-AF337/AG337&lt;=AC337,(AE337+AC337)/2,IF(AE337-AF337/AG337&gt;=AD337,(AE337+AD337)/2,AE337-AF337/AG337)))</f>
        <v>1</v>
      </c>
      <c r="AI337" s="60" t="n">
        <f aca="false">SUMPRODUCT($E$13:$P$13*(N337:Y337-1)/(1+AH337*(N337:Y337-1)))</f>
        <v>0</v>
      </c>
      <c r="AJ337" s="60" t="n">
        <f aca="false">-SUMPRODUCT($E$13:$P$13*(N337:Y337-1)^2/(1+AH337*(N337:Y337-1))^2)</f>
        <v>-0</v>
      </c>
      <c r="AK337" s="60" t="n">
        <f aca="false">IF(OR(NOT(AB337),AJ337=0),AH337,IF(AH337-AI337/AJ337&lt;=AC337,(AH337+AC337)/2,IF(AH337-AI337/AJ337&gt;=AD337,(AH337+AD337)/2,AH337-AI337/AJ337)))</f>
        <v>1</v>
      </c>
      <c r="AL337" s="60" t="n">
        <f aca="false">SUMPRODUCT($E$13:$P$13*(N337:Y337-1)/(1+AK337*(N337:Y337-1)))</f>
        <v>0</v>
      </c>
      <c r="AM337" s="60" t="n">
        <f aca="false">-SUMPRODUCT($E$13:$P$13*(N337:Y337-1)^2/(1+AK337*(N337:Y337-1))^2)</f>
        <v>-0</v>
      </c>
      <c r="AN337" s="60" t="n">
        <f aca="false">IF(OR(NOT(AB337),AM337=0),AK337,IF(AK337-AL337/AM337&lt;=AC337,(AK337+AC337)/2,IF(AK337-AL337/AM337&gt;=AD337,(AK337+AD337)/2,AK337-AL337/AM337)))</f>
        <v>1</v>
      </c>
      <c r="AO337" s="60" t="n">
        <f aca="false">SUMPRODUCT($E$13:$P$13*(N337:Y337-1)/(1+AN337*(N337:Y337-1)))</f>
        <v>0</v>
      </c>
      <c r="AP337" s="60" t="n">
        <f aca="false">-SUMPRODUCT($E$13:$P$13*(N337:Y337-1)^2/(1+AN337*(N337:Y337-1))^2)</f>
        <v>-0</v>
      </c>
      <c r="AQ337" s="60" t="n">
        <f aca="false">IF(OR(NOT(AB337),AP337=0),AN337,IF(AN337-AO337/AP337&lt;=AC337,(AN337+AC337)/2,IF(AN337-AO337/AP337&gt;=AD337,(AN337+AD337)/2,AN337-AO337/AP337)))</f>
        <v>1</v>
      </c>
      <c r="AR337" s="60" t="n">
        <f aca="false">SUMPRODUCT($E$13:$P$13*(N337:Y337-1)/(1+AQ337*(N337:Y337-1)))</f>
        <v>0</v>
      </c>
      <c r="AS337" s="60" t="n">
        <f aca="false">-SUMPRODUCT($E$13:$P$13*(N337:Y337-1)^2/(1+AQ337*(N337:Y337-1))^2)</f>
        <v>-0</v>
      </c>
      <c r="AT337" s="60" t="n">
        <f aca="false">IF(OR(NOT(AB337),AS337=0),AQ337,IF(AQ337-AR337/AS337&lt;=AC337,(AQ337+AC337)/2,IF(AQ337-AR337/AS337&gt;=AD337,(AQ337+AD337)/2,AQ337-AR337/AS337)))</f>
        <v>1</v>
      </c>
      <c r="AU337" s="60" t="n">
        <f aca="false">SUMPRODUCT($E$13:$P$13*(N337:Y337-1)/(1+AT337*(N337:Y337-1)))</f>
        <v>0</v>
      </c>
      <c r="AV337" s="60" t="n">
        <f aca="false">-SUMPRODUCT($E$13:$P$13*(N337:Y337-1)^2/(1+AT337*(N337:Y337-1))^2)</f>
        <v>-0</v>
      </c>
      <c r="AW337" s="60" t="n">
        <f aca="false">IF(OR(NOT(AB337),AV337=0),AT337,IF(AT337-AU337/AV337&lt;=AC337,(AT337+AC337)/2,IF(AT337-AU337/AV337&gt;=AD337,(AT337+AD337)/2,AT337-AU337/AV337)))</f>
        <v>1</v>
      </c>
      <c r="AX337" s="60" t="n">
        <f aca="false">SUMPRODUCT($E$13:$P$13*(N337:Y337-1)/(1+AW337*(N337:Y337-1)))</f>
        <v>0</v>
      </c>
      <c r="AY337" s="60" t="n">
        <f aca="false">-SUMPRODUCT($E$13:$P$13*(N337:Y337-1)^2/(1+AW337*(N337:Y337-1))^2)</f>
        <v>-0</v>
      </c>
      <c r="AZ337" s="60" t="n">
        <f aca="false">IF(OR(NOT(AB337),AY337=0),AW337,IF(AW337-AX337/AY337&lt;=AC337,(AW337+AC337)/2,IF(AW337-AX337/AY337&gt;=AD337,(AW337+AD337)/2,AW337-AX337/AY337)))</f>
        <v>1</v>
      </c>
      <c r="BA337" s="60" t="n">
        <f aca="false">SUMPRODUCT($E$13:$P$13*(N337:Y337-1)/(1+AZ337*(N337:Y337-1)))</f>
        <v>0</v>
      </c>
      <c r="BB337" s="60" t="n">
        <f aca="false">-SUMPRODUCT($E$13:$P$13*(N337:Y337-1)^2/(1+AZ337*(N337:Y337-1))^2)</f>
        <v>-0</v>
      </c>
      <c r="BC337" s="60" t="n">
        <f aca="false">IF(OR(NOT(AB337),BB337=0),AZ337,IF(AZ337-BA337/BB337&lt;=AC337,(AZ337+AC337)/2,IF(AZ337-BA337/BB337&gt;=AD337,(AZ337+AD337)/2,AZ337-BA337/BB337)))</f>
        <v>1</v>
      </c>
      <c r="BD337" s="60" t="n">
        <f aca="false">SUMPRODUCT($E$13:$P$13*(N337:Y337-1)/(1+BC337*(N337:Y337-1)))</f>
        <v>0</v>
      </c>
      <c r="BE337" s="60" t="n">
        <f aca="false">-SUMPRODUCT($E$13:$P$13*(N337:Y337-1)^2/(1+BC337*(N337:Y337-1))^2)</f>
        <v>-0</v>
      </c>
      <c r="BF337" s="60" t="n">
        <f aca="false">IF(OR(NOT(AB337),BE337=0),BC337,IF(BC337-BD337/BE337&lt;=AC337,(BC337+AC337)/2,IF(BC337-BD337/BE337&gt;=AD337,(BC337+AD337)/2,BC337-BD337/BE337)))</f>
        <v>1</v>
      </c>
      <c r="BG337" s="60" t="n">
        <f aca="false">SUMPRODUCT($E$13:$P$13*(N337:Y337-1)/(1+BF337*(N337:Y337-1)))</f>
        <v>0</v>
      </c>
      <c r="BH337" s="60" t="n">
        <f aca="false">-SUMPRODUCT($E$13:$P$13*(N337:Y337-1)^2/(1+BF337*(N337:Y337-1))^2)</f>
        <v>-0</v>
      </c>
      <c r="BI337" s="60" t="n">
        <f aca="false">IF(OR(NOT(AB337),BH337=0),BF337,IF(BF337-BG337/BH337&lt;=AC337,(BF337+AC337)/2,IF(BF337-BG337/BH337&gt;=AD337,(BF337+AD337)/2,BF337-BG337/BH337)))</f>
        <v>1</v>
      </c>
      <c r="BJ337" s="60" t="n">
        <f aca="false">$E$13/(1+BI337*(N337-1))</f>
        <v>1</v>
      </c>
      <c r="BK337" s="60" t="n">
        <f aca="false">$F$13/(1+BI337*(O337-1))</f>
        <v>0</v>
      </c>
      <c r="BL337" s="60" t="n">
        <f aca="false">$G$13/(1+BI337*(P337-1))</f>
        <v>0</v>
      </c>
      <c r="BM337" s="60" t="n">
        <f aca="false">$H$13/(1+BI337*(Q337-1))</f>
        <v>0</v>
      </c>
      <c r="BN337" s="60" t="n">
        <f aca="false">$I$13/(1+BI337*(R337-1))</f>
        <v>0</v>
      </c>
      <c r="BO337" s="60" t="n">
        <f aca="false">$J$13/(1+BI337*(S337-1))</f>
        <v>0</v>
      </c>
      <c r="BP337" s="60" t="n">
        <f aca="false">$K$13/(1+BI337*(T337-1))</f>
        <v>0</v>
      </c>
      <c r="BQ337" s="60" t="n">
        <f aca="false">$L$13/(1+BI337*(U337-1))</f>
        <v>0</v>
      </c>
      <c r="BR337" s="60" t="n">
        <f aca="false">$M$13/(1+BI337*(V337-1))</f>
        <v>0</v>
      </c>
      <c r="BS337" s="60" t="n">
        <f aca="false">$N$13/(1+BI337*(W337-1))</f>
        <v>0</v>
      </c>
      <c r="BT337" s="60" t="n">
        <f aca="false">$O$13/(1+BI337*(X337-1))</f>
        <v>0</v>
      </c>
      <c r="BU337" s="60" t="n">
        <f aca="false">$P$13/(1+BI337*(Y337-1))</f>
        <v>0</v>
      </c>
      <c r="BV337" s="60" t="n">
        <f aca="false">SUM(BJ337:BU337)</f>
        <v>1</v>
      </c>
      <c r="BW337" s="60" t="n">
        <f aca="false">SUMPRODUCT(N337:Y337,BJ337:BU337)</f>
        <v>1</v>
      </c>
      <c r="BX337" s="60" t="n">
        <f aca="false">BJ337/BV337</f>
        <v>1</v>
      </c>
      <c r="BY337" s="60" t="n">
        <f aca="false">BK337/BV337</f>
        <v>0</v>
      </c>
      <c r="BZ337" s="60" t="n">
        <f aca="false">BL337/BV337</f>
        <v>0</v>
      </c>
      <c r="CA337" s="60" t="n">
        <f aca="false">BM337/BV337</f>
        <v>0</v>
      </c>
      <c r="CB337" s="60" t="n">
        <f aca="false">BN337/BV337</f>
        <v>0</v>
      </c>
      <c r="CC337" s="60" t="n">
        <f aca="false">BO337/BV337</f>
        <v>0</v>
      </c>
      <c r="CD337" s="60" t="n">
        <f aca="false">BP337/BV337</f>
        <v>0</v>
      </c>
      <c r="CE337" s="60" t="n">
        <f aca="false">BQ337/BV337</f>
        <v>0</v>
      </c>
      <c r="CF337" s="60" t="n">
        <f aca="false">BR337/BV337</f>
        <v>0</v>
      </c>
      <c r="CG337" s="60" t="n">
        <f aca="false">BS337/BV337</f>
        <v>0</v>
      </c>
      <c r="CH337" s="60" t="n">
        <f aca="false">BT337/BV337</f>
        <v>0</v>
      </c>
      <c r="CI337" s="60" t="n">
        <f aca="false">BU337/BV337</f>
        <v>0</v>
      </c>
      <c r="CJ337" s="60" t="n">
        <f aca="false">N337*BJ337/BW337</f>
        <v>1</v>
      </c>
      <c r="CK337" s="60" t="n">
        <f aca="false">O337*BK337/BW337</f>
        <v>0</v>
      </c>
      <c r="CL337" s="60" t="n">
        <f aca="false">P337*BL337/BW337</f>
        <v>0</v>
      </c>
      <c r="CM337" s="60" t="n">
        <f aca="false">Q337*BM337/BW337</f>
        <v>0</v>
      </c>
      <c r="CN337" s="60" t="n">
        <f aca="false">R337*BN337/BW337</f>
        <v>0</v>
      </c>
      <c r="CO337" s="60" t="n">
        <f aca="false">S337*BO337/BW337</f>
        <v>0</v>
      </c>
      <c r="CP337" s="60" t="n">
        <f aca="false">T337*BP337/BW337</f>
        <v>0</v>
      </c>
      <c r="CQ337" s="60" t="n">
        <f aca="false">U337*BQ337/BW337</f>
        <v>0</v>
      </c>
      <c r="CR337" s="60" t="n">
        <f aca="false">V337*BR337/BW337</f>
        <v>0</v>
      </c>
      <c r="CS337" s="60" t="n">
        <f aca="false">W337*BS337/BW337</f>
        <v>0</v>
      </c>
      <c r="CT337" s="60" t="n">
        <f aca="false">X337*BT337/BW337</f>
        <v>0</v>
      </c>
      <c r="CU337" s="60" t="n">
        <f aca="false">Y337*BU337/BW337</f>
        <v>0</v>
      </c>
      <c r="CV337" s="60" t="n">
        <f aca="false">$E$28*SUMPRODUCT($E$31:$P$31,BX337:CI337,$E$28:$P$28)</f>
        <v>0.184416866619846</v>
      </c>
      <c r="CW337" s="60" t="n">
        <f aca="false">$F$28*SUMPRODUCT($E$32:$P$32,BX337:CI337,$E$28:$P$28)</f>
        <v>0</v>
      </c>
      <c r="CX337" s="60" t="n">
        <f aca="false">$G$28*SUMPRODUCT($E$33:$P$33,BX337:CI337,$E$28:$P$28)</f>
        <v>0</v>
      </c>
      <c r="CY337" s="60" t="n">
        <f aca="false">$H$28*SUMPRODUCT($E$34:$P$34,BX337:CI337,$E$28:$P$28)</f>
        <v>0</v>
      </c>
      <c r="CZ337" s="60" t="n">
        <f aca="false">$I$28*SUMPRODUCT($E$35:$P$35,BX337:CI337,$E$28:$P$28)</f>
        <v>0</v>
      </c>
      <c r="DA337" s="60" t="n">
        <f aca="false">$J$28*SUMPRODUCT($E$36:$P$36,BX337:CI337,$E$28:$P$28)</f>
        <v>0</v>
      </c>
      <c r="DB337" s="60" t="n">
        <f aca="false">$K$28*SUMPRODUCT($E$37:$P$37,BX337:CI337,$E$28:$P$28)</f>
        <v>0</v>
      </c>
      <c r="DC337" s="60" t="n">
        <f aca="false">$L$28*SUMPRODUCT($E$38:$P$38,BX337:CI337,$E$28:$P$28)</f>
        <v>0</v>
      </c>
      <c r="DD337" s="60" t="n">
        <f aca="false">$M$28*SUMPRODUCT($E$39:$P$39,BX337:CI337,$E$28:$P$28)</f>
        <v>0</v>
      </c>
      <c r="DE337" s="60" t="n">
        <f aca="false">$N$28*SUMPRODUCT($E$40:$P$40,BX337:CI337,$E$28:$P$28)</f>
        <v>0</v>
      </c>
      <c r="DF337" s="60" t="n">
        <f aca="false">$O$28*SUMPRODUCT($E$41:$P$41,BX337:CI337,$E$28:$P$28)</f>
        <v>0</v>
      </c>
      <c r="DG337" s="60" t="n">
        <f aca="false">$P$28*SUMPRODUCT($E$42:$P$42,BX337:CI337,$E$28:$P$28)</f>
        <v>0</v>
      </c>
      <c r="DH337" s="60" t="n">
        <f aca="false">SUMPRODUCT(BX337:CI337,CV337:DG337)</f>
        <v>0.184416866619846</v>
      </c>
      <c r="DI337" s="60" t="n">
        <f aca="false">SUMPRODUCT(BX337:CI337,$E$27:$P$27)</f>
        <v>2.67389635063809E-005</v>
      </c>
      <c r="DJ337" s="60" t="n">
        <f aca="false">DH337*$C$9/($C$10*$C$8)^2</f>
        <v>0.21776909410545</v>
      </c>
      <c r="DK337" s="60" t="n">
        <f aca="false">DI337*$C$9/($C$10*$C$8)</f>
        <v>0.0918845243259994</v>
      </c>
      <c r="DL337" s="60" t="n">
        <f aca="false">CHOOSE($C$7,-(1+DK337),-1,-(1-DK337))</f>
        <v>-0.908115475674001</v>
      </c>
      <c r="DM337" s="60" t="n">
        <f aca="false">CHOOSE($C$7,DJ337,DJ337-DK337-DK337^2,DJ337-3*DK337^2-2*DK337)</f>
        <v>0.00867174802160559</v>
      </c>
      <c r="DN337" s="60" t="n">
        <f aca="false">CHOOSE($C$7,-DJ337*DK337,-DJ337*DK337,-(DJ337*DK337-DK337^2-DK337^3))</f>
        <v>-0.0107910842936637</v>
      </c>
      <c r="DO337" s="60" t="n">
        <f aca="false">DM337-DL337^2/3</f>
        <v>-0.266219491031267</v>
      </c>
      <c r="DP337" s="60" t="n">
        <f aca="false">2*DL337^3/27-DL337*DM337/3+DN337</f>
        <v>-0.0636400988362784</v>
      </c>
      <c r="DQ337" s="60" t="n">
        <f aca="false">DP337^2/4+DO337^3/27</f>
        <v>0.000313710901361829</v>
      </c>
      <c r="DR337" s="60" t="n">
        <f aca="false">-DP337/2-IF(DP337&gt;=0,1,-1)*SQRT(MAX(DQ337,0))</f>
        <v>0.0495319352963236</v>
      </c>
      <c r="DS337" s="60" t="n">
        <f aca="false">SIGN(DR337)*ABS(DR337)^(1/3)</f>
        <v>0.367249967174439</v>
      </c>
      <c r="DT337" s="60" t="n">
        <f aca="false">IF(DS337=0,0,DS337-DO337/(3*DS337))</f>
        <v>0.60888329127384</v>
      </c>
      <c r="DU337" s="60" t="n">
        <f aca="false">2*SQRT(MAX(-DO337,0)/3)</f>
        <v>0.595784626668918</v>
      </c>
      <c r="DV337" s="60" t="n">
        <f aca="false">ACOS(IF(DU337=0,0,MAX(-1,MIN(1,3*DP337/(DO337*DU337)))))</f>
        <v>0</v>
      </c>
      <c r="DW337" s="60" t="n">
        <f aca="false">DU337*COS(DV337/3)</f>
        <v>0.595784626668918</v>
      </c>
      <c r="DX337" s="60" t="n">
        <f aca="false">IF(DQ337&lt;0,DW337,DT337)-DL337/3</f>
        <v>0.91158844983184</v>
      </c>
      <c r="DY337" s="60" t="n">
        <f aca="false">IFERROR((((DX337+DL337)*DX337+DM337)*DX337+DN337)/((3*DX337+2*DL337)*DX337+DM337),0)</f>
        <v>0</v>
      </c>
      <c r="DZ337" s="60" t="n">
        <f aca="false">IF(ABS(DY337)&lt;0.1*ABS(DX337),DX337-DY337,DX337)</f>
        <v>0.91158844983184</v>
      </c>
      <c r="EA337" s="60" t="n">
        <f aca="false">IFERROR((((DZ337+DL337)*DZ337+DM337)*DZ337+DN337)/((3*DZ337+2*DL337)*DZ337+DM337),0)</f>
        <v>0</v>
      </c>
      <c r="EB337" s="60" t="n">
        <f aca="false">IF(ABS(EA337)&lt;0.1*ABS(DZ337),DZ337-EA337,DZ337)</f>
        <v>0.91158844983184</v>
      </c>
      <c r="EC337" s="60" t="n">
        <f aca="false">-DN337/EB337</f>
        <v>0.0118376711504565</v>
      </c>
      <c r="ED337" s="60" t="n">
        <f aca="false">(DM337-EC337)/EB337</f>
        <v>-0.00347297415783941</v>
      </c>
      <c r="EE337" s="60" t="n">
        <f aca="false">ED337^2-4*EC337</f>
        <v>-0.0473386230523248</v>
      </c>
      <c r="EF337" s="60" t="n">
        <f aca="false">IF(EE337&gt;=0,(ED337+IF(ED337&gt;=0,1,-1)*SQRT(EE337))/2,0)</f>
        <v>0</v>
      </c>
      <c r="EG337" s="60" t="n">
        <f aca="false">IF(AND(EE337&gt;=0,EF337&lt;&gt;0),MIN(EF337,EC337/EF337),-1)</f>
        <v>-1</v>
      </c>
      <c r="EH337" s="60" t="n">
        <f aca="false">AND(EE337&gt;=0,EG337&gt;DK337,ABS(EB337-EG337)&gt;=0.00005*MAX(EB337,EG337))</f>
        <v>0</v>
      </c>
      <c r="EI337" s="60" t="n">
        <f aca="false">IF(EH337,IFERROR((((EG337+DL337)*EG337+DM337)*EG337+DN337)/((3*EG337+2*DL337)*EG337+DM337),0),0)</f>
        <v>0</v>
      </c>
      <c r="EJ337" s="60" t="n">
        <f aca="false">IF(ABS(EI337)&lt;0.1*ABS(EG337),EG337-EI337,EG337)</f>
        <v>-1</v>
      </c>
      <c r="EK337" s="60" t="n">
        <f aca="false">IF(EH337,IFERROR((((EJ337+DL337)*EJ337+DM337)*EJ337+DN337)/((3*EJ337+2*DL337)*EJ337+DM337),0),0)</f>
        <v>0</v>
      </c>
      <c r="EL337" s="60" t="n">
        <f aca="false">IF(ABS(EK337)&lt;0.1*ABS(EJ337),EJ337-EK337,EJ337)</f>
        <v>-1</v>
      </c>
      <c r="EM337" s="60" t="n">
        <f aca="false">IF(EH337,MAX(EB337,EL337),EB337)</f>
        <v>0.91158844983184</v>
      </c>
      <c r="EN337" s="60" t="n">
        <f aca="false">IF(EH337,MIN(EB337,EL337),-1)</f>
        <v>-1</v>
      </c>
      <c r="EO337" s="60" t="n">
        <f aca="false">CHOOSE($C$7,DJ337/EM337,DJ337/DK337*LN(1+DK337/EM337),DJ337/(2*SQRT(2)*DK337)*LN((EM337+(1+SQRT(2))*DK337)/(EM337+(1-SQRT(2))*DK337)))</f>
        <v>0.218240791233887</v>
      </c>
      <c r="EP337" s="60" t="n">
        <f aca="false">EM337-1-LN(EM337-DK337)-EO337</f>
        <v>-0.107840271021729</v>
      </c>
      <c r="EQ337" s="60" t="n">
        <f aca="false">IF(EH337,CHOOSE($C$7,DJ337/EN337,DJ337/DK337*LN(1+DK337/EN337),DJ337/(2*SQRT(2)*DK337)*LN((EN337+(1+SQRT(2))*DK337)/(EN337+(1-SQRT(2))*DK337))),0)</f>
        <v>0</v>
      </c>
      <c r="ER337" s="60" t="n">
        <f aca="false">IF(EH337,EN337-1-LN(EN337-DK337)-EQ337,0)</f>
        <v>0</v>
      </c>
      <c r="ES337" s="60" t="n">
        <f aca="false">AND(EH337,ER337&lt;EP337)</f>
        <v>0</v>
      </c>
      <c r="ET337" s="60" t="n">
        <f aca="false">IF(ES337,EN337,EM337)</f>
        <v>0.91158844983184</v>
      </c>
      <c r="EU337" s="60" t="n">
        <f aca="false">IF(ES337,EQ337,EO337)</f>
        <v>0.218240791233887</v>
      </c>
      <c r="EV337" s="60" t="n">
        <f aca="false">LN(ET337-DK337)</f>
        <v>-0.198812070380318</v>
      </c>
      <c r="EW337" s="60" t="n">
        <f aca="false">$E$27/DI337*(ET337-1)-EV337-EU337*(2*CV337/DH337-$E$27/DI337)</f>
        <v>-0.107840271021729</v>
      </c>
      <c r="EX337" s="60" t="n">
        <f aca="false">$F$27/DI337*(ET337-1)-EV337-EU337*(2*CW337/DH337-$F$27/DI337)</f>
        <v>0.198812070380318</v>
      </c>
      <c r="EY337" s="60" t="n">
        <f aca="false">$G$27/DI337*(ET337-1)-EV337-EU337*(2*CX337/DH337-$G$27/DI337)</f>
        <v>0.198812070380318</v>
      </c>
      <c r="EZ337" s="60" t="n">
        <f aca="false">$H$27/DI337*(ET337-1)-EV337-EU337*(2*CY337/DH337-$H$27/DI337)</f>
        <v>0.198812070380318</v>
      </c>
      <c r="FA337" s="60" t="n">
        <f aca="false">$I$27/DI337*(ET337-1)-EV337-EU337*(2*CZ337/DH337-$I$27/DI337)</f>
        <v>0.198812070380318</v>
      </c>
      <c r="FB337" s="60" t="n">
        <f aca="false">$J$27/DI337*(ET337-1)-EV337-EU337*(2*DA337/DH337-$J$27/DI337)</f>
        <v>0.198812070380318</v>
      </c>
      <c r="FC337" s="60" t="n">
        <f aca="false">$K$27/DI337*(ET337-1)-EV337-EU337*(2*DB337/DH337-$K$27/DI337)</f>
        <v>0.198812070380318</v>
      </c>
      <c r="FD337" s="60" t="n">
        <f aca="false">$L$27/DI337*(ET337-1)-EV337-EU337*(2*DC337/DH337-$L$27/DI337)</f>
        <v>0.198812070380318</v>
      </c>
      <c r="FE337" s="60" t="n">
        <f aca="false">$M$27/DI337*(ET337-1)-EV337-EU337*(2*DD337/DH337-$M$27/DI337)</f>
        <v>0.198812070380318</v>
      </c>
      <c r="FF337" s="60" t="n">
        <f aca="false">$N$27/DI337*(ET337-1)-EV337-EU337*(2*DE337/DH337-$N$27/DI337)</f>
        <v>0.198812070380318</v>
      </c>
      <c r="FG337" s="60" t="n">
        <f aca="false">$O$27/DI337*(ET337-1)-EV337-EU337*(2*DF337/DH337-$O$27/DI337)</f>
        <v>0.198812070380318</v>
      </c>
      <c r="FH337" s="60" t="n">
        <f aca="false">$P$27/DI337*(ET337-1)-EV337-EU337*(2*DG337/DH337-$P$27/DI337)</f>
        <v>0.198812070380318</v>
      </c>
      <c r="FI337" s="60" t="n">
        <f aca="false">DK337/ET337&gt;$C$22</f>
        <v>0</v>
      </c>
      <c r="FJ337" s="60" t="n">
        <f aca="false">$E$28*SUMPRODUCT($E$31:$P$31,CJ337:CU337,$E$28:$P$28)</f>
        <v>0.184416866619846</v>
      </c>
      <c r="FK337" s="60" t="n">
        <f aca="false">$F$28*SUMPRODUCT($E$32:$P$32,CJ337:CU337,$E$28:$P$28)</f>
        <v>0</v>
      </c>
      <c r="FL337" s="60" t="n">
        <f aca="false">$G$28*SUMPRODUCT($E$33:$P$33,CJ337:CU337,$E$28:$P$28)</f>
        <v>0</v>
      </c>
      <c r="FM337" s="60" t="n">
        <f aca="false">$H$28*SUMPRODUCT($E$34:$P$34,CJ337:CU337,$E$28:$P$28)</f>
        <v>0</v>
      </c>
      <c r="FN337" s="60" t="n">
        <f aca="false">$I$28*SUMPRODUCT($E$35:$P$35,CJ337:CU337,$E$28:$P$28)</f>
        <v>0</v>
      </c>
      <c r="FO337" s="60" t="n">
        <f aca="false">$J$28*SUMPRODUCT($E$36:$P$36,CJ337:CU337,$E$28:$P$28)</f>
        <v>0</v>
      </c>
      <c r="FP337" s="60" t="n">
        <f aca="false">$K$28*SUMPRODUCT($E$37:$P$37,CJ337:CU337,$E$28:$P$28)</f>
        <v>0</v>
      </c>
      <c r="FQ337" s="60" t="n">
        <f aca="false">$L$28*SUMPRODUCT($E$38:$P$38,CJ337:CU337,$E$28:$P$28)</f>
        <v>0</v>
      </c>
      <c r="FR337" s="60" t="n">
        <f aca="false">$M$28*SUMPRODUCT($E$39:$P$39,CJ337:CU337,$E$28:$P$28)</f>
        <v>0</v>
      </c>
      <c r="FS337" s="60" t="n">
        <f aca="false">$N$28*SUMPRODUCT($E$40:$P$40,CJ337:CU337,$E$28:$P$28)</f>
        <v>0</v>
      </c>
      <c r="FT337" s="60" t="n">
        <f aca="false">$O$28*SUMPRODUCT($E$41:$P$41,CJ337:CU337,$E$28:$P$28)</f>
        <v>0</v>
      </c>
      <c r="FU337" s="60" t="n">
        <f aca="false">$P$28*SUMPRODUCT($E$42:$P$42,CJ337:CU337,$E$28:$P$28)</f>
        <v>0</v>
      </c>
      <c r="FV337" s="60" t="n">
        <f aca="false">SUMPRODUCT(CJ337:CU337,FJ337:FU337)</f>
        <v>0.184416866619846</v>
      </c>
      <c r="FW337" s="60" t="n">
        <f aca="false">SUMPRODUCT(CJ337:CU337,$E$27:$P$27)</f>
        <v>2.67389635063809E-005</v>
      </c>
      <c r="FX337" s="60" t="n">
        <f aca="false">FV337*$C$9/($C$10*$C$8)^2</f>
        <v>0.21776909410545</v>
      </c>
      <c r="FY337" s="60" t="n">
        <f aca="false">FW337*$C$9/($C$10*$C$8)</f>
        <v>0.0918845243259994</v>
      </c>
      <c r="FZ337" s="60" t="n">
        <f aca="false">CHOOSE($C$7,-(1+FY337),-1,-(1-FY337))</f>
        <v>-0.908115475674001</v>
      </c>
      <c r="GA337" s="60" t="n">
        <f aca="false">CHOOSE($C$7,FX337,FX337-FY337-FY337^2,FX337-3*FY337^2-2*FY337)</f>
        <v>0.00867174802160559</v>
      </c>
      <c r="GB337" s="60" t="n">
        <f aca="false">CHOOSE($C$7,-FX337*FY337,-FX337*FY337,-(FX337*FY337-FY337^2-FY337^3))</f>
        <v>-0.0107910842936637</v>
      </c>
      <c r="GC337" s="60" t="n">
        <f aca="false">GA337-FZ337^2/3</f>
        <v>-0.266219491031267</v>
      </c>
      <c r="GD337" s="60" t="n">
        <f aca="false">2*FZ337^3/27-FZ337*GA337/3+GB337</f>
        <v>-0.0636400988362784</v>
      </c>
      <c r="GE337" s="60" t="n">
        <f aca="false">GD337^2/4+GC337^3/27</f>
        <v>0.000313710901361829</v>
      </c>
      <c r="GF337" s="60" t="n">
        <f aca="false">-GD337/2-IF(GD337&gt;=0,1,-1)*SQRT(MAX(GE337,0))</f>
        <v>0.0495319352963236</v>
      </c>
      <c r="GG337" s="60" t="n">
        <f aca="false">SIGN(GF337)*ABS(GF337)^(1/3)</f>
        <v>0.367249967174439</v>
      </c>
      <c r="GH337" s="60" t="n">
        <f aca="false">IF(GG337=0,0,GG337-GC337/(3*GG337))</f>
        <v>0.60888329127384</v>
      </c>
      <c r="GI337" s="60" t="n">
        <f aca="false">2*SQRT(MAX(-GC337,0)/3)</f>
        <v>0.595784626668918</v>
      </c>
      <c r="GJ337" s="60" t="n">
        <f aca="false">ACOS(IF(GI337=0,0,MAX(-1,MIN(1,3*GD337/(GC337*GI337)))))</f>
        <v>0</v>
      </c>
      <c r="GK337" s="60" t="n">
        <f aca="false">GI337*COS(GJ337/3)</f>
        <v>0.595784626668918</v>
      </c>
      <c r="GL337" s="60" t="n">
        <f aca="false">IF(GE337&lt;0,GK337,GH337)-FZ337/3</f>
        <v>0.91158844983184</v>
      </c>
      <c r="GM337" s="60" t="n">
        <f aca="false">IFERROR((((GL337+FZ337)*GL337+GA337)*GL337+GB337)/((3*GL337+2*FZ337)*GL337+GA337),0)</f>
        <v>0</v>
      </c>
      <c r="GN337" s="60" t="n">
        <f aca="false">IF(ABS(GM337)&lt;0.1*ABS(GL337),GL337-GM337,GL337)</f>
        <v>0.91158844983184</v>
      </c>
      <c r="GO337" s="60" t="n">
        <f aca="false">IFERROR((((GN337+FZ337)*GN337+GA337)*GN337+GB337)/((3*GN337+2*FZ337)*GN337+GA337),0)</f>
        <v>0</v>
      </c>
      <c r="GP337" s="60" t="n">
        <f aca="false">IF(ABS(GO337)&lt;0.1*ABS(GN337),GN337-GO337,GN337)</f>
        <v>0.91158844983184</v>
      </c>
      <c r="GQ337" s="60" t="n">
        <f aca="false">-GB337/GP337</f>
        <v>0.0118376711504565</v>
      </c>
      <c r="GR337" s="60" t="n">
        <f aca="false">(GA337-GQ337)/GP337</f>
        <v>-0.00347297415783941</v>
      </c>
      <c r="GS337" s="60" t="n">
        <f aca="false">GR337^2-4*GQ337</f>
        <v>-0.0473386230523248</v>
      </c>
      <c r="GT337" s="60" t="n">
        <f aca="false">IF(GS337&gt;=0,(GR337+IF(GR337&gt;=0,1,-1)*SQRT(GS337))/2,0)</f>
        <v>0</v>
      </c>
      <c r="GU337" s="60" t="n">
        <f aca="false">IF(AND(GS337&gt;=0,GT337&lt;&gt;0),MIN(GT337,GQ337/GT337),-1)</f>
        <v>-1</v>
      </c>
      <c r="GV337" s="60" t="n">
        <f aca="false">AND(GS337&gt;=0,GU337&gt;FY337,ABS(GP337-GU337)&gt;=0.00005*MAX(GP337,GU337))</f>
        <v>0</v>
      </c>
      <c r="GW337" s="60" t="n">
        <f aca="false">IF(GV337,IFERROR((((GU337+FZ337)*GU337+GA337)*GU337+GB337)/((3*GU337+2*FZ337)*GU337+GA337),0),0)</f>
        <v>0</v>
      </c>
      <c r="GX337" s="60" t="n">
        <f aca="false">IF(ABS(GW337)&lt;0.1*ABS(GU337),GU337-GW337,GU337)</f>
        <v>-1</v>
      </c>
      <c r="GY337" s="60" t="n">
        <f aca="false">IF(GV337,IFERROR((((GX337+FZ337)*GX337+GA337)*GX337+GB337)/((3*GX337+2*FZ337)*GX337+GA337),0),0)</f>
        <v>0</v>
      </c>
      <c r="GZ337" s="60" t="n">
        <f aca="false">IF(ABS(GY337)&lt;0.1*ABS(GX337),GX337-GY337,GX337)</f>
        <v>-1</v>
      </c>
      <c r="HA337" s="60" t="n">
        <f aca="false">IF(GV337,MAX(GP337,GZ337),GP337)</f>
        <v>0.91158844983184</v>
      </c>
      <c r="HB337" s="60" t="n">
        <f aca="false">IF(GV337,MIN(GP337,GZ337),-1)</f>
        <v>-1</v>
      </c>
      <c r="HC337" s="60" t="n">
        <f aca="false">CHOOSE($C$7,FX337/HA337,FX337/FY337*LN(1+FY337/HA337),FX337/(2*SQRT(2)*FY337)*LN((HA337+(1+SQRT(2))*FY337)/(HA337+(1-SQRT(2))*FY337)))</f>
        <v>0.218240791233887</v>
      </c>
      <c r="HD337" s="60" t="n">
        <f aca="false">HA337-1-LN(HA337-FY337)-HC337</f>
        <v>-0.107840271021729</v>
      </c>
      <c r="HE337" s="60" t="n">
        <f aca="false">IF(GV337,CHOOSE($C$7,FX337/HB337,FX337/FY337*LN(1+FY337/HB337),FX337/(2*SQRT(2)*FY337)*LN((HB337+(1+SQRT(2))*FY337)/(HB337+(1-SQRT(2))*FY337))),0)</f>
        <v>0</v>
      </c>
      <c r="HF337" s="60" t="n">
        <f aca="false">IF(GV337,HB337-1-LN(HB337-FY337)-HE337,0)</f>
        <v>0</v>
      </c>
      <c r="HG337" s="60" t="n">
        <f aca="false">AND(GV337,HF337&lt;HD337)</f>
        <v>0</v>
      </c>
      <c r="HH337" s="60" t="n">
        <f aca="false">IF(HG337,HB337,HA337)</f>
        <v>0.91158844983184</v>
      </c>
      <c r="HI337" s="60" t="n">
        <f aca="false">IF(HG337,HE337,HC337)</f>
        <v>0.218240791233887</v>
      </c>
      <c r="HJ337" s="60" t="n">
        <f aca="false">LN(HH337-FY337)</f>
        <v>-0.198812070380318</v>
      </c>
      <c r="HK337" s="60" t="n">
        <f aca="false">$E$27/FW337*(HH337-1)-HJ337-HI337*(2*FJ337/FV337-$E$27/FW337)</f>
        <v>-0.107840271021729</v>
      </c>
      <c r="HL337" s="60" t="n">
        <f aca="false">$F$27/FW337*(HH337-1)-HJ337-HI337*(2*FK337/FV337-$F$27/FW337)</f>
        <v>0.198812070380318</v>
      </c>
      <c r="HM337" s="60" t="n">
        <f aca="false">$G$27/FW337*(HH337-1)-HJ337-HI337*(2*FL337/FV337-$G$27/FW337)</f>
        <v>0.198812070380318</v>
      </c>
      <c r="HN337" s="60" t="n">
        <f aca="false">$H$27/FW337*(HH337-1)-HJ337-HI337*(2*FM337/FV337-$H$27/FW337)</f>
        <v>0.198812070380318</v>
      </c>
      <c r="HO337" s="60" t="n">
        <f aca="false">$I$27/FW337*(HH337-1)-HJ337-HI337*(2*FN337/FV337-$I$27/FW337)</f>
        <v>0.198812070380318</v>
      </c>
      <c r="HP337" s="60" t="n">
        <f aca="false">$J$27/FW337*(HH337-1)-HJ337-HI337*(2*FO337/FV337-$J$27/FW337)</f>
        <v>0.198812070380318</v>
      </c>
      <c r="HQ337" s="60" t="n">
        <f aca="false">$K$27/FW337*(HH337-1)-HJ337-HI337*(2*FP337/FV337-$K$27/FW337)</f>
        <v>0.198812070380318</v>
      </c>
      <c r="HR337" s="60" t="n">
        <f aca="false">$L$27/FW337*(HH337-1)-HJ337-HI337*(2*FQ337/FV337-$L$27/FW337)</f>
        <v>0.198812070380318</v>
      </c>
      <c r="HS337" s="60" t="n">
        <f aca="false">$M$27/FW337*(HH337-1)-HJ337-HI337*(2*FR337/FV337-$M$27/FW337)</f>
        <v>0.198812070380318</v>
      </c>
      <c r="HT337" s="60" t="n">
        <f aca="false">$N$27/FW337*(HH337-1)-HJ337-HI337*(2*FS337/FV337-$N$27/FW337)</f>
        <v>0.198812070380318</v>
      </c>
      <c r="HU337" s="60" t="n">
        <f aca="false">$O$27/FW337*(HH337-1)-HJ337-HI337*(2*FT337/FV337-$O$27/FW337)</f>
        <v>0.198812070380318</v>
      </c>
      <c r="HV337" s="60" t="n">
        <f aca="false">$P$27/FW337*(HH337-1)-HJ337-HI337*(2*FU337/FV337-$P$27/FW337)</f>
        <v>0.198812070380318</v>
      </c>
      <c r="HW337" s="60" t="n">
        <f aca="false">FY337/HH337&gt;$C$22</f>
        <v>0</v>
      </c>
      <c r="HX337" s="60" t="n">
        <f aca="false">IF($E$13&gt;0,MAX(-300,MIN(300,EW337-HK337)),0)</f>
        <v>0</v>
      </c>
      <c r="HY337" s="60" t="n">
        <f aca="false">IF($F$13&gt;0,MAX(-300,MIN(300,EX337-HL337)),0)</f>
        <v>0</v>
      </c>
      <c r="HZ337" s="60" t="n">
        <f aca="false">IF($G$13&gt;0,MAX(-300,MIN(300,EY337-HM337)),0)</f>
        <v>0</v>
      </c>
      <c r="IA337" s="60" t="n">
        <f aca="false">IF($H$13&gt;0,MAX(-300,MIN(300,EZ337-HN337)),0)</f>
        <v>0</v>
      </c>
      <c r="IB337" s="60" t="n">
        <f aca="false">IF($I$13&gt;0,MAX(-300,MIN(300,FA337-HO337)),0)</f>
        <v>0</v>
      </c>
      <c r="IC337" s="60" t="n">
        <f aca="false">IF($J$13&gt;0,MAX(-300,MIN(300,FB337-HP337)),0)</f>
        <v>0</v>
      </c>
      <c r="ID337" s="60" t="n">
        <f aca="false">IF($K$13&gt;0,MAX(-300,MIN(300,FC337-HQ337)),0)</f>
        <v>0</v>
      </c>
      <c r="IE337" s="60" t="n">
        <f aca="false">IF($L$13&gt;0,MAX(-300,MIN(300,FD337-HR337)),0)</f>
        <v>0</v>
      </c>
      <c r="IF337" s="60" t="n">
        <f aca="false">IF($M$13&gt;0,MAX(-300,MIN(300,FE337-HS337)),0)</f>
        <v>0</v>
      </c>
      <c r="IG337" s="60" t="n">
        <f aca="false">IF($N$13&gt;0,MAX(-300,MIN(300,FF337-HT337)),0)</f>
        <v>0</v>
      </c>
      <c r="IH337" s="60" t="n">
        <f aca="false">IF($O$13&gt;0,MAX(-300,MIN(300,FG337-HU337)),0)</f>
        <v>0</v>
      </c>
      <c r="II337" s="60" t="n">
        <f aca="false">IF($P$13&gt;0,MAX(-300,MIN(300,FH337-HV337)),0)</f>
        <v>0</v>
      </c>
      <c r="IJ337" s="60" t="n">
        <f aca="false">SUMXMY2(HX337:II337,B337:M337)</f>
        <v>0</v>
      </c>
      <c r="IK337" s="60" t="n">
        <f aca="false">SUMSQ(B337:M337)</f>
        <v>0</v>
      </c>
    </row>
    <row r="338" customFormat="false" ht="15" hidden="false" customHeight="false" outlineLevel="0" collapsed="false">
      <c r="A338" s="59" t="n">
        <v>41</v>
      </c>
      <c r="B338" s="60" t="n">
        <f aca="false">HX337</f>
        <v>0</v>
      </c>
      <c r="C338" s="60" t="n">
        <f aca="false">HY337</f>
        <v>0</v>
      </c>
      <c r="D338" s="60" t="n">
        <f aca="false">HZ337</f>
        <v>0</v>
      </c>
      <c r="E338" s="60" t="n">
        <f aca="false">IA337</f>
        <v>0</v>
      </c>
      <c r="F338" s="60" t="n">
        <f aca="false">IB337</f>
        <v>0</v>
      </c>
      <c r="G338" s="60" t="n">
        <f aca="false">IC337</f>
        <v>0</v>
      </c>
      <c r="H338" s="60" t="n">
        <f aca="false">ID337</f>
        <v>0</v>
      </c>
      <c r="I338" s="60" t="n">
        <f aca="false">IE337</f>
        <v>0</v>
      </c>
      <c r="J338" s="60" t="n">
        <f aca="false">IF337</f>
        <v>0</v>
      </c>
      <c r="K338" s="60" t="n">
        <f aca="false">IG337</f>
        <v>0</v>
      </c>
      <c r="L338" s="60" t="n">
        <f aca="false">IH337</f>
        <v>0</v>
      </c>
      <c r="M338" s="60" t="n">
        <f aca="false">II337</f>
        <v>0</v>
      </c>
      <c r="N338" s="60" t="n">
        <f aca="false">EXP(B338)</f>
        <v>1</v>
      </c>
      <c r="O338" s="60" t="n">
        <f aca="false">EXP(C338)</f>
        <v>1</v>
      </c>
      <c r="P338" s="60" t="n">
        <f aca="false">EXP(D338)</f>
        <v>1</v>
      </c>
      <c r="Q338" s="60" t="n">
        <f aca="false">EXP(E338)</f>
        <v>1</v>
      </c>
      <c r="R338" s="60" t="n">
        <f aca="false">EXP(F338)</f>
        <v>1</v>
      </c>
      <c r="S338" s="60" t="n">
        <f aca="false">EXP(G338)</f>
        <v>1</v>
      </c>
      <c r="T338" s="60" t="n">
        <f aca="false">EXP(H338)</f>
        <v>1</v>
      </c>
      <c r="U338" s="60" t="n">
        <f aca="false">EXP(I338)</f>
        <v>1</v>
      </c>
      <c r="V338" s="60" t="n">
        <f aca="false">EXP(J338)</f>
        <v>1</v>
      </c>
      <c r="W338" s="60" t="n">
        <f aca="false">EXP(K338)</f>
        <v>1</v>
      </c>
      <c r="X338" s="60" t="n">
        <f aca="false">EXP(L338)</f>
        <v>1</v>
      </c>
      <c r="Y338" s="60" t="n">
        <f aca="false">EXP(M338)</f>
        <v>1</v>
      </c>
      <c r="Z338" s="60" t="n">
        <f aca="false">MAX(N338:Y338)</f>
        <v>1</v>
      </c>
      <c r="AA338" s="60" t="n">
        <f aca="false">MIN(N338:Y338)</f>
        <v>1</v>
      </c>
      <c r="AB338" s="60" t="n">
        <f aca="false">AND(Z338&gt;1,AA338&lt;1)</f>
        <v>0</v>
      </c>
      <c r="AC338" s="60" t="n">
        <f aca="false">IF(AB338,1/(1-Z338),0)</f>
        <v>0</v>
      </c>
      <c r="AD338" s="60" t="n">
        <f aca="false">IF(AB338,1/(1-AA338),1)</f>
        <v>1</v>
      </c>
      <c r="AE338" s="60" t="n">
        <f aca="false">IF(AB338,MIN(MAX(BI337,AC338+0.000000001*(AD338-AC338)),AD338-0.000000001*(AD338-AC338)),IF(AA338&gt;=1,1,0))</f>
        <v>1</v>
      </c>
      <c r="AF338" s="60" t="n">
        <f aca="false">SUMPRODUCT($E$13:$P$13*(N338:Y338-1)/(1+AE338*(N338:Y338-1)))</f>
        <v>0</v>
      </c>
      <c r="AG338" s="60" t="n">
        <f aca="false">-SUMPRODUCT($E$13:$P$13*(N338:Y338-1)^2/(1+AE338*(N338:Y338-1))^2)</f>
        <v>-0</v>
      </c>
      <c r="AH338" s="60" t="n">
        <f aca="false">IF(OR(NOT(AB338),AG338=0),AE338,IF(AE338-AF338/AG338&lt;=AC338,(AE338+AC338)/2,IF(AE338-AF338/AG338&gt;=AD338,(AE338+AD338)/2,AE338-AF338/AG338)))</f>
        <v>1</v>
      </c>
      <c r="AI338" s="60" t="n">
        <f aca="false">SUMPRODUCT($E$13:$P$13*(N338:Y338-1)/(1+AH338*(N338:Y338-1)))</f>
        <v>0</v>
      </c>
      <c r="AJ338" s="60" t="n">
        <f aca="false">-SUMPRODUCT($E$13:$P$13*(N338:Y338-1)^2/(1+AH338*(N338:Y338-1))^2)</f>
        <v>-0</v>
      </c>
      <c r="AK338" s="60" t="n">
        <f aca="false">IF(OR(NOT(AB338),AJ338=0),AH338,IF(AH338-AI338/AJ338&lt;=AC338,(AH338+AC338)/2,IF(AH338-AI338/AJ338&gt;=AD338,(AH338+AD338)/2,AH338-AI338/AJ338)))</f>
        <v>1</v>
      </c>
      <c r="AL338" s="60" t="n">
        <f aca="false">SUMPRODUCT($E$13:$P$13*(N338:Y338-1)/(1+AK338*(N338:Y338-1)))</f>
        <v>0</v>
      </c>
      <c r="AM338" s="60" t="n">
        <f aca="false">-SUMPRODUCT($E$13:$P$13*(N338:Y338-1)^2/(1+AK338*(N338:Y338-1))^2)</f>
        <v>-0</v>
      </c>
      <c r="AN338" s="60" t="n">
        <f aca="false">IF(OR(NOT(AB338),AM338=0),AK338,IF(AK338-AL338/AM338&lt;=AC338,(AK338+AC338)/2,IF(AK338-AL338/AM338&gt;=AD338,(AK338+AD338)/2,AK338-AL338/AM338)))</f>
        <v>1</v>
      </c>
      <c r="AO338" s="60" t="n">
        <f aca="false">SUMPRODUCT($E$13:$P$13*(N338:Y338-1)/(1+AN338*(N338:Y338-1)))</f>
        <v>0</v>
      </c>
      <c r="AP338" s="60" t="n">
        <f aca="false">-SUMPRODUCT($E$13:$P$13*(N338:Y338-1)^2/(1+AN338*(N338:Y338-1))^2)</f>
        <v>-0</v>
      </c>
      <c r="AQ338" s="60" t="n">
        <f aca="false">IF(OR(NOT(AB338),AP338=0),AN338,IF(AN338-AO338/AP338&lt;=AC338,(AN338+AC338)/2,IF(AN338-AO338/AP338&gt;=AD338,(AN338+AD338)/2,AN338-AO338/AP338)))</f>
        <v>1</v>
      </c>
      <c r="AR338" s="60" t="n">
        <f aca="false">SUMPRODUCT($E$13:$P$13*(N338:Y338-1)/(1+AQ338*(N338:Y338-1)))</f>
        <v>0</v>
      </c>
      <c r="AS338" s="60" t="n">
        <f aca="false">-SUMPRODUCT($E$13:$P$13*(N338:Y338-1)^2/(1+AQ338*(N338:Y338-1))^2)</f>
        <v>-0</v>
      </c>
      <c r="AT338" s="60" t="n">
        <f aca="false">IF(OR(NOT(AB338),AS338=0),AQ338,IF(AQ338-AR338/AS338&lt;=AC338,(AQ338+AC338)/2,IF(AQ338-AR338/AS338&gt;=AD338,(AQ338+AD338)/2,AQ338-AR338/AS338)))</f>
        <v>1</v>
      </c>
      <c r="AU338" s="60" t="n">
        <f aca="false">SUMPRODUCT($E$13:$P$13*(N338:Y338-1)/(1+AT338*(N338:Y338-1)))</f>
        <v>0</v>
      </c>
      <c r="AV338" s="60" t="n">
        <f aca="false">-SUMPRODUCT($E$13:$P$13*(N338:Y338-1)^2/(1+AT338*(N338:Y338-1))^2)</f>
        <v>-0</v>
      </c>
      <c r="AW338" s="60" t="n">
        <f aca="false">IF(OR(NOT(AB338),AV338=0),AT338,IF(AT338-AU338/AV338&lt;=AC338,(AT338+AC338)/2,IF(AT338-AU338/AV338&gt;=AD338,(AT338+AD338)/2,AT338-AU338/AV338)))</f>
        <v>1</v>
      </c>
      <c r="AX338" s="60" t="n">
        <f aca="false">SUMPRODUCT($E$13:$P$13*(N338:Y338-1)/(1+AW338*(N338:Y338-1)))</f>
        <v>0</v>
      </c>
      <c r="AY338" s="60" t="n">
        <f aca="false">-SUMPRODUCT($E$13:$P$13*(N338:Y338-1)^2/(1+AW338*(N338:Y338-1))^2)</f>
        <v>-0</v>
      </c>
      <c r="AZ338" s="60" t="n">
        <f aca="false">IF(OR(NOT(AB338),AY338=0),AW338,IF(AW338-AX338/AY338&lt;=AC338,(AW338+AC338)/2,IF(AW338-AX338/AY338&gt;=AD338,(AW338+AD338)/2,AW338-AX338/AY338)))</f>
        <v>1</v>
      </c>
      <c r="BA338" s="60" t="n">
        <f aca="false">SUMPRODUCT($E$13:$P$13*(N338:Y338-1)/(1+AZ338*(N338:Y338-1)))</f>
        <v>0</v>
      </c>
      <c r="BB338" s="60" t="n">
        <f aca="false">-SUMPRODUCT($E$13:$P$13*(N338:Y338-1)^2/(1+AZ338*(N338:Y338-1))^2)</f>
        <v>-0</v>
      </c>
      <c r="BC338" s="60" t="n">
        <f aca="false">IF(OR(NOT(AB338),BB338=0),AZ338,IF(AZ338-BA338/BB338&lt;=AC338,(AZ338+AC338)/2,IF(AZ338-BA338/BB338&gt;=AD338,(AZ338+AD338)/2,AZ338-BA338/BB338)))</f>
        <v>1</v>
      </c>
      <c r="BD338" s="60" t="n">
        <f aca="false">SUMPRODUCT($E$13:$P$13*(N338:Y338-1)/(1+BC338*(N338:Y338-1)))</f>
        <v>0</v>
      </c>
      <c r="BE338" s="60" t="n">
        <f aca="false">-SUMPRODUCT($E$13:$P$13*(N338:Y338-1)^2/(1+BC338*(N338:Y338-1))^2)</f>
        <v>-0</v>
      </c>
      <c r="BF338" s="60" t="n">
        <f aca="false">IF(OR(NOT(AB338),BE338=0),BC338,IF(BC338-BD338/BE338&lt;=AC338,(BC338+AC338)/2,IF(BC338-BD338/BE338&gt;=AD338,(BC338+AD338)/2,BC338-BD338/BE338)))</f>
        <v>1</v>
      </c>
      <c r="BG338" s="60" t="n">
        <f aca="false">SUMPRODUCT($E$13:$P$13*(N338:Y338-1)/(1+BF338*(N338:Y338-1)))</f>
        <v>0</v>
      </c>
      <c r="BH338" s="60" t="n">
        <f aca="false">-SUMPRODUCT($E$13:$P$13*(N338:Y338-1)^2/(1+BF338*(N338:Y338-1))^2)</f>
        <v>-0</v>
      </c>
      <c r="BI338" s="60" t="n">
        <f aca="false">IF(OR(NOT(AB338),BH338=0),BF338,IF(BF338-BG338/BH338&lt;=AC338,(BF338+AC338)/2,IF(BF338-BG338/BH338&gt;=AD338,(BF338+AD338)/2,BF338-BG338/BH338)))</f>
        <v>1</v>
      </c>
      <c r="BJ338" s="60" t="n">
        <f aca="false">$E$13/(1+BI338*(N338-1))</f>
        <v>1</v>
      </c>
      <c r="BK338" s="60" t="n">
        <f aca="false">$F$13/(1+BI338*(O338-1))</f>
        <v>0</v>
      </c>
      <c r="BL338" s="60" t="n">
        <f aca="false">$G$13/(1+BI338*(P338-1))</f>
        <v>0</v>
      </c>
      <c r="BM338" s="60" t="n">
        <f aca="false">$H$13/(1+BI338*(Q338-1))</f>
        <v>0</v>
      </c>
      <c r="BN338" s="60" t="n">
        <f aca="false">$I$13/(1+BI338*(R338-1))</f>
        <v>0</v>
      </c>
      <c r="BO338" s="60" t="n">
        <f aca="false">$J$13/(1+BI338*(S338-1))</f>
        <v>0</v>
      </c>
      <c r="BP338" s="60" t="n">
        <f aca="false">$K$13/(1+BI338*(T338-1))</f>
        <v>0</v>
      </c>
      <c r="BQ338" s="60" t="n">
        <f aca="false">$L$13/(1+BI338*(U338-1))</f>
        <v>0</v>
      </c>
      <c r="BR338" s="60" t="n">
        <f aca="false">$M$13/(1+BI338*(V338-1))</f>
        <v>0</v>
      </c>
      <c r="BS338" s="60" t="n">
        <f aca="false">$N$13/(1+BI338*(W338-1))</f>
        <v>0</v>
      </c>
      <c r="BT338" s="60" t="n">
        <f aca="false">$O$13/(1+BI338*(X338-1))</f>
        <v>0</v>
      </c>
      <c r="BU338" s="60" t="n">
        <f aca="false">$P$13/(1+BI338*(Y338-1))</f>
        <v>0</v>
      </c>
      <c r="BV338" s="60" t="n">
        <f aca="false">SUM(BJ338:BU338)</f>
        <v>1</v>
      </c>
      <c r="BW338" s="60" t="n">
        <f aca="false">SUMPRODUCT(N338:Y338,BJ338:BU338)</f>
        <v>1</v>
      </c>
      <c r="BX338" s="60" t="n">
        <f aca="false">BJ338/BV338</f>
        <v>1</v>
      </c>
      <c r="BY338" s="60" t="n">
        <f aca="false">BK338/BV338</f>
        <v>0</v>
      </c>
      <c r="BZ338" s="60" t="n">
        <f aca="false">BL338/BV338</f>
        <v>0</v>
      </c>
      <c r="CA338" s="60" t="n">
        <f aca="false">BM338/BV338</f>
        <v>0</v>
      </c>
      <c r="CB338" s="60" t="n">
        <f aca="false">BN338/BV338</f>
        <v>0</v>
      </c>
      <c r="CC338" s="60" t="n">
        <f aca="false">BO338/BV338</f>
        <v>0</v>
      </c>
      <c r="CD338" s="60" t="n">
        <f aca="false">BP338/BV338</f>
        <v>0</v>
      </c>
      <c r="CE338" s="60" t="n">
        <f aca="false">BQ338/BV338</f>
        <v>0</v>
      </c>
      <c r="CF338" s="60" t="n">
        <f aca="false">BR338/BV338</f>
        <v>0</v>
      </c>
      <c r="CG338" s="60" t="n">
        <f aca="false">BS338/BV338</f>
        <v>0</v>
      </c>
      <c r="CH338" s="60" t="n">
        <f aca="false">BT338/BV338</f>
        <v>0</v>
      </c>
      <c r="CI338" s="60" t="n">
        <f aca="false">BU338/BV338</f>
        <v>0</v>
      </c>
      <c r="CJ338" s="60" t="n">
        <f aca="false">N338*BJ338/BW338</f>
        <v>1</v>
      </c>
      <c r="CK338" s="60" t="n">
        <f aca="false">O338*BK338/BW338</f>
        <v>0</v>
      </c>
      <c r="CL338" s="60" t="n">
        <f aca="false">P338*BL338/BW338</f>
        <v>0</v>
      </c>
      <c r="CM338" s="60" t="n">
        <f aca="false">Q338*BM338/BW338</f>
        <v>0</v>
      </c>
      <c r="CN338" s="60" t="n">
        <f aca="false">R338*BN338/BW338</f>
        <v>0</v>
      </c>
      <c r="CO338" s="60" t="n">
        <f aca="false">S338*BO338/BW338</f>
        <v>0</v>
      </c>
      <c r="CP338" s="60" t="n">
        <f aca="false">T338*BP338/BW338</f>
        <v>0</v>
      </c>
      <c r="CQ338" s="60" t="n">
        <f aca="false">U338*BQ338/BW338</f>
        <v>0</v>
      </c>
      <c r="CR338" s="60" t="n">
        <f aca="false">V338*BR338/BW338</f>
        <v>0</v>
      </c>
      <c r="CS338" s="60" t="n">
        <f aca="false">W338*BS338/BW338</f>
        <v>0</v>
      </c>
      <c r="CT338" s="60" t="n">
        <f aca="false">X338*BT338/BW338</f>
        <v>0</v>
      </c>
      <c r="CU338" s="60" t="n">
        <f aca="false">Y338*BU338/BW338</f>
        <v>0</v>
      </c>
      <c r="CV338" s="60" t="n">
        <f aca="false">$E$28*SUMPRODUCT($E$31:$P$31,BX338:CI338,$E$28:$P$28)</f>
        <v>0.184416866619846</v>
      </c>
      <c r="CW338" s="60" t="n">
        <f aca="false">$F$28*SUMPRODUCT($E$32:$P$32,BX338:CI338,$E$28:$P$28)</f>
        <v>0</v>
      </c>
      <c r="CX338" s="60" t="n">
        <f aca="false">$G$28*SUMPRODUCT($E$33:$P$33,BX338:CI338,$E$28:$P$28)</f>
        <v>0</v>
      </c>
      <c r="CY338" s="60" t="n">
        <f aca="false">$H$28*SUMPRODUCT($E$34:$P$34,BX338:CI338,$E$28:$P$28)</f>
        <v>0</v>
      </c>
      <c r="CZ338" s="60" t="n">
        <f aca="false">$I$28*SUMPRODUCT($E$35:$P$35,BX338:CI338,$E$28:$P$28)</f>
        <v>0</v>
      </c>
      <c r="DA338" s="60" t="n">
        <f aca="false">$J$28*SUMPRODUCT($E$36:$P$36,BX338:CI338,$E$28:$P$28)</f>
        <v>0</v>
      </c>
      <c r="DB338" s="60" t="n">
        <f aca="false">$K$28*SUMPRODUCT($E$37:$P$37,BX338:CI338,$E$28:$P$28)</f>
        <v>0</v>
      </c>
      <c r="DC338" s="60" t="n">
        <f aca="false">$L$28*SUMPRODUCT($E$38:$P$38,BX338:CI338,$E$28:$P$28)</f>
        <v>0</v>
      </c>
      <c r="DD338" s="60" t="n">
        <f aca="false">$M$28*SUMPRODUCT($E$39:$P$39,BX338:CI338,$E$28:$P$28)</f>
        <v>0</v>
      </c>
      <c r="DE338" s="60" t="n">
        <f aca="false">$N$28*SUMPRODUCT($E$40:$P$40,BX338:CI338,$E$28:$P$28)</f>
        <v>0</v>
      </c>
      <c r="DF338" s="60" t="n">
        <f aca="false">$O$28*SUMPRODUCT($E$41:$P$41,BX338:CI338,$E$28:$P$28)</f>
        <v>0</v>
      </c>
      <c r="DG338" s="60" t="n">
        <f aca="false">$P$28*SUMPRODUCT($E$42:$P$42,BX338:CI338,$E$28:$P$28)</f>
        <v>0</v>
      </c>
      <c r="DH338" s="60" t="n">
        <f aca="false">SUMPRODUCT(BX338:CI338,CV338:DG338)</f>
        <v>0.184416866619846</v>
      </c>
      <c r="DI338" s="60" t="n">
        <f aca="false">SUMPRODUCT(BX338:CI338,$E$27:$P$27)</f>
        <v>2.67389635063809E-005</v>
      </c>
      <c r="DJ338" s="60" t="n">
        <f aca="false">DH338*$C$9/($C$10*$C$8)^2</f>
        <v>0.21776909410545</v>
      </c>
      <c r="DK338" s="60" t="n">
        <f aca="false">DI338*$C$9/($C$10*$C$8)</f>
        <v>0.0918845243259994</v>
      </c>
      <c r="DL338" s="60" t="n">
        <f aca="false">CHOOSE($C$7,-(1+DK338),-1,-(1-DK338))</f>
        <v>-0.908115475674001</v>
      </c>
      <c r="DM338" s="60" t="n">
        <f aca="false">CHOOSE($C$7,DJ338,DJ338-DK338-DK338^2,DJ338-3*DK338^2-2*DK338)</f>
        <v>0.00867174802160559</v>
      </c>
      <c r="DN338" s="60" t="n">
        <f aca="false">CHOOSE($C$7,-DJ338*DK338,-DJ338*DK338,-(DJ338*DK338-DK338^2-DK338^3))</f>
        <v>-0.0107910842936637</v>
      </c>
      <c r="DO338" s="60" t="n">
        <f aca="false">DM338-DL338^2/3</f>
        <v>-0.266219491031267</v>
      </c>
      <c r="DP338" s="60" t="n">
        <f aca="false">2*DL338^3/27-DL338*DM338/3+DN338</f>
        <v>-0.0636400988362784</v>
      </c>
      <c r="DQ338" s="60" t="n">
        <f aca="false">DP338^2/4+DO338^3/27</f>
        <v>0.000313710901361829</v>
      </c>
      <c r="DR338" s="60" t="n">
        <f aca="false">-DP338/2-IF(DP338&gt;=0,1,-1)*SQRT(MAX(DQ338,0))</f>
        <v>0.0495319352963236</v>
      </c>
      <c r="DS338" s="60" t="n">
        <f aca="false">SIGN(DR338)*ABS(DR338)^(1/3)</f>
        <v>0.367249967174439</v>
      </c>
      <c r="DT338" s="60" t="n">
        <f aca="false">IF(DS338=0,0,DS338-DO338/(3*DS338))</f>
        <v>0.60888329127384</v>
      </c>
      <c r="DU338" s="60" t="n">
        <f aca="false">2*SQRT(MAX(-DO338,0)/3)</f>
        <v>0.595784626668918</v>
      </c>
      <c r="DV338" s="60" t="n">
        <f aca="false">ACOS(IF(DU338=0,0,MAX(-1,MIN(1,3*DP338/(DO338*DU338)))))</f>
        <v>0</v>
      </c>
      <c r="DW338" s="60" t="n">
        <f aca="false">DU338*COS(DV338/3)</f>
        <v>0.595784626668918</v>
      </c>
      <c r="DX338" s="60" t="n">
        <f aca="false">IF(DQ338&lt;0,DW338,DT338)-DL338/3</f>
        <v>0.91158844983184</v>
      </c>
      <c r="DY338" s="60" t="n">
        <f aca="false">IFERROR((((DX338+DL338)*DX338+DM338)*DX338+DN338)/((3*DX338+2*DL338)*DX338+DM338),0)</f>
        <v>0</v>
      </c>
      <c r="DZ338" s="60" t="n">
        <f aca="false">IF(ABS(DY338)&lt;0.1*ABS(DX338),DX338-DY338,DX338)</f>
        <v>0.91158844983184</v>
      </c>
      <c r="EA338" s="60" t="n">
        <f aca="false">IFERROR((((DZ338+DL338)*DZ338+DM338)*DZ338+DN338)/((3*DZ338+2*DL338)*DZ338+DM338),0)</f>
        <v>0</v>
      </c>
      <c r="EB338" s="60" t="n">
        <f aca="false">IF(ABS(EA338)&lt;0.1*ABS(DZ338),DZ338-EA338,DZ338)</f>
        <v>0.91158844983184</v>
      </c>
      <c r="EC338" s="60" t="n">
        <f aca="false">-DN338/EB338</f>
        <v>0.0118376711504565</v>
      </c>
      <c r="ED338" s="60" t="n">
        <f aca="false">(DM338-EC338)/EB338</f>
        <v>-0.00347297415783941</v>
      </c>
      <c r="EE338" s="60" t="n">
        <f aca="false">ED338^2-4*EC338</f>
        <v>-0.0473386230523248</v>
      </c>
      <c r="EF338" s="60" t="n">
        <f aca="false">IF(EE338&gt;=0,(ED338+IF(ED338&gt;=0,1,-1)*SQRT(EE338))/2,0)</f>
        <v>0</v>
      </c>
      <c r="EG338" s="60" t="n">
        <f aca="false">IF(AND(EE338&gt;=0,EF338&lt;&gt;0),MIN(EF338,EC338/EF338),-1)</f>
        <v>-1</v>
      </c>
      <c r="EH338" s="60" t="n">
        <f aca="false">AND(EE338&gt;=0,EG338&gt;DK338,ABS(EB338-EG338)&gt;=0.00005*MAX(EB338,EG338))</f>
        <v>0</v>
      </c>
      <c r="EI338" s="60" t="n">
        <f aca="false">IF(EH338,IFERROR((((EG338+DL338)*EG338+DM338)*EG338+DN338)/((3*EG338+2*DL338)*EG338+DM338),0),0)</f>
        <v>0</v>
      </c>
      <c r="EJ338" s="60" t="n">
        <f aca="false">IF(ABS(EI338)&lt;0.1*ABS(EG338),EG338-EI338,EG338)</f>
        <v>-1</v>
      </c>
      <c r="EK338" s="60" t="n">
        <f aca="false">IF(EH338,IFERROR((((EJ338+DL338)*EJ338+DM338)*EJ338+DN338)/((3*EJ338+2*DL338)*EJ338+DM338),0),0)</f>
        <v>0</v>
      </c>
      <c r="EL338" s="60" t="n">
        <f aca="false">IF(ABS(EK338)&lt;0.1*ABS(EJ338),EJ338-EK338,EJ338)</f>
        <v>-1</v>
      </c>
      <c r="EM338" s="60" t="n">
        <f aca="false">IF(EH338,MAX(EB338,EL338),EB338)</f>
        <v>0.91158844983184</v>
      </c>
      <c r="EN338" s="60" t="n">
        <f aca="false">IF(EH338,MIN(EB338,EL338),-1)</f>
        <v>-1</v>
      </c>
      <c r="EO338" s="60" t="n">
        <f aca="false">CHOOSE($C$7,DJ338/EM338,DJ338/DK338*LN(1+DK338/EM338),DJ338/(2*SQRT(2)*DK338)*LN((EM338+(1+SQRT(2))*DK338)/(EM338+(1-SQRT(2))*DK338)))</f>
        <v>0.218240791233887</v>
      </c>
      <c r="EP338" s="60" t="n">
        <f aca="false">EM338-1-LN(EM338-DK338)-EO338</f>
        <v>-0.107840271021729</v>
      </c>
      <c r="EQ338" s="60" t="n">
        <f aca="false">IF(EH338,CHOOSE($C$7,DJ338/EN338,DJ338/DK338*LN(1+DK338/EN338),DJ338/(2*SQRT(2)*DK338)*LN((EN338+(1+SQRT(2))*DK338)/(EN338+(1-SQRT(2))*DK338))),0)</f>
        <v>0</v>
      </c>
      <c r="ER338" s="60" t="n">
        <f aca="false">IF(EH338,EN338-1-LN(EN338-DK338)-EQ338,0)</f>
        <v>0</v>
      </c>
      <c r="ES338" s="60" t="n">
        <f aca="false">AND(EH338,ER338&lt;EP338)</f>
        <v>0</v>
      </c>
      <c r="ET338" s="60" t="n">
        <f aca="false">IF(ES338,EN338,EM338)</f>
        <v>0.91158844983184</v>
      </c>
      <c r="EU338" s="60" t="n">
        <f aca="false">IF(ES338,EQ338,EO338)</f>
        <v>0.218240791233887</v>
      </c>
      <c r="EV338" s="60" t="n">
        <f aca="false">LN(ET338-DK338)</f>
        <v>-0.198812070380318</v>
      </c>
      <c r="EW338" s="60" t="n">
        <f aca="false">$E$27/DI338*(ET338-1)-EV338-EU338*(2*CV338/DH338-$E$27/DI338)</f>
        <v>-0.107840271021729</v>
      </c>
      <c r="EX338" s="60" t="n">
        <f aca="false">$F$27/DI338*(ET338-1)-EV338-EU338*(2*CW338/DH338-$F$27/DI338)</f>
        <v>0.198812070380318</v>
      </c>
      <c r="EY338" s="60" t="n">
        <f aca="false">$G$27/DI338*(ET338-1)-EV338-EU338*(2*CX338/DH338-$G$27/DI338)</f>
        <v>0.198812070380318</v>
      </c>
      <c r="EZ338" s="60" t="n">
        <f aca="false">$H$27/DI338*(ET338-1)-EV338-EU338*(2*CY338/DH338-$H$27/DI338)</f>
        <v>0.198812070380318</v>
      </c>
      <c r="FA338" s="60" t="n">
        <f aca="false">$I$27/DI338*(ET338-1)-EV338-EU338*(2*CZ338/DH338-$I$27/DI338)</f>
        <v>0.198812070380318</v>
      </c>
      <c r="FB338" s="60" t="n">
        <f aca="false">$J$27/DI338*(ET338-1)-EV338-EU338*(2*DA338/DH338-$J$27/DI338)</f>
        <v>0.198812070380318</v>
      </c>
      <c r="FC338" s="60" t="n">
        <f aca="false">$K$27/DI338*(ET338-1)-EV338-EU338*(2*DB338/DH338-$K$27/DI338)</f>
        <v>0.198812070380318</v>
      </c>
      <c r="FD338" s="60" t="n">
        <f aca="false">$L$27/DI338*(ET338-1)-EV338-EU338*(2*DC338/DH338-$L$27/DI338)</f>
        <v>0.198812070380318</v>
      </c>
      <c r="FE338" s="60" t="n">
        <f aca="false">$M$27/DI338*(ET338-1)-EV338-EU338*(2*DD338/DH338-$M$27/DI338)</f>
        <v>0.198812070380318</v>
      </c>
      <c r="FF338" s="60" t="n">
        <f aca="false">$N$27/DI338*(ET338-1)-EV338-EU338*(2*DE338/DH338-$N$27/DI338)</f>
        <v>0.198812070380318</v>
      </c>
      <c r="FG338" s="60" t="n">
        <f aca="false">$O$27/DI338*(ET338-1)-EV338-EU338*(2*DF338/DH338-$O$27/DI338)</f>
        <v>0.198812070380318</v>
      </c>
      <c r="FH338" s="60" t="n">
        <f aca="false">$P$27/DI338*(ET338-1)-EV338-EU338*(2*DG338/DH338-$P$27/DI338)</f>
        <v>0.198812070380318</v>
      </c>
      <c r="FI338" s="60" t="n">
        <f aca="false">DK338/ET338&gt;$C$22</f>
        <v>0</v>
      </c>
      <c r="FJ338" s="60" t="n">
        <f aca="false">$E$28*SUMPRODUCT($E$31:$P$31,CJ338:CU338,$E$28:$P$28)</f>
        <v>0.184416866619846</v>
      </c>
      <c r="FK338" s="60" t="n">
        <f aca="false">$F$28*SUMPRODUCT($E$32:$P$32,CJ338:CU338,$E$28:$P$28)</f>
        <v>0</v>
      </c>
      <c r="FL338" s="60" t="n">
        <f aca="false">$G$28*SUMPRODUCT($E$33:$P$33,CJ338:CU338,$E$28:$P$28)</f>
        <v>0</v>
      </c>
      <c r="FM338" s="60" t="n">
        <f aca="false">$H$28*SUMPRODUCT($E$34:$P$34,CJ338:CU338,$E$28:$P$28)</f>
        <v>0</v>
      </c>
      <c r="FN338" s="60" t="n">
        <f aca="false">$I$28*SUMPRODUCT($E$35:$P$35,CJ338:CU338,$E$28:$P$28)</f>
        <v>0</v>
      </c>
      <c r="FO338" s="60" t="n">
        <f aca="false">$J$28*SUMPRODUCT($E$36:$P$36,CJ338:CU338,$E$28:$P$28)</f>
        <v>0</v>
      </c>
      <c r="FP338" s="60" t="n">
        <f aca="false">$K$28*SUMPRODUCT($E$37:$P$37,CJ338:CU338,$E$28:$P$28)</f>
        <v>0</v>
      </c>
      <c r="FQ338" s="60" t="n">
        <f aca="false">$L$28*SUMPRODUCT($E$38:$P$38,CJ338:CU338,$E$28:$P$28)</f>
        <v>0</v>
      </c>
      <c r="FR338" s="60" t="n">
        <f aca="false">$M$28*SUMPRODUCT($E$39:$P$39,CJ338:CU338,$E$28:$P$28)</f>
        <v>0</v>
      </c>
      <c r="FS338" s="60" t="n">
        <f aca="false">$N$28*SUMPRODUCT($E$40:$P$40,CJ338:CU338,$E$28:$P$28)</f>
        <v>0</v>
      </c>
      <c r="FT338" s="60" t="n">
        <f aca="false">$O$28*SUMPRODUCT($E$41:$P$41,CJ338:CU338,$E$28:$P$28)</f>
        <v>0</v>
      </c>
      <c r="FU338" s="60" t="n">
        <f aca="false">$P$28*SUMPRODUCT($E$42:$P$42,CJ338:CU338,$E$28:$P$28)</f>
        <v>0</v>
      </c>
      <c r="FV338" s="60" t="n">
        <f aca="false">SUMPRODUCT(CJ338:CU338,FJ338:FU338)</f>
        <v>0.184416866619846</v>
      </c>
      <c r="FW338" s="60" t="n">
        <f aca="false">SUMPRODUCT(CJ338:CU338,$E$27:$P$27)</f>
        <v>2.67389635063809E-005</v>
      </c>
      <c r="FX338" s="60" t="n">
        <f aca="false">FV338*$C$9/($C$10*$C$8)^2</f>
        <v>0.21776909410545</v>
      </c>
      <c r="FY338" s="60" t="n">
        <f aca="false">FW338*$C$9/($C$10*$C$8)</f>
        <v>0.0918845243259994</v>
      </c>
      <c r="FZ338" s="60" t="n">
        <f aca="false">CHOOSE($C$7,-(1+FY338),-1,-(1-FY338))</f>
        <v>-0.908115475674001</v>
      </c>
      <c r="GA338" s="60" t="n">
        <f aca="false">CHOOSE($C$7,FX338,FX338-FY338-FY338^2,FX338-3*FY338^2-2*FY338)</f>
        <v>0.00867174802160559</v>
      </c>
      <c r="GB338" s="60" t="n">
        <f aca="false">CHOOSE($C$7,-FX338*FY338,-FX338*FY338,-(FX338*FY338-FY338^2-FY338^3))</f>
        <v>-0.0107910842936637</v>
      </c>
      <c r="GC338" s="60" t="n">
        <f aca="false">GA338-FZ338^2/3</f>
        <v>-0.266219491031267</v>
      </c>
      <c r="GD338" s="60" t="n">
        <f aca="false">2*FZ338^3/27-FZ338*GA338/3+GB338</f>
        <v>-0.0636400988362784</v>
      </c>
      <c r="GE338" s="60" t="n">
        <f aca="false">GD338^2/4+GC338^3/27</f>
        <v>0.000313710901361829</v>
      </c>
      <c r="GF338" s="60" t="n">
        <f aca="false">-GD338/2-IF(GD338&gt;=0,1,-1)*SQRT(MAX(GE338,0))</f>
        <v>0.0495319352963236</v>
      </c>
      <c r="GG338" s="60" t="n">
        <f aca="false">SIGN(GF338)*ABS(GF338)^(1/3)</f>
        <v>0.367249967174439</v>
      </c>
      <c r="GH338" s="60" t="n">
        <f aca="false">IF(GG338=0,0,GG338-GC338/(3*GG338))</f>
        <v>0.60888329127384</v>
      </c>
      <c r="GI338" s="60" t="n">
        <f aca="false">2*SQRT(MAX(-GC338,0)/3)</f>
        <v>0.595784626668918</v>
      </c>
      <c r="GJ338" s="60" t="n">
        <f aca="false">ACOS(IF(GI338=0,0,MAX(-1,MIN(1,3*GD338/(GC338*GI338)))))</f>
        <v>0</v>
      </c>
      <c r="GK338" s="60" t="n">
        <f aca="false">GI338*COS(GJ338/3)</f>
        <v>0.595784626668918</v>
      </c>
      <c r="GL338" s="60" t="n">
        <f aca="false">IF(GE338&lt;0,GK338,GH338)-FZ338/3</f>
        <v>0.91158844983184</v>
      </c>
      <c r="GM338" s="60" t="n">
        <f aca="false">IFERROR((((GL338+FZ338)*GL338+GA338)*GL338+GB338)/((3*GL338+2*FZ338)*GL338+GA338),0)</f>
        <v>0</v>
      </c>
      <c r="GN338" s="60" t="n">
        <f aca="false">IF(ABS(GM338)&lt;0.1*ABS(GL338),GL338-GM338,GL338)</f>
        <v>0.91158844983184</v>
      </c>
      <c r="GO338" s="60" t="n">
        <f aca="false">IFERROR((((GN338+FZ338)*GN338+GA338)*GN338+GB338)/((3*GN338+2*FZ338)*GN338+GA338),0)</f>
        <v>0</v>
      </c>
      <c r="GP338" s="60" t="n">
        <f aca="false">IF(ABS(GO338)&lt;0.1*ABS(GN338),GN338-GO338,GN338)</f>
        <v>0.91158844983184</v>
      </c>
      <c r="GQ338" s="60" t="n">
        <f aca="false">-GB338/GP338</f>
        <v>0.0118376711504565</v>
      </c>
      <c r="GR338" s="60" t="n">
        <f aca="false">(GA338-GQ338)/GP338</f>
        <v>-0.00347297415783941</v>
      </c>
      <c r="GS338" s="60" t="n">
        <f aca="false">GR338^2-4*GQ338</f>
        <v>-0.0473386230523248</v>
      </c>
      <c r="GT338" s="60" t="n">
        <f aca="false">IF(GS338&gt;=0,(GR338+IF(GR338&gt;=0,1,-1)*SQRT(GS338))/2,0)</f>
        <v>0</v>
      </c>
      <c r="GU338" s="60" t="n">
        <f aca="false">IF(AND(GS338&gt;=0,GT338&lt;&gt;0),MIN(GT338,GQ338/GT338),-1)</f>
        <v>-1</v>
      </c>
      <c r="GV338" s="60" t="n">
        <f aca="false">AND(GS338&gt;=0,GU338&gt;FY338,ABS(GP338-GU338)&gt;=0.00005*MAX(GP338,GU338))</f>
        <v>0</v>
      </c>
      <c r="GW338" s="60" t="n">
        <f aca="false">IF(GV338,IFERROR((((GU338+FZ338)*GU338+GA338)*GU338+GB338)/((3*GU338+2*FZ338)*GU338+GA338),0),0)</f>
        <v>0</v>
      </c>
      <c r="GX338" s="60" t="n">
        <f aca="false">IF(ABS(GW338)&lt;0.1*ABS(GU338),GU338-GW338,GU338)</f>
        <v>-1</v>
      </c>
      <c r="GY338" s="60" t="n">
        <f aca="false">IF(GV338,IFERROR((((GX338+FZ338)*GX338+GA338)*GX338+GB338)/((3*GX338+2*FZ338)*GX338+GA338),0),0)</f>
        <v>0</v>
      </c>
      <c r="GZ338" s="60" t="n">
        <f aca="false">IF(ABS(GY338)&lt;0.1*ABS(GX338),GX338-GY338,GX338)</f>
        <v>-1</v>
      </c>
      <c r="HA338" s="60" t="n">
        <f aca="false">IF(GV338,MAX(GP338,GZ338),GP338)</f>
        <v>0.91158844983184</v>
      </c>
      <c r="HB338" s="60" t="n">
        <f aca="false">IF(GV338,MIN(GP338,GZ338),-1)</f>
        <v>-1</v>
      </c>
      <c r="HC338" s="60" t="n">
        <f aca="false">CHOOSE($C$7,FX338/HA338,FX338/FY338*LN(1+FY338/HA338),FX338/(2*SQRT(2)*FY338)*LN((HA338+(1+SQRT(2))*FY338)/(HA338+(1-SQRT(2))*FY338)))</f>
        <v>0.218240791233887</v>
      </c>
      <c r="HD338" s="60" t="n">
        <f aca="false">HA338-1-LN(HA338-FY338)-HC338</f>
        <v>-0.107840271021729</v>
      </c>
      <c r="HE338" s="60" t="n">
        <f aca="false">IF(GV338,CHOOSE($C$7,FX338/HB338,FX338/FY338*LN(1+FY338/HB338),FX338/(2*SQRT(2)*FY338)*LN((HB338+(1+SQRT(2))*FY338)/(HB338+(1-SQRT(2))*FY338))),0)</f>
        <v>0</v>
      </c>
      <c r="HF338" s="60" t="n">
        <f aca="false">IF(GV338,HB338-1-LN(HB338-FY338)-HE338,0)</f>
        <v>0</v>
      </c>
      <c r="HG338" s="60" t="n">
        <f aca="false">AND(GV338,HF338&lt;HD338)</f>
        <v>0</v>
      </c>
      <c r="HH338" s="60" t="n">
        <f aca="false">IF(HG338,HB338,HA338)</f>
        <v>0.91158844983184</v>
      </c>
      <c r="HI338" s="60" t="n">
        <f aca="false">IF(HG338,HE338,HC338)</f>
        <v>0.218240791233887</v>
      </c>
      <c r="HJ338" s="60" t="n">
        <f aca="false">LN(HH338-FY338)</f>
        <v>-0.198812070380318</v>
      </c>
      <c r="HK338" s="60" t="n">
        <f aca="false">$E$27/FW338*(HH338-1)-HJ338-HI338*(2*FJ338/FV338-$E$27/FW338)</f>
        <v>-0.107840271021729</v>
      </c>
      <c r="HL338" s="60" t="n">
        <f aca="false">$F$27/FW338*(HH338-1)-HJ338-HI338*(2*FK338/FV338-$F$27/FW338)</f>
        <v>0.198812070380318</v>
      </c>
      <c r="HM338" s="60" t="n">
        <f aca="false">$G$27/FW338*(HH338-1)-HJ338-HI338*(2*FL338/FV338-$G$27/FW338)</f>
        <v>0.198812070380318</v>
      </c>
      <c r="HN338" s="60" t="n">
        <f aca="false">$H$27/FW338*(HH338-1)-HJ338-HI338*(2*FM338/FV338-$H$27/FW338)</f>
        <v>0.198812070380318</v>
      </c>
      <c r="HO338" s="60" t="n">
        <f aca="false">$I$27/FW338*(HH338-1)-HJ338-HI338*(2*FN338/FV338-$I$27/FW338)</f>
        <v>0.198812070380318</v>
      </c>
      <c r="HP338" s="60" t="n">
        <f aca="false">$J$27/FW338*(HH338-1)-HJ338-HI338*(2*FO338/FV338-$J$27/FW338)</f>
        <v>0.198812070380318</v>
      </c>
      <c r="HQ338" s="60" t="n">
        <f aca="false">$K$27/FW338*(HH338-1)-HJ338-HI338*(2*FP338/FV338-$K$27/FW338)</f>
        <v>0.198812070380318</v>
      </c>
      <c r="HR338" s="60" t="n">
        <f aca="false">$L$27/FW338*(HH338-1)-HJ338-HI338*(2*FQ338/FV338-$L$27/FW338)</f>
        <v>0.198812070380318</v>
      </c>
      <c r="HS338" s="60" t="n">
        <f aca="false">$M$27/FW338*(HH338-1)-HJ338-HI338*(2*FR338/FV338-$M$27/FW338)</f>
        <v>0.198812070380318</v>
      </c>
      <c r="HT338" s="60" t="n">
        <f aca="false">$N$27/FW338*(HH338-1)-HJ338-HI338*(2*FS338/FV338-$N$27/FW338)</f>
        <v>0.198812070380318</v>
      </c>
      <c r="HU338" s="60" t="n">
        <f aca="false">$O$27/FW338*(HH338-1)-HJ338-HI338*(2*FT338/FV338-$O$27/FW338)</f>
        <v>0.198812070380318</v>
      </c>
      <c r="HV338" s="60" t="n">
        <f aca="false">$P$27/FW338*(HH338-1)-HJ338-HI338*(2*FU338/FV338-$P$27/FW338)</f>
        <v>0.198812070380318</v>
      </c>
      <c r="HW338" s="60" t="n">
        <f aca="false">FY338/HH338&gt;$C$22</f>
        <v>0</v>
      </c>
      <c r="HX338" s="60" t="n">
        <f aca="false">IF($E$13&gt;0,MAX(-300,MIN(300,EW338-HK338)),0)</f>
        <v>0</v>
      </c>
      <c r="HY338" s="60" t="n">
        <f aca="false">IF($F$13&gt;0,MAX(-300,MIN(300,EX338-HL338)),0)</f>
        <v>0</v>
      </c>
      <c r="HZ338" s="60" t="n">
        <f aca="false">IF($G$13&gt;0,MAX(-300,MIN(300,EY338-HM338)),0)</f>
        <v>0</v>
      </c>
      <c r="IA338" s="60" t="n">
        <f aca="false">IF($H$13&gt;0,MAX(-300,MIN(300,EZ338-HN338)),0)</f>
        <v>0</v>
      </c>
      <c r="IB338" s="60" t="n">
        <f aca="false">IF($I$13&gt;0,MAX(-300,MIN(300,FA338-HO338)),0)</f>
        <v>0</v>
      </c>
      <c r="IC338" s="60" t="n">
        <f aca="false">IF($J$13&gt;0,MAX(-300,MIN(300,FB338-HP338)),0)</f>
        <v>0</v>
      </c>
      <c r="ID338" s="60" t="n">
        <f aca="false">IF($K$13&gt;0,MAX(-300,MIN(300,FC338-HQ338)),0)</f>
        <v>0</v>
      </c>
      <c r="IE338" s="60" t="n">
        <f aca="false">IF($L$13&gt;0,MAX(-300,MIN(300,FD338-HR338)),0)</f>
        <v>0</v>
      </c>
      <c r="IF338" s="60" t="n">
        <f aca="false">IF($M$13&gt;0,MAX(-300,MIN(300,FE338-HS338)),0)</f>
        <v>0</v>
      </c>
      <c r="IG338" s="60" t="n">
        <f aca="false">IF($N$13&gt;0,MAX(-300,MIN(300,FF338-HT338)),0)</f>
        <v>0</v>
      </c>
      <c r="IH338" s="60" t="n">
        <f aca="false">IF($O$13&gt;0,MAX(-300,MIN(300,FG338-HU338)),0)</f>
        <v>0</v>
      </c>
      <c r="II338" s="60" t="n">
        <f aca="false">IF($P$13&gt;0,MAX(-300,MIN(300,FH338-HV338)),0)</f>
        <v>0</v>
      </c>
      <c r="IJ338" s="60" t="n">
        <f aca="false">SUMXMY2(HX338:II338,B338:M338)</f>
        <v>0</v>
      </c>
      <c r="IK338" s="60" t="n">
        <f aca="false">SUMSQ(B338:M338)</f>
        <v>0</v>
      </c>
    </row>
    <row r="339" customFormat="false" ht="15" hidden="false" customHeight="false" outlineLevel="0" collapsed="false">
      <c r="A339" s="59" t="n">
        <v>42</v>
      </c>
      <c r="B339" s="60" t="n">
        <f aca="false">HX338</f>
        <v>0</v>
      </c>
      <c r="C339" s="60" t="n">
        <f aca="false">HY338</f>
        <v>0</v>
      </c>
      <c r="D339" s="60" t="n">
        <f aca="false">HZ338</f>
        <v>0</v>
      </c>
      <c r="E339" s="60" t="n">
        <f aca="false">IA338</f>
        <v>0</v>
      </c>
      <c r="F339" s="60" t="n">
        <f aca="false">IB338</f>
        <v>0</v>
      </c>
      <c r="G339" s="60" t="n">
        <f aca="false">IC338</f>
        <v>0</v>
      </c>
      <c r="H339" s="60" t="n">
        <f aca="false">ID338</f>
        <v>0</v>
      </c>
      <c r="I339" s="60" t="n">
        <f aca="false">IE338</f>
        <v>0</v>
      </c>
      <c r="J339" s="60" t="n">
        <f aca="false">IF338</f>
        <v>0</v>
      </c>
      <c r="K339" s="60" t="n">
        <f aca="false">IG338</f>
        <v>0</v>
      </c>
      <c r="L339" s="60" t="n">
        <f aca="false">IH338</f>
        <v>0</v>
      </c>
      <c r="M339" s="60" t="n">
        <f aca="false">II338</f>
        <v>0</v>
      </c>
      <c r="N339" s="60" t="n">
        <f aca="false">EXP(B339)</f>
        <v>1</v>
      </c>
      <c r="O339" s="60" t="n">
        <f aca="false">EXP(C339)</f>
        <v>1</v>
      </c>
      <c r="P339" s="60" t="n">
        <f aca="false">EXP(D339)</f>
        <v>1</v>
      </c>
      <c r="Q339" s="60" t="n">
        <f aca="false">EXP(E339)</f>
        <v>1</v>
      </c>
      <c r="R339" s="60" t="n">
        <f aca="false">EXP(F339)</f>
        <v>1</v>
      </c>
      <c r="S339" s="60" t="n">
        <f aca="false">EXP(G339)</f>
        <v>1</v>
      </c>
      <c r="T339" s="60" t="n">
        <f aca="false">EXP(H339)</f>
        <v>1</v>
      </c>
      <c r="U339" s="60" t="n">
        <f aca="false">EXP(I339)</f>
        <v>1</v>
      </c>
      <c r="V339" s="60" t="n">
        <f aca="false">EXP(J339)</f>
        <v>1</v>
      </c>
      <c r="W339" s="60" t="n">
        <f aca="false">EXP(K339)</f>
        <v>1</v>
      </c>
      <c r="X339" s="60" t="n">
        <f aca="false">EXP(L339)</f>
        <v>1</v>
      </c>
      <c r="Y339" s="60" t="n">
        <f aca="false">EXP(M339)</f>
        <v>1</v>
      </c>
      <c r="Z339" s="60" t="n">
        <f aca="false">MAX(N339:Y339)</f>
        <v>1</v>
      </c>
      <c r="AA339" s="60" t="n">
        <f aca="false">MIN(N339:Y339)</f>
        <v>1</v>
      </c>
      <c r="AB339" s="60" t="n">
        <f aca="false">AND(Z339&gt;1,AA339&lt;1)</f>
        <v>0</v>
      </c>
      <c r="AC339" s="60" t="n">
        <f aca="false">IF(AB339,1/(1-Z339),0)</f>
        <v>0</v>
      </c>
      <c r="AD339" s="60" t="n">
        <f aca="false">IF(AB339,1/(1-AA339),1)</f>
        <v>1</v>
      </c>
      <c r="AE339" s="60" t="n">
        <f aca="false">IF(AB339,MIN(MAX(BI338,AC339+0.000000001*(AD339-AC339)),AD339-0.000000001*(AD339-AC339)),IF(AA339&gt;=1,1,0))</f>
        <v>1</v>
      </c>
      <c r="AF339" s="60" t="n">
        <f aca="false">SUMPRODUCT($E$13:$P$13*(N339:Y339-1)/(1+AE339*(N339:Y339-1)))</f>
        <v>0</v>
      </c>
      <c r="AG339" s="60" t="n">
        <f aca="false">-SUMPRODUCT($E$13:$P$13*(N339:Y339-1)^2/(1+AE339*(N339:Y339-1))^2)</f>
        <v>-0</v>
      </c>
      <c r="AH339" s="60" t="n">
        <f aca="false">IF(OR(NOT(AB339),AG339=0),AE339,IF(AE339-AF339/AG339&lt;=AC339,(AE339+AC339)/2,IF(AE339-AF339/AG339&gt;=AD339,(AE339+AD339)/2,AE339-AF339/AG339)))</f>
        <v>1</v>
      </c>
      <c r="AI339" s="60" t="n">
        <f aca="false">SUMPRODUCT($E$13:$P$13*(N339:Y339-1)/(1+AH339*(N339:Y339-1)))</f>
        <v>0</v>
      </c>
      <c r="AJ339" s="60" t="n">
        <f aca="false">-SUMPRODUCT($E$13:$P$13*(N339:Y339-1)^2/(1+AH339*(N339:Y339-1))^2)</f>
        <v>-0</v>
      </c>
      <c r="AK339" s="60" t="n">
        <f aca="false">IF(OR(NOT(AB339),AJ339=0),AH339,IF(AH339-AI339/AJ339&lt;=AC339,(AH339+AC339)/2,IF(AH339-AI339/AJ339&gt;=AD339,(AH339+AD339)/2,AH339-AI339/AJ339)))</f>
        <v>1</v>
      </c>
      <c r="AL339" s="60" t="n">
        <f aca="false">SUMPRODUCT($E$13:$P$13*(N339:Y339-1)/(1+AK339*(N339:Y339-1)))</f>
        <v>0</v>
      </c>
      <c r="AM339" s="60" t="n">
        <f aca="false">-SUMPRODUCT($E$13:$P$13*(N339:Y339-1)^2/(1+AK339*(N339:Y339-1))^2)</f>
        <v>-0</v>
      </c>
      <c r="AN339" s="60" t="n">
        <f aca="false">IF(OR(NOT(AB339),AM339=0),AK339,IF(AK339-AL339/AM339&lt;=AC339,(AK339+AC339)/2,IF(AK339-AL339/AM339&gt;=AD339,(AK339+AD339)/2,AK339-AL339/AM339)))</f>
        <v>1</v>
      </c>
      <c r="AO339" s="60" t="n">
        <f aca="false">SUMPRODUCT($E$13:$P$13*(N339:Y339-1)/(1+AN339*(N339:Y339-1)))</f>
        <v>0</v>
      </c>
      <c r="AP339" s="60" t="n">
        <f aca="false">-SUMPRODUCT($E$13:$P$13*(N339:Y339-1)^2/(1+AN339*(N339:Y339-1))^2)</f>
        <v>-0</v>
      </c>
      <c r="AQ339" s="60" t="n">
        <f aca="false">IF(OR(NOT(AB339),AP339=0),AN339,IF(AN339-AO339/AP339&lt;=AC339,(AN339+AC339)/2,IF(AN339-AO339/AP339&gt;=AD339,(AN339+AD339)/2,AN339-AO339/AP339)))</f>
        <v>1</v>
      </c>
      <c r="AR339" s="60" t="n">
        <f aca="false">SUMPRODUCT($E$13:$P$13*(N339:Y339-1)/(1+AQ339*(N339:Y339-1)))</f>
        <v>0</v>
      </c>
      <c r="AS339" s="60" t="n">
        <f aca="false">-SUMPRODUCT($E$13:$P$13*(N339:Y339-1)^2/(1+AQ339*(N339:Y339-1))^2)</f>
        <v>-0</v>
      </c>
      <c r="AT339" s="60" t="n">
        <f aca="false">IF(OR(NOT(AB339),AS339=0),AQ339,IF(AQ339-AR339/AS339&lt;=AC339,(AQ339+AC339)/2,IF(AQ339-AR339/AS339&gt;=AD339,(AQ339+AD339)/2,AQ339-AR339/AS339)))</f>
        <v>1</v>
      </c>
      <c r="AU339" s="60" t="n">
        <f aca="false">SUMPRODUCT($E$13:$P$13*(N339:Y339-1)/(1+AT339*(N339:Y339-1)))</f>
        <v>0</v>
      </c>
      <c r="AV339" s="60" t="n">
        <f aca="false">-SUMPRODUCT($E$13:$P$13*(N339:Y339-1)^2/(1+AT339*(N339:Y339-1))^2)</f>
        <v>-0</v>
      </c>
      <c r="AW339" s="60" t="n">
        <f aca="false">IF(OR(NOT(AB339),AV339=0),AT339,IF(AT339-AU339/AV339&lt;=AC339,(AT339+AC339)/2,IF(AT339-AU339/AV339&gt;=AD339,(AT339+AD339)/2,AT339-AU339/AV339)))</f>
        <v>1</v>
      </c>
      <c r="AX339" s="60" t="n">
        <f aca="false">SUMPRODUCT($E$13:$P$13*(N339:Y339-1)/(1+AW339*(N339:Y339-1)))</f>
        <v>0</v>
      </c>
      <c r="AY339" s="60" t="n">
        <f aca="false">-SUMPRODUCT($E$13:$P$13*(N339:Y339-1)^2/(1+AW339*(N339:Y339-1))^2)</f>
        <v>-0</v>
      </c>
      <c r="AZ339" s="60" t="n">
        <f aca="false">IF(OR(NOT(AB339),AY339=0),AW339,IF(AW339-AX339/AY339&lt;=AC339,(AW339+AC339)/2,IF(AW339-AX339/AY339&gt;=AD339,(AW339+AD339)/2,AW339-AX339/AY339)))</f>
        <v>1</v>
      </c>
      <c r="BA339" s="60" t="n">
        <f aca="false">SUMPRODUCT($E$13:$P$13*(N339:Y339-1)/(1+AZ339*(N339:Y339-1)))</f>
        <v>0</v>
      </c>
      <c r="BB339" s="60" t="n">
        <f aca="false">-SUMPRODUCT($E$13:$P$13*(N339:Y339-1)^2/(1+AZ339*(N339:Y339-1))^2)</f>
        <v>-0</v>
      </c>
      <c r="BC339" s="60" t="n">
        <f aca="false">IF(OR(NOT(AB339),BB339=0),AZ339,IF(AZ339-BA339/BB339&lt;=AC339,(AZ339+AC339)/2,IF(AZ339-BA339/BB339&gt;=AD339,(AZ339+AD339)/2,AZ339-BA339/BB339)))</f>
        <v>1</v>
      </c>
      <c r="BD339" s="60" t="n">
        <f aca="false">SUMPRODUCT($E$13:$P$13*(N339:Y339-1)/(1+BC339*(N339:Y339-1)))</f>
        <v>0</v>
      </c>
      <c r="BE339" s="60" t="n">
        <f aca="false">-SUMPRODUCT($E$13:$P$13*(N339:Y339-1)^2/(1+BC339*(N339:Y339-1))^2)</f>
        <v>-0</v>
      </c>
      <c r="BF339" s="60" t="n">
        <f aca="false">IF(OR(NOT(AB339),BE339=0),BC339,IF(BC339-BD339/BE339&lt;=AC339,(BC339+AC339)/2,IF(BC339-BD339/BE339&gt;=AD339,(BC339+AD339)/2,BC339-BD339/BE339)))</f>
        <v>1</v>
      </c>
      <c r="BG339" s="60" t="n">
        <f aca="false">SUMPRODUCT($E$13:$P$13*(N339:Y339-1)/(1+BF339*(N339:Y339-1)))</f>
        <v>0</v>
      </c>
      <c r="BH339" s="60" t="n">
        <f aca="false">-SUMPRODUCT($E$13:$P$13*(N339:Y339-1)^2/(1+BF339*(N339:Y339-1))^2)</f>
        <v>-0</v>
      </c>
      <c r="BI339" s="60" t="n">
        <f aca="false">IF(OR(NOT(AB339),BH339=0),BF339,IF(BF339-BG339/BH339&lt;=AC339,(BF339+AC339)/2,IF(BF339-BG339/BH339&gt;=AD339,(BF339+AD339)/2,BF339-BG339/BH339)))</f>
        <v>1</v>
      </c>
      <c r="BJ339" s="60" t="n">
        <f aca="false">$E$13/(1+BI339*(N339-1))</f>
        <v>1</v>
      </c>
      <c r="BK339" s="60" t="n">
        <f aca="false">$F$13/(1+BI339*(O339-1))</f>
        <v>0</v>
      </c>
      <c r="BL339" s="60" t="n">
        <f aca="false">$G$13/(1+BI339*(P339-1))</f>
        <v>0</v>
      </c>
      <c r="BM339" s="60" t="n">
        <f aca="false">$H$13/(1+BI339*(Q339-1))</f>
        <v>0</v>
      </c>
      <c r="BN339" s="60" t="n">
        <f aca="false">$I$13/(1+BI339*(R339-1))</f>
        <v>0</v>
      </c>
      <c r="BO339" s="60" t="n">
        <f aca="false">$J$13/(1+BI339*(S339-1))</f>
        <v>0</v>
      </c>
      <c r="BP339" s="60" t="n">
        <f aca="false">$K$13/(1+BI339*(T339-1))</f>
        <v>0</v>
      </c>
      <c r="BQ339" s="60" t="n">
        <f aca="false">$L$13/(1+BI339*(U339-1))</f>
        <v>0</v>
      </c>
      <c r="BR339" s="60" t="n">
        <f aca="false">$M$13/(1+BI339*(V339-1))</f>
        <v>0</v>
      </c>
      <c r="BS339" s="60" t="n">
        <f aca="false">$N$13/(1+BI339*(W339-1))</f>
        <v>0</v>
      </c>
      <c r="BT339" s="60" t="n">
        <f aca="false">$O$13/(1+BI339*(X339-1))</f>
        <v>0</v>
      </c>
      <c r="BU339" s="60" t="n">
        <f aca="false">$P$13/(1+BI339*(Y339-1))</f>
        <v>0</v>
      </c>
      <c r="BV339" s="60" t="n">
        <f aca="false">SUM(BJ339:BU339)</f>
        <v>1</v>
      </c>
      <c r="BW339" s="60" t="n">
        <f aca="false">SUMPRODUCT(N339:Y339,BJ339:BU339)</f>
        <v>1</v>
      </c>
      <c r="BX339" s="60" t="n">
        <f aca="false">BJ339/BV339</f>
        <v>1</v>
      </c>
      <c r="BY339" s="60" t="n">
        <f aca="false">BK339/BV339</f>
        <v>0</v>
      </c>
      <c r="BZ339" s="60" t="n">
        <f aca="false">BL339/BV339</f>
        <v>0</v>
      </c>
      <c r="CA339" s="60" t="n">
        <f aca="false">BM339/BV339</f>
        <v>0</v>
      </c>
      <c r="CB339" s="60" t="n">
        <f aca="false">BN339/BV339</f>
        <v>0</v>
      </c>
      <c r="CC339" s="60" t="n">
        <f aca="false">BO339/BV339</f>
        <v>0</v>
      </c>
      <c r="CD339" s="60" t="n">
        <f aca="false">BP339/BV339</f>
        <v>0</v>
      </c>
      <c r="CE339" s="60" t="n">
        <f aca="false">BQ339/BV339</f>
        <v>0</v>
      </c>
      <c r="CF339" s="60" t="n">
        <f aca="false">BR339/BV339</f>
        <v>0</v>
      </c>
      <c r="CG339" s="60" t="n">
        <f aca="false">BS339/BV339</f>
        <v>0</v>
      </c>
      <c r="CH339" s="60" t="n">
        <f aca="false">BT339/BV339</f>
        <v>0</v>
      </c>
      <c r="CI339" s="60" t="n">
        <f aca="false">BU339/BV339</f>
        <v>0</v>
      </c>
      <c r="CJ339" s="60" t="n">
        <f aca="false">N339*BJ339/BW339</f>
        <v>1</v>
      </c>
      <c r="CK339" s="60" t="n">
        <f aca="false">O339*BK339/BW339</f>
        <v>0</v>
      </c>
      <c r="CL339" s="60" t="n">
        <f aca="false">P339*BL339/BW339</f>
        <v>0</v>
      </c>
      <c r="CM339" s="60" t="n">
        <f aca="false">Q339*BM339/BW339</f>
        <v>0</v>
      </c>
      <c r="CN339" s="60" t="n">
        <f aca="false">R339*BN339/BW339</f>
        <v>0</v>
      </c>
      <c r="CO339" s="60" t="n">
        <f aca="false">S339*BO339/BW339</f>
        <v>0</v>
      </c>
      <c r="CP339" s="60" t="n">
        <f aca="false">T339*BP339/BW339</f>
        <v>0</v>
      </c>
      <c r="CQ339" s="60" t="n">
        <f aca="false">U339*BQ339/BW339</f>
        <v>0</v>
      </c>
      <c r="CR339" s="60" t="n">
        <f aca="false">V339*BR339/BW339</f>
        <v>0</v>
      </c>
      <c r="CS339" s="60" t="n">
        <f aca="false">W339*BS339/BW339</f>
        <v>0</v>
      </c>
      <c r="CT339" s="60" t="n">
        <f aca="false">X339*BT339/BW339</f>
        <v>0</v>
      </c>
      <c r="CU339" s="60" t="n">
        <f aca="false">Y339*BU339/BW339</f>
        <v>0</v>
      </c>
      <c r="CV339" s="60" t="n">
        <f aca="false">$E$28*SUMPRODUCT($E$31:$P$31,BX339:CI339,$E$28:$P$28)</f>
        <v>0.184416866619846</v>
      </c>
      <c r="CW339" s="60" t="n">
        <f aca="false">$F$28*SUMPRODUCT($E$32:$P$32,BX339:CI339,$E$28:$P$28)</f>
        <v>0</v>
      </c>
      <c r="CX339" s="60" t="n">
        <f aca="false">$G$28*SUMPRODUCT($E$33:$P$33,BX339:CI339,$E$28:$P$28)</f>
        <v>0</v>
      </c>
      <c r="CY339" s="60" t="n">
        <f aca="false">$H$28*SUMPRODUCT($E$34:$P$34,BX339:CI339,$E$28:$P$28)</f>
        <v>0</v>
      </c>
      <c r="CZ339" s="60" t="n">
        <f aca="false">$I$28*SUMPRODUCT($E$35:$P$35,BX339:CI339,$E$28:$P$28)</f>
        <v>0</v>
      </c>
      <c r="DA339" s="60" t="n">
        <f aca="false">$J$28*SUMPRODUCT($E$36:$P$36,BX339:CI339,$E$28:$P$28)</f>
        <v>0</v>
      </c>
      <c r="DB339" s="60" t="n">
        <f aca="false">$K$28*SUMPRODUCT($E$37:$P$37,BX339:CI339,$E$28:$P$28)</f>
        <v>0</v>
      </c>
      <c r="DC339" s="60" t="n">
        <f aca="false">$L$28*SUMPRODUCT($E$38:$P$38,BX339:CI339,$E$28:$P$28)</f>
        <v>0</v>
      </c>
      <c r="DD339" s="60" t="n">
        <f aca="false">$M$28*SUMPRODUCT($E$39:$P$39,BX339:CI339,$E$28:$P$28)</f>
        <v>0</v>
      </c>
      <c r="DE339" s="60" t="n">
        <f aca="false">$N$28*SUMPRODUCT($E$40:$P$40,BX339:CI339,$E$28:$P$28)</f>
        <v>0</v>
      </c>
      <c r="DF339" s="60" t="n">
        <f aca="false">$O$28*SUMPRODUCT($E$41:$P$41,BX339:CI339,$E$28:$P$28)</f>
        <v>0</v>
      </c>
      <c r="DG339" s="60" t="n">
        <f aca="false">$P$28*SUMPRODUCT($E$42:$P$42,BX339:CI339,$E$28:$P$28)</f>
        <v>0</v>
      </c>
      <c r="DH339" s="60" t="n">
        <f aca="false">SUMPRODUCT(BX339:CI339,CV339:DG339)</f>
        <v>0.184416866619846</v>
      </c>
      <c r="DI339" s="60" t="n">
        <f aca="false">SUMPRODUCT(BX339:CI339,$E$27:$P$27)</f>
        <v>2.67389635063809E-005</v>
      </c>
      <c r="DJ339" s="60" t="n">
        <f aca="false">DH339*$C$9/($C$10*$C$8)^2</f>
        <v>0.21776909410545</v>
      </c>
      <c r="DK339" s="60" t="n">
        <f aca="false">DI339*$C$9/($C$10*$C$8)</f>
        <v>0.0918845243259994</v>
      </c>
      <c r="DL339" s="60" t="n">
        <f aca="false">CHOOSE($C$7,-(1+DK339),-1,-(1-DK339))</f>
        <v>-0.908115475674001</v>
      </c>
      <c r="DM339" s="60" t="n">
        <f aca="false">CHOOSE($C$7,DJ339,DJ339-DK339-DK339^2,DJ339-3*DK339^2-2*DK339)</f>
        <v>0.00867174802160559</v>
      </c>
      <c r="DN339" s="60" t="n">
        <f aca="false">CHOOSE($C$7,-DJ339*DK339,-DJ339*DK339,-(DJ339*DK339-DK339^2-DK339^3))</f>
        <v>-0.0107910842936637</v>
      </c>
      <c r="DO339" s="60" t="n">
        <f aca="false">DM339-DL339^2/3</f>
        <v>-0.266219491031267</v>
      </c>
      <c r="DP339" s="60" t="n">
        <f aca="false">2*DL339^3/27-DL339*DM339/3+DN339</f>
        <v>-0.0636400988362784</v>
      </c>
      <c r="DQ339" s="60" t="n">
        <f aca="false">DP339^2/4+DO339^3/27</f>
        <v>0.000313710901361829</v>
      </c>
      <c r="DR339" s="60" t="n">
        <f aca="false">-DP339/2-IF(DP339&gt;=0,1,-1)*SQRT(MAX(DQ339,0))</f>
        <v>0.0495319352963236</v>
      </c>
      <c r="DS339" s="60" t="n">
        <f aca="false">SIGN(DR339)*ABS(DR339)^(1/3)</f>
        <v>0.367249967174439</v>
      </c>
      <c r="DT339" s="60" t="n">
        <f aca="false">IF(DS339=0,0,DS339-DO339/(3*DS339))</f>
        <v>0.60888329127384</v>
      </c>
      <c r="DU339" s="60" t="n">
        <f aca="false">2*SQRT(MAX(-DO339,0)/3)</f>
        <v>0.595784626668918</v>
      </c>
      <c r="DV339" s="60" t="n">
        <f aca="false">ACOS(IF(DU339=0,0,MAX(-1,MIN(1,3*DP339/(DO339*DU339)))))</f>
        <v>0</v>
      </c>
      <c r="DW339" s="60" t="n">
        <f aca="false">DU339*COS(DV339/3)</f>
        <v>0.595784626668918</v>
      </c>
      <c r="DX339" s="60" t="n">
        <f aca="false">IF(DQ339&lt;0,DW339,DT339)-DL339/3</f>
        <v>0.91158844983184</v>
      </c>
      <c r="DY339" s="60" t="n">
        <f aca="false">IFERROR((((DX339+DL339)*DX339+DM339)*DX339+DN339)/((3*DX339+2*DL339)*DX339+DM339),0)</f>
        <v>0</v>
      </c>
      <c r="DZ339" s="60" t="n">
        <f aca="false">IF(ABS(DY339)&lt;0.1*ABS(DX339),DX339-DY339,DX339)</f>
        <v>0.91158844983184</v>
      </c>
      <c r="EA339" s="60" t="n">
        <f aca="false">IFERROR((((DZ339+DL339)*DZ339+DM339)*DZ339+DN339)/((3*DZ339+2*DL339)*DZ339+DM339),0)</f>
        <v>0</v>
      </c>
      <c r="EB339" s="60" t="n">
        <f aca="false">IF(ABS(EA339)&lt;0.1*ABS(DZ339),DZ339-EA339,DZ339)</f>
        <v>0.91158844983184</v>
      </c>
      <c r="EC339" s="60" t="n">
        <f aca="false">-DN339/EB339</f>
        <v>0.0118376711504565</v>
      </c>
      <c r="ED339" s="60" t="n">
        <f aca="false">(DM339-EC339)/EB339</f>
        <v>-0.00347297415783941</v>
      </c>
      <c r="EE339" s="60" t="n">
        <f aca="false">ED339^2-4*EC339</f>
        <v>-0.0473386230523248</v>
      </c>
      <c r="EF339" s="60" t="n">
        <f aca="false">IF(EE339&gt;=0,(ED339+IF(ED339&gt;=0,1,-1)*SQRT(EE339))/2,0)</f>
        <v>0</v>
      </c>
      <c r="EG339" s="60" t="n">
        <f aca="false">IF(AND(EE339&gt;=0,EF339&lt;&gt;0),MIN(EF339,EC339/EF339),-1)</f>
        <v>-1</v>
      </c>
      <c r="EH339" s="60" t="n">
        <f aca="false">AND(EE339&gt;=0,EG339&gt;DK339,ABS(EB339-EG339)&gt;=0.00005*MAX(EB339,EG339))</f>
        <v>0</v>
      </c>
      <c r="EI339" s="60" t="n">
        <f aca="false">IF(EH339,IFERROR((((EG339+DL339)*EG339+DM339)*EG339+DN339)/((3*EG339+2*DL339)*EG339+DM339),0),0)</f>
        <v>0</v>
      </c>
      <c r="EJ339" s="60" t="n">
        <f aca="false">IF(ABS(EI339)&lt;0.1*ABS(EG339),EG339-EI339,EG339)</f>
        <v>-1</v>
      </c>
      <c r="EK339" s="60" t="n">
        <f aca="false">IF(EH339,IFERROR((((EJ339+DL339)*EJ339+DM339)*EJ339+DN339)/((3*EJ339+2*DL339)*EJ339+DM339),0),0)</f>
        <v>0</v>
      </c>
      <c r="EL339" s="60" t="n">
        <f aca="false">IF(ABS(EK339)&lt;0.1*ABS(EJ339),EJ339-EK339,EJ339)</f>
        <v>-1</v>
      </c>
      <c r="EM339" s="60" t="n">
        <f aca="false">IF(EH339,MAX(EB339,EL339),EB339)</f>
        <v>0.91158844983184</v>
      </c>
      <c r="EN339" s="60" t="n">
        <f aca="false">IF(EH339,MIN(EB339,EL339),-1)</f>
        <v>-1</v>
      </c>
      <c r="EO339" s="60" t="n">
        <f aca="false">CHOOSE($C$7,DJ339/EM339,DJ339/DK339*LN(1+DK339/EM339),DJ339/(2*SQRT(2)*DK339)*LN((EM339+(1+SQRT(2))*DK339)/(EM339+(1-SQRT(2))*DK339)))</f>
        <v>0.218240791233887</v>
      </c>
      <c r="EP339" s="60" t="n">
        <f aca="false">EM339-1-LN(EM339-DK339)-EO339</f>
        <v>-0.107840271021729</v>
      </c>
      <c r="EQ339" s="60" t="n">
        <f aca="false">IF(EH339,CHOOSE($C$7,DJ339/EN339,DJ339/DK339*LN(1+DK339/EN339),DJ339/(2*SQRT(2)*DK339)*LN((EN339+(1+SQRT(2))*DK339)/(EN339+(1-SQRT(2))*DK339))),0)</f>
        <v>0</v>
      </c>
      <c r="ER339" s="60" t="n">
        <f aca="false">IF(EH339,EN339-1-LN(EN339-DK339)-EQ339,0)</f>
        <v>0</v>
      </c>
      <c r="ES339" s="60" t="n">
        <f aca="false">AND(EH339,ER339&lt;EP339)</f>
        <v>0</v>
      </c>
      <c r="ET339" s="60" t="n">
        <f aca="false">IF(ES339,EN339,EM339)</f>
        <v>0.91158844983184</v>
      </c>
      <c r="EU339" s="60" t="n">
        <f aca="false">IF(ES339,EQ339,EO339)</f>
        <v>0.218240791233887</v>
      </c>
      <c r="EV339" s="60" t="n">
        <f aca="false">LN(ET339-DK339)</f>
        <v>-0.198812070380318</v>
      </c>
      <c r="EW339" s="60" t="n">
        <f aca="false">$E$27/DI339*(ET339-1)-EV339-EU339*(2*CV339/DH339-$E$27/DI339)</f>
        <v>-0.107840271021729</v>
      </c>
      <c r="EX339" s="60" t="n">
        <f aca="false">$F$27/DI339*(ET339-1)-EV339-EU339*(2*CW339/DH339-$F$27/DI339)</f>
        <v>0.198812070380318</v>
      </c>
      <c r="EY339" s="60" t="n">
        <f aca="false">$G$27/DI339*(ET339-1)-EV339-EU339*(2*CX339/DH339-$G$27/DI339)</f>
        <v>0.198812070380318</v>
      </c>
      <c r="EZ339" s="60" t="n">
        <f aca="false">$H$27/DI339*(ET339-1)-EV339-EU339*(2*CY339/DH339-$H$27/DI339)</f>
        <v>0.198812070380318</v>
      </c>
      <c r="FA339" s="60" t="n">
        <f aca="false">$I$27/DI339*(ET339-1)-EV339-EU339*(2*CZ339/DH339-$I$27/DI339)</f>
        <v>0.198812070380318</v>
      </c>
      <c r="FB339" s="60" t="n">
        <f aca="false">$J$27/DI339*(ET339-1)-EV339-EU339*(2*DA339/DH339-$J$27/DI339)</f>
        <v>0.198812070380318</v>
      </c>
      <c r="FC339" s="60" t="n">
        <f aca="false">$K$27/DI339*(ET339-1)-EV339-EU339*(2*DB339/DH339-$K$27/DI339)</f>
        <v>0.198812070380318</v>
      </c>
      <c r="FD339" s="60" t="n">
        <f aca="false">$L$27/DI339*(ET339-1)-EV339-EU339*(2*DC339/DH339-$L$27/DI339)</f>
        <v>0.198812070380318</v>
      </c>
      <c r="FE339" s="60" t="n">
        <f aca="false">$M$27/DI339*(ET339-1)-EV339-EU339*(2*DD339/DH339-$M$27/DI339)</f>
        <v>0.198812070380318</v>
      </c>
      <c r="FF339" s="60" t="n">
        <f aca="false">$N$27/DI339*(ET339-1)-EV339-EU339*(2*DE339/DH339-$N$27/DI339)</f>
        <v>0.198812070380318</v>
      </c>
      <c r="FG339" s="60" t="n">
        <f aca="false">$O$27/DI339*(ET339-1)-EV339-EU339*(2*DF339/DH339-$O$27/DI339)</f>
        <v>0.198812070380318</v>
      </c>
      <c r="FH339" s="60" t="n">
        <f aca="false">$P$27/DI339*(ET339-1)-EV339-EU339*(2*DG339/DH339-$P$27/DI339)</f>
        <v>0.198812070380318</v>
      </c>
      <c r="FI339" s="60" t="n">
        <f aca="false">DK339/ET339&gt;$C$22</f>
        <v>0</v>
      </c>
      <c r="FJ339" s="60" t="n">
        <f aca="false">$E$28*SUMPRODUCT($E$31:$P$31,CJ339:CU339,$E$28:$P$28)</f>
        <v>0.184416866619846</v>
      </c>
      <c r="FK339" s="60" t="n">
        <f aca="false">$F$28*SUMPRODUCT($E$32:$P$32,CJ339:CU339,$E$28:$P$28)</f>
        <v>0</v>
      </c>
      <c r="FL339" s="60" t="n">
        <f aca="false">$G$28*SUMPRODUCT($E$33:$P$33,CJ339:CU339,$E$28:$P$28)</f>
        <v>0</v>
      </c>
      <c r="FM339" s="60" t="n">
        <f aca="false">$H$28*SUMPRODUCT($E$34:$P$34,CJ339:CU339,$E$28:$P$28)</f>
        <v>0</v>
      </c>
      <c r="FN339" s="60" t="n">
        <f aca="false">$I$28*SUMPRODUCT($E$35:$P$35,CJ339:CU339,$E$28:$P$28)</f>
        <v>0</v>
      </c>
      <c r="FO339" s="60" t="n">
        <f aca="false">$J$28*SUMPRODUCT($E$36:$P$36,CJ339:CU339,$E$28:$P$28)</f>
        <v>0</v>
      </c>
      <c r="FP339" s="60" t="n">
        <f aca="false">$K$28*SUMPRODUCT($E$37:$P$37,CJ339:CU339,$E$28:$P$28)</f>
        <v>0</v>
      </c>
      <c r="FQ339" s="60" t="n">
        <f aca="false">$L$28*SUMPRODUCT($E$38:$P$38,CJ339:CU339,$E$28:$P$28)</f>
        <v>0</v>
      </c>
      <c r="FR339" s="60" t="n">
        <f aca="false">$M$28*SUMPRODUCT($E$39:$P$39,CJ339:CU339,$E$28:$P$28)</f>
        <v>0</v>
      </c>
      <c r="FS339" s="60" t="n">
        <f aca="false">$N$28*SUMPRODUCT($E$40:$P$40,CJ339:CU339,$E$28:$P$28)</f>
        <v>0</v>
      </c>
      <c r="FT339" s="60" t="n">
        <f aca="false">$O$28*SUMPRODUCT($E$41:$P$41,CJ339:CU339,$E$28:$P$28)</f>
        <v>0</v>
      </c>
      <c r="FU339" s="60" t="n">
        <f aca="false">$P$28*SUMPRODUCT($E$42:$P$42,CJ339:CU339,$E$28:$P$28)</f>
        <v>0</v>
      </c>
      <c r="FV339" s="60" t="n">
        <f aca="false">SUMPRODUCT(CJ339:CU339,FJ339:FU339)</f>
        <v>0.184416866619846</v>
      </c>
      <c r="FW339" s="60" t="n">
        <f aca="false">SUMPRODUCT(CJ339:CU339,$E$27:$P$27)</f>
        <v>2.67389635063809E-005</v>
      </c>
      <c r="FX339" s="60" t="n">
        <f aca="false">FV339*$C$9/($C$10*$C$8)^2</f>
        <v>0.21776909410545</v>
      </c>
      <c r="FY339" s="60" t="n">
        <f aca="false">FW339*$C$9/($C$10*$C$8)</f>
        <v>0.0918845243259994</v>
      </c>
      <c r="FZ339" s="60" t="n">
        <f aca="false">CHOOSE($C$7,-(1+FY339),-1,-(1-FY339))</f>
        <v>-0.908115475674001</v>
      </c>
      <c r="GA339" s="60" t="n">
        <f aca="false">CHOOSE($C$7,FX339,FX339-FY339-FY339^2,FX339-3*FY339^2-2*FY339)</f>
        <v>0.00867174802160559</v>
      </c>
      <c r="GB339" s="60" t="n">
        <f aca="false">CHOOSE($C$7,-FX339*FY339,-FX339*FY339,-(FX339*FY339-FY339^2-FY339^3))</f>
        <v>-0.0107910842936637</v>
      </c>
      <c r="GC339" s="60" t="n">
        <f aca="false">GA339-FZ339^2/3</f>
        <v>-0.266219491031267</v>
      </c>
      <c r="GD339" s="60" t="n">
        <f aca="false">2*FZ339^3/27-FZ339*GA339/3+GB339</f>
        <v>-0.0636400988362784</v>
      </c>
      <c r="GE339" s="60" t="n">
        <f aca="false">GD339^2/4+GC339^3/27</f>
        <v>0.000313710901361829</v>
      </c>
      <c r="GF339" s="60" t="n">
        <f aca="false">-GD339/2-IF(GD339&gt;=0,1,-1)*SQRT(MAX(GE339,0))</f>
        <v>0.0495319352963236</v>
      </c>
      <c r="GG339" s="60" t="n">
        <f aca="false">SIGN(GF339)*ABS(GF339)^(1/3)</f>
        <v>0.367249967174439</v>
      </c>
      <c r="GH339" s="60" t="n">
        <f aca="false">IF(GG339=0,0,GG339-GC339/(3*GG339))</f>
        <v>0.60888329127384</v>
      </c>
      <c r="GI339" s="60" t="n">
        <f aca="false">2*SQRT(MAX(-GC339,0)/3)</f>
        <v>0.595784626668918</v>
      </c>
      <c r="GJ339" s="60" t="n">
        <f aca="false">ACOS(IF(GI339=0,0,MAX(-1,MIN(1,3*GD339/(GC339*GI339)))))</f>
        <v>0</v>
      </c>
      <c r="GK339" s="60" t="n">
        <f aca="false">GI339*COS(GJ339/3)</f>
        <v>0.595784626668918</v>
      </c>
      <c r="GL339" s="60" t="n">
        <f aca="false">IF(GE339&lt;0,GK339,GH339)-FZ339/3</f>
        <v>0.91158844983184</v>
      </c>
      <c r="GM339" s="60" t="n">
        <f aca="false">IFERROR((((GL339+FZ339)*GL339+GA339)*GL339+GB339)/((3*GL339+2*FZ339)*GL339+GA339),0)</f>
        <v>0</v>
      </c>
      <c r="GN339" s="60" t="n">
        <f aca="false">IF(ABS(GM339)&lt;0.1*ABS(GL339),GL339-GM339,GL339)</f>
        <v>0.91158844983184</v>
      </c>
      <c r="GO339" s="60" t="n">
        <f aca="false">IFERROR((((GN339+FZ339)*GN339+GA339)*GN339+GB339)/((3*GN339+2*FZ339)*GN339+GA339),0)</f>
        <v>0</v>
      </c>
      <c r="GP339" s="60" t="n">
        <f aca="false">IF(ABS(GO339)&lt;0.1*ABS(GN339),GN339-GO339,GN339)</f>
        <v>0.91158844983184</v>
      </c>
      <c r="GQ339" s="60" t="n">
        <f aca="false">-GB339/GP339</f>
        <v>0.0118376711504565</v>
      </c>
      <c r="GR339" s="60" t="n">
        <f aca="false">(GA339-GQ339)/GP339</f>
        <v>-0.00347297415783941</v>
      </c>
      <c r="GS339" s="60" t="n">
        <f aca="false">GR339^2-4*GQ339</f>
        <v>-0.0473386230523248</v>
      </c>
      <c r="GT339" s="60" t="n">
        <f aca="false">IF(GS339&gt;=0,(GR339+IF(GR339&gt;=0,1,-1)*SQRT(GS339))/2,0)</f>
        <v>0</v>
      </c>
      <c r="GU339" s="60" t="n">
        <f aca="false">IF(AND(GS339&gt;=0,GT339&lt;&gt;0),MIN(GT339,GQ339/GT339),-1)</f>
        <v>-1</v>
      </c>
      <c r="GV339" s="60" t="n">
        <f aca="false">AND(GS339&gt;=0,GU339&gt;FY339,ABS(GP339-GU339)&gt;=0.00005*MAX(GP339,GU339))</f>
        <v>0</v>
      </c>
      <c r="GW339" s="60" t="n">
        <f aca="false">IF(GV339,IFERROR((((GU339+FZ339)*GU339+GA339)*GU339+GB339)/((3*GU339+2*FZ339)*GU339+GA339),0),0)</f>
        <v>0</v>
      </c>
      <c r="GX339" s="60" t="n">
        <f aca="false">IF(ABS(GW339)&lt;0.1*ABS(GU339),GU339-GW339,GU339)</f>
        <v>-1</v>
      </c>
      <c r="GY339" s="60" t="n">
        <f aca="false">IF(GV339,IFERROR((((GX339+FZ339)*GX339+GA339)*GX339+GB339)/((3*GX339+2*FZ339)*GX339+GA339),0),0)</f>
        <v>0</v>
      </c>
      <c r="GZ339" s="60" t="n">
        <f aca="false">IF(ABS(GY339)&lt;0.1*ABS(GX339),GX339-GY339,GX339)</f>
        <v>-1</v>
      </c>
      <c r="HA339" s="60" t="n">
        <f aca="false">IF(GV339,MAX(GP339,GZ339),GP339)</f>
        <v>0.91158844983184</v>
      </c>
      <c r="HB339" s="60" t="n">
        <f aca="false">IF(GV339,MIN(GP339,GZ339),-1)</f>
        <v>-1</v>
      </c>
      <c r="HC339" s="60" t="n">
        <f aca="false">CHOOSE($C$7,FX339/HA339,FX339/FY339*LN(1+FY339/HA339),FX339/(2*SQRT(2)*FY339)*LN((HA339+(1+SQRT(2))*FY339)/(HA339+(1-SQRT(2))*FY339)))</f>
        <v>0.218240791233887</v>
      </c>
      <c r="HD339" s="60" t="n">
        <f aca="false">HA339-1-LN(HA339-FY339)-HC339</f>
        <v>-0.107840271021729</v>
      </c>
      <c r="HE339" s="60" t="n">
        <f aca="false">IF(GV339,CHOOSE($C$7,FX339/HB339,FX339/FY339*LN(1+FY339/HB339),FX339/(2*SQRT(2)*FY339)*LN((HB339+(1+SQRT(2))*FY339)/(HB339+(1-SQRT(2))*FY339))),0)</f>
        <v>0</v>
      </c>
      <c r="HF339" s="60" t="n">
        <f aca="false">IF(GV339,HB339-1-LN(HB339-FY339)-HE339,0)</f>
        <v>0</v>
      </c>
      <c r="HG339" s="60" t="n">
        <f aca="false">AND(GV339,HF339&lt;HD339)</f>
        <v>0</v>
      </c>
      <c r="HH339" s="60" t="n">
        <f aca="false">IF(HG339,HB339,HA339)</f>
        <v>0.91158844983184</v>
      </c>
      <c r="HI339" s="60" t="n">
        <f aca="false">IF(HG339,HE339,HC339)</f>
        <v>0.218240791233887</v>
      </c>
      <c r="HJ339" s="60" t="n">
        <f aca="false">LN(HH339-FY339)</f>
        <v>-0.198812070380318</v>
      </c>
      <c r="HK339" s="60" t="n">
        <f aca="false">$E$27/FW339*(HH339-1)-HJ339-HI339*(2*FJ339/FV339-$E$27/FW339)</f>
        <v>-0.107840271021729</v>
      </c>
      <c r="HL339" s="60" t="n">
        <f aca="false">$F$27/FW339*(HH339-1)-HJ339-HI339*(2*FK339/FV339-$F$27/FW339)</f>
        <v>0.198812070380318</v>
      </c>
      <c r="HM339" s="60" t="n">
        <f aca="false">$G$27/FW339*(HH339-1)-HJ339-HI339*(2*FL339/FV339-$G$27/FW339)</f>
        <v>0.198812070380318</v>
      </c>
      <c r="HN339" s="60" t="n">
        <f aca="false">$H$27/FW339*(HH339-1)-HJ339-HI339*(2*FM339/FV339-$H$27/FW339)</f>
        <v>0.198812070380318</v>
      </c>
      <c r="HO339" s="60" t="n">
        <f aca="false">$I$27/FW339*(HH339-1)-HJ339-HI339*(2*FN339/FV339-$I$27/FW339)</f>
        <v>0.198812070380318</v>
      </c>
      <c r="HP339" s="60" t="n">
        <f aca="false">$J$27/FW339*(HH339-1)-HJ339-HI339*(2*FO339/FV339-$J$27/FW339)</f>
        <v>0.198812070380318</v>
      </c>
      <c r="HQ339" s="60" t="n">
        <f aca="false">$K$27/FW339*(HH339-1)-HJ339-HI339*(2*FP339/FV339-$K$27/FW339)</f>
        <v>0.198812070380318</v>
      </c>
      <c r="HR339" s="60" t="n">
        <f aca="false">$L$27/FW339*(HH339-1)-HJ339-HI339*(2*FQ339/FV339-$L$27/FW339)</f>
        <v>0.198812070380318</v>
      </c>
      <c r="HS339" s="60" t="n">
        <f aca="false">$M$27/FW339*(HH339-1)-HJ339-HI339*(2*FR339/FV339-$M$27/FW339)</f>
        <v>0.198812070380318</v>
      </c>
      <c r="HT339" s="60" t="n">
        <f aca="false">$N$27/FW339*(HH339-1)-HJ339-HI339*(2*FS339/FV339-$N$27/FW339)</f>
        <v>0.198812070380318</v>
      </c>
      <c r="HU339" s="60" t="n">
        <f aca="false">$O$27/FW339*(HH339-1)-HJ339-HI339*(2*FT339/FV339-$O$27/FW339)</f>
        <v>0.198812070380318</v>
      </c>
      <c r="HV339" s="60" t="n">
        <f aca="false">$P$27/FW339*(HH339-1)-HJ339-HI339*(2*FU339/FV339-$P$27/FW339)</f>
        <v>0.198812070380318</v>
      </c>
      <c r="HW339" s="60" t="n">
        <f aca="false">FY339/HH339&gt;$C$22</f>
        <v>0</v>
      </c>
      <c r="HX339" s="60" t="n">
        <f aca="false">IF($E$13&gt;0,MAX(-300,MIN(300,EW339-HK339)),0)</f>
        <v>0</v>
      </c>
      <c r="HY339" s="60" t="n">
        <f aca="false">IF($F$13&gt;0,MAX(-300,MIN(300,EX339-HL339)),0)</f>
        <v>0</v>
      </c>
      <c r="HZ339" s="60" t="n">
        <f aca="false">IF($G$13&gt;0,MAX(-300,MIN(300,EY339-HM339)),0)</f>
        <v>0</v>
      </c>
      <c r="IA339" s="60" t="n">
        <f aca="false">IF($H$13&gt;0,MAX(-300,MIN(300,EZ339-HN339)),0)</f>
        <v>0</v>
      </c>
      <c r="IB339" s="60" t="n">
        <f aca="false">IF($I$13&gt;0,MAX(-300,MIN(300,FA339-HO339)),0)</f>
        <v>0</v>
      </c>
      <c r="IC339" s="60" t="n">
        <f aca="false">IF($J$13&gt;0,MAX(-300,MIN(300,FB339-HP339)),0)</f>
        <v>0</v>
      </c>
      <c r="ID339" s="60" t="n">
        <f aca="false">IF($K$13&gt;0,MAX(-300,MIN(300,FC339-HQ339)),0)</f>
        <v>0</v>
      </c>
      <c r="IE339" s="60" t="n">
        <f aca="false">IF($L$13&gt;0,MAX(-300,MIN(300,FD339-HR339)),0)</f>
        <v>0</v>
      </c>
      <c r="IF339" s="60" t="n">
        <f aca="false">IF($M$13&gt;0,MAX(-300,MIN(300,FE339-HS339)),0)</f>
        <v>0</v>
      </c>
      <c r="IG339" s="60" t="n">
        <f aca="false">IF($N$13&gt;0,MAX(-300,MIN(300,FF339-HT339)),0)</f>
        <v>0</v>
      </c>
      <c r="IH339" s="60" t="n">
        <f aca="false">IF($O$13&gt;0,MAX(-300,MIN(300,FG339-HU339)),0)</f>
        <v>0</v>
      </c>
      <c r="II339" s="60" t="n">
        <f aca="false">IF($P$13&gt;0,MAX(-300,MIN(300,FH339-HV339)),0)</f>
        <v>0</v>
      </c>
      <c r="IJ339" s="60" t="n">
        <f aca="false">SUMXMY2(HX339:II339,B339:M339)</f>
        <v>0</v>
      </c>
      <c r="IK339" s="60" t="n">
        <f aca="false">SUMSQ(B339:M339)</f>
        <v>0</v>
      </c>
    </row>
    <row r="340" customFormat="false" ht="15" hidden="false" customHeight="false" outlineLevel="0" collapsed="false">
      <c r="A340" s="59" t="n">
        <v>43</v>
      </c>
      <c r="B340" s="60" t="n">
        <f aca="false">HX339</f>
        <v>0</v>
      </c>
      <c r="C340" s="60" t="n">
        <f aca="false">HY339</f>
        <v>0</v>
      </c>
      <c r="D340" s="60" t="n">
        <f aca="false">HZ339</f>
        <v>0</v>
      </c>
      <c r="E340" s="60" t="n">
        <f aca="false">IA339</f>
        <v>0</v>
      </c>
      <c r="F340" s="60" t="n">
        <f aca="false">IB339</f>
        <v>0</v>
      </c>
      <c r="G340" s="60" t="n">
        <f aca="false">IC339</f>
        <v>0</v>
      </c>
      <c r="H340" s="60" t="n">
        <f aca="false">ID339</f>
        <v>0</v>
      </c>
      <c r="I340" s="60" t="n">
        <f aca="false">IE339</f>
        <v>0</v>
      </c>
      <c r="J340" s="60" t="n">
        <f aca="false">IF339</f>
        <v>0</v>
      </c>
      <c r="K340" s="60" t="n">
        <f aca="false">IG339</f>
        <v>0</v>
      </c>
      <c r="L340" s="60" t="n">
        <f aca="false">IH339</f>
        <v>0</v>
      </c>
      <c r="M340" s="60" t="n">
        <f aca="false">II339</f>
        <v>0</v>
      </c>
      <c r="N340" s="60" t="n">
        <f aca="false">EXP(B340)</f>
        <v>1</v>
      </c>
      <c r="O340" s="60" t="n">
        <f aca="false">EXP(C340)</f>
        <v>1</v>
      </c>
      <c r="P340" s="60" t="n">
        <f aca="false">EXP(D340)</f>
        <v>1</v>
      </c>
      <c r="Q340" s="60" t="n">
        <f aca="false">EXP(E340)</f>
        <v>1</v>
      </c>
      <c r="R340" s="60" t="n">
        <f aca="false">EXP(F340)</f>
        <v>1</v>
      </c>
      <c r="S340" s="60" t="n">
        <f aca="false">EXP(G340)</f>
        <v>1</v>
      </c>
      <c r="T340" s="60" t="n">
        <f aca="false">EXP(H340)</f>
        <v>1</v>
      </c>
      <c r="U340" s="60" t="n">
        <f aca="false">EXP(I340)</f>
        <v>1</v>
      </c>
      <c r="V340" s="60" t="n">
        <f aca="false">EXP(J340)</f>
        <v>1</v>
      </c>
      <c r="W340" s="60" t="n">
        <f aca="false">EXP(K340)</f>
        <v>1</v>
      </c>
      <c r="X340" s="60" t="n">
        <f aca="false">EXP(L340)</f>
        <v>1</v>
      </c>
      <c r="Y340" s="60" t="n">
        <f aca="false">EXP(M340)</f>
        <v>1</v>
      </c>
      <c r="Z340" s="60" t="n">
        <f aca="false">MAX(N340:Y340)</f>
        <v>1</v>
      </c>
      <c r="AA340" s="60" t="n">
        <f aca="false">MIN(N340:Y340)</f>
        <v>1</v>
      </c>
      <c r="AB340" s="60" t="n">
        <f aca="false">AND(Z340&gt;1,AA340&lt;1)</f>
        <v>0</v>
      </c>
      <c r="AC340" s="60" t="n">
        <f aca="false">IF(AB340,1/(1-Z340),0)</f>
        <v>0</v>
      </c>
      <c r="AD340" s="60" t="n">
        <f aca="false">IF(AB340,1/(1-AA340),1)</f>
        <v>1</v>
      </c>
      <c r="AE340" s="60" t="n">
        <f aca="false">IF(AB340,MIN(MAX(BI339,AC340+0.000000001*(AD340-AC340)),AD340-0.000000001*(AD340-AC340)),IF(AA340&gt;=1,1,0))</f>
        <v>1</v>
      </c>
      <c r="AF340" s="60" t="n">
        <f aca="false">SUMPRODUCT($E$13:$P$13*(N340:Y340-1)/(1+AE340*(N340:Y340-1)))</f>
        <v>0</v>
      </c>
      <c r="AG340" s="60" t="n">
        <f aca="false">-SUMPRODUCT($E$13:$P$13*(N340:Y340-1)^2/(1+AE340*(N340:Y340-1))^2)</f>
        <v>-0</v>
      </c>
      <c r="AH340" s="60" t="n">
        <f aca="false">IF(OR(NOT(AB340),AG340=0),AE340,IF(AE340-AF340/AG340&lt;=AC340,(AE340+AC340)/2,IF(AE340-AF340/AG340&gt;=AD340,(AE340+AD340)/2,AE340-AF340/AG340)))</f>
        <v>1</v>
      </c>
      <c r="AI340" s="60" t="n">
        <f aca="false">SUMPRODUCT($E$13:$P$13*(N340:Y340-1)/(1+AH340*(N340:Y340-1)))</f>
        <v>0</v>
      </c>
      <c r="AJ340" s="60" t="n">
        <f aca="false">-SUMPRODUCT($E$13:$P$13*(N340:Y340-1)^2/(1+AH340*(N340:Y340-1))^2)</f>
        <v>-0</v>
      </c>
      <c r="AK340" s="60" t="n">
        <f aca="false">IF(OR(NOT(AB340),AJ340=0),AH340,IF(AH340-AI340/AJ340&lt;=AC340,(AH340+AC340)/2,IF(AH340-AI340/AJ340&gt;=AD340,(AH340+AD340)/2,AH340-AI340/AJ340)))</f>
        <v>1</v>
      </c>
      <c r="AL340" s="60" t="n">
        <f aca="false">SUMPRODUCT($E$13:$P$13*(N340:Y340-1)/(1+AK340*(N340:Y340-1)))</f>
        <v>0</v>
      </c>
      <c r="AM340" s="60" t="n">
        <f aca="false">-SUMPRODUCT($E$13:$P$13*(N340:Y340-1)^2/(1+AK340*(N340:Y340-1))^2)</f>
        <v>-0</v>
      </c>
      <c r="AN340" s="60" t="n">
        <f aca="false">IF(OR(NOT(AB340),AM340=0),AK340,IF(AK340-AL340/AM340&lt;=AC340,(AK340+AC340)/2,IF(AK340-AL340/AM340&gt;=AD340,(AK340+AD340)/2,AK340-AL340/AM340)))</f>
        <v>1</v>
      </c>
      <c r="AO340" s="60" t="n">
        <f aca="false">SUMPRODUCT($E$13:$P$13*(N340:Y340-1)/(1+AN340*(N340:Y340-1)))</f>
        <v>0</v>
      </c>
      <c r="AP340" s="60" t="n">
        <f aca="false">-SUMPRODUCT($E$13:$P$13*(N340:Y340-1)^2/(1+AN340*(N340:Y340-1))^2)</f>
        <v>-0</v>
      </c>
      <c r="AQ340" s="60" t="n">
        <f aca="false">IF(OR(NOT(AB340),AP340=0),AN340,IF(AN340-AO340/AP340&lt;=AC340,(AN340+AC340)/2,IF(AN340-AO340/AP340&gt;=AD340,(AN340+AD340)/2,AN340-AO340/AP340)))</f>
        <v>1</v>
      </c>
      <c r="AR340" s="60" t="n">
        <f aca="false">SUMPRODUCT($E$13:$P$13*(N340:Y340-1)/(1+AQ340*(N340:Y340-1)))</f>
        <v>0</v>
      </c>
      <c r="AS340" s="60" t="n">
        <f aca="false">-SUMPRODUCT($E$13:$P$13*(N340:Y340-1)^2/(1+AQ340*(N340:Y340-1))^2)</f>
        <v>-0</v>
      </c>
      <c r="AT340" s="60" t="n">
        <f aca="false">IF(OR(NOT(AB340),AS340=0),AQ340,IF(AQ340-AR340/AS340&lt;=AC340,(AQ340+AC340)/2,IF(AQ340-AR340/AS340&gt;=AD340,(AQ340+AD340)/2,AQ340-AR340/AS340)))</f>
        <v>1</v>
      </c>
      <c r="AU340" s="60" t="n">
        <f aca="false">SUMPRODUCT($E$13:$P$13*(N340:Y340-1)/(1+AT340*(N340:Y340-1)))</f>
        <v>0</v>
      </c>
      <c r="AV340" s="60" t="n">
        <f aca="false">-SUMPRODUCT($E$13:$P$13*(N340:Y340-1)^2/(1+AT340*(N340:Y340-1))^2)</f>
        <v>-0</v>
      </c>
      <c r="AW340" s="60" t="n">
        <f aca="false">IF(OR(NOT(AB340),AV340=0),AT340,IF(AT340-AU340/AV340&lt;=AC340,(AT340+AC340)/2,IF(AT340-AU340/AV340&gt;=AD340,(AT340+AD340)/2,AT340-AU340/AV340)))</f>
        <v>1</v>
      </c>
      <c r="AX340" s="60" t="n">
        <f aca="false">SUMPRODUCT($E$13:$P$13*(N340:Y340-1)/(1+AW340*(N340:Y340-1)))</f>
        <v>0</v>
      </c>
      <c r="AY340" s="60" t="n">
        <f aca="false">-SUMPRODUCT($E$13:$P$13*(N340:Y340-1)^2/(1+AW340*(N340:Y340-1))^2)</f>
        <v>-0</v>
      </c>
      <c r="AZ340" s="60" t="n">
        <f aca="false">IF(OR(NOT(AB340),AY340=0),AW340,IF(AW340-AX340/AY340&lt;=AC340,(AW340+AC340)/2,IF(AW340-AX340/AY340&gt;=AD340,(AW340+AD340)/2,AW340-AX340/AY340)))</f>
        <v>1</v>
      </c>
      <c r="BA340" s="60" t="n">
        <f aca="false">SUMPRODUCT($E$13:$P$13*(N340:Y340-1)/(1+AZ340*(N340:Y340-1)))</f>
        <v>0</v>
      </c>
      <c r="BB340" s="60" t="n">
        <f aca="false">-SUMPRODUCT($E$13:$P$13*(N340:Y340-1)^2/(1+AZ340*(N340:Y340-1))^2)</f>
        <v>-0</v>
      </c>
      <c r="BC340" s="60" t="n">
        <f aca="false">IF(OR(NOT(AB340),BB340=0),AZ340,IF(AZ340-BA340/BB340&lt;=AC340,(AZ340+AC340)/2,IF(AZ340-BA340/BB340&gt;=AD340,(AZ340+AD340)/2,AZ340-BA340/BB340)))</f>
        <v>1</v>
      </c>
      <c r="BD340" s="60" t="n">
        <f aca="false">SUMPRODUCT($E$13:$P$13*(N340:Y340-1)/(1+BC340*(N340:Y340-1)))</f>
        <v>0</v>
      </c>
      <c r="BE340" s="60" t="n">
        <f aca="false">-SUMPRODUCT($E$13:$P$13*(N340:Y340-1)^2/(1+BC340*(N340:Y340-1))^2)</f>
        <v>-0</v>
      </c>
      <c r="BF340" s="60" t="n">
        <f aca="false">IF(OR(NOT(AB340),BE340=0),BC340,IF(BC340-BD340/BE340&lt;=AC340,(BC340+AC340)/2,IF(BC340-BD340/BE340&gt;=AD340,(BC340+AD340)/2,BC340-BD340/BE340)))</f>
        <v>1</v>
      </c>
      <c r="BG340" s="60" t="n">
        <f aca="false">SUMPRODUCT($E$13:$P$13*(N340:Y340-1)/(1+BF340*(N340:Y340-1)))</f>
        <v>0</v>
      </c>
      <c r="BH340" s="60" t="n">
        <f aca="false">-SUMPRODUCT($E$13:$P$13*(N340:Y340-1)^2/(1+BF340*(N340:Y340-1))^2)</f>
        <v>-0</v>
      </c>
      <c r="BI340" s="60" t="n">
        <f aca="false">IF(OR(NOT(AB340),BH340=0),BF340,IF(BF340-BG340/BH340&lt;=AC340,(BF340+AC340)/2,IF(BF340-BG340/BH340&gt;=AD340,(BF340+AD340)/2,BF340-BG340/BH340)))</f>
        <v>1</v>
      </c>
      <c r="BJ340" s="60" t="n">
        <f aca="false">$E$13/(1+BI340*(N340-1))</f>
        <v>1</v>
      </c>
      <c r="BK340" s="60" t="n">
        <f aca="false">$F$13/(1+BI340*(O340-1))</f>
        <v>0</v>
      </c>
      <c r="BL340" s="60" t="n">
        <f aca="false">$G$13/(1+BI340*(P340-1))</f>
        <v>0</v>
      </c>
      <c r="BM340" s="60" t="n">
        <f aca="false">$H$13/(1+BI340*(Q340-1))</f>
        <v>0</v>
      </c>
      <c r="BN340" s="60" t="n">
        <f aca="false">$I$13/(1+BI340*(R340-1))</f>
        <v>0</v>
      </c>
      <c r="BO340" s="60" t="n">
        <f aca="false">$J$13/(1+BI340*(S340-1))</f>
        <v>0</v>
      </c>
      <c r="BP340" s="60" t="n">
        <f aca="false">$K$13/(1+BI340*(T340-1))</f>
        <v>0</v>
      </c>
      <c r="BQ340" s="60" t="n">
        <f aca="false">$L$13/(1+BI340*(U340-1))</f>
        <v>0</v>
      </c>
      <c r="BR340" s="60" t="n">
        <f aca="false">$M$13/(1+BI340*(V340-1))</f>
        <v>0</v>
      </c>
      <c r="BS340" s="60" t="n">
        <f aca="false">$N$13/(1+BI340*(W340-1))</f>
        <v>0</v>
      </c>
      <c r="BT340" s="60" t="n">
        <f aca="false">$O$13/(1+BI340*(X340-1))</f>
        <v>0</v>
      </c>
      <c r="BU340" s="60" t="n">
        <f aca="false">$P$13/(1+BI340*(Y340-1))</f>
        <v>0</v>
      </c>
      <c r="BV340" s="60" t="n">
        <f aca="false">SUM(BJ340:BU340)</f>
        <v>1</v>
      </c>
      <c r="BW340" s="60" t="n">
        <f aca="false">SUMPRODUCT(N340:Y340,BJ340:BU340)</f>
        <v>1</v>
      </c>
      <c r="BX340" s="60" t="n">
        <f aca="false">BJ340/BV340</f>
        <v>1</v>
      </c>
      <c r="BY340" s="60" t="n">
        <f aca="false">BK340/BV340</f>
        <v>0</v>
      </c>
      <c r="BZ340" s="60" t="n">
        <f aca="false">BL340/BV340</f>
        <v>0</v>
      </c>
      <c r="CA340" s="60" t="n">
        <f aca="false">BM340/BV340</f>
        <v>0</v>
      </c>
      <c r="CB340" s="60" t="n">
        <f aca="false">BN340/BV340</f>
        <v>0</v>
      </c>
      <c r="CC340" s="60" t="n">
        <f aca="false">BO340/BV340</f>
        <v>0</v>
      </c>
      <c r="CD340" s="60" t="n">
        <f aca="false">BP340/BV340</f>
        <v>0</v>
      </c>
      <c r="CE340" s="60" t="n">
        <f aca="false">BQ340/BV340</f>
        <v>0</v>
      </c>
      <c r="CF340" s="60" t="n">
        <f aca="false">BR340/BV340</f>
        <v>0</v>
      </c>
      <c r="CG340" s="60" t="n">
        <f aca="false">BS340/BV340</f>
        <v>0</v>
      </c>
      <c r="CH340" s="60" t="n">
        <f aca="false">BT340/BV340</f>
        <v>0</v>
      </c>
      <c r="CI340" s="60" t="n">
        <f aca="false">BU340/BV340</f>
        <v>0</v>
      </c>
      <c r="CJ340" s="60" t="n">
        <f aca="false">N340*BJ340/BW340</f>
        <v>1</v>
      </c>
      <c r="CK340" s="60" t="n">
        <f aca="false">O340*BK340/BW340</f>
        <v>0</v>
      </c>
      <c r="CL340" s="60" t="n">
        <f aca="false">P340*BL340/BW340</f>
        <v>0</v>
      </c>
      <c r="CM340" s="60" t="n">
        <f aca="false">Q340*BM340/BW340</f>
        <v>0</v>
      </c>
      <c r="CN340" s="60" t="n">
        <f aca="false">R340*BN340/BW340</f>
        <v>0</v>
      </c>
      <c r="CO340" s="60" t="n">
        <f aca="false">S340*BO340/BW340</f>
        <v>0</v>
      </c>
      <c r="CP340" s="60" t="n">
        <f aca="false">T340*BP340/BW340</f>
        <v>0</v>
      </c>
      <c r="CQ340" s="60" t="n">
        <f aca="false">U340*BQ340/BW340</f>
        <v>0</v>
      </c>
      <c r="CR340" s="60" t="n">
        <f aca="false">V340*BR340/BW340</f>
        <v>0</v>
      </c>
      <c r="CS340" s="60" t="n">
        <f aca="false">W340*BS340/BW340</f>
        <v>0</v>
      </c>
      <c r="CT340" s="60" t="n">
        <f aca="false">X340*BT340/BW340</f>
        <v>0</v>
      </c>
      <c r="CU340" s="60" t="n">
        <f aca="false">Y340*BU340/BW340</f>
        <v>0</v>
      </c>
      <c r="CV340" s="60" t="n">
        <f aca="false">$E$28*SUMPRODUCT($E$31:$P$31,BX340:CI340,$E$28:$P$28)</f>
        <v>0.184416866619846</v>
      </c>
      <c r="CW340" s="60" t="n">
        <f aca="false">$F$28*SUMPRODUCT($E$32:$P$32,BX340:CI340,$E$28:$P$28)</f>
        <v>0</v>
      </c>
      <c r="CX340" s="60" t="n">
        <f aca="false">$G$28*SUMPRODUCT($E$33:$P$33,BX340:CI340,$E$28:$P$28)</f>
        <v>0</v>
      </c>
      <c r="CY340" s="60" t="n">
        <f aca="false">$H$28*SUMPRODUCT($E$34:$P$34,BX340:CI340,$E$28:$P$28)</f>
        <v>0</v>
      </c>
      <c r="CZ340" s="60" t="n">
        <f aca="false">$I$28*SUMPRODUCT($E$35:$P$35,BX340:CI340,$E$28:$P$28)</f>
        <v>0</v>
      </c>
      <c r="DA340" s="60" t="n">
        <f aca="false">$J$28*SUMPRODUCT($E$36:$P$36,BX340:CI340,$E$28:$P$28)</f>
        <v>0</v>
      </c>
      <c r="DB340" s="60" t="n">
        <f aca="false">$K$28*SUMPRODUCT($E$37:$P$37,BX340:CI340,$E$28:$P$28)</f>
        <v>0</v>
      </c>
      <c r="DC340" s="60" t="n">
        <f aca="false">$L$28*SUMPRODUCT($E$38:$P$38,BX340:CI340,$E$28:$P$28)</f>
        <v>0</v>
      </c>
      <c r="DD340" s="60" t="n">
        <f aca="false">$M$28*SUMPRODUCT($E$39:$P$39,BX340:CI340,$E$28:$P$28)</f>
        <v>0</v>
      </c>
      <c r="DE340" s="60" t="n">
        <f aca="false">$N$28*SUMPRODUCT($E$40:$P$40,BX340:CI340,$E$28:$P$28)</f>
        <v>0</v>
      </c>
      <c r="DF340" s="60" t="n">
        <f aca="false">$O$28*SUMPRODUCT($E$41:$P$41,BX340:CI340,$E$28:$P$28)</f>
        <v>0</v>
      </c>
      <c r="DG340" s="60" t="n">
        <f aca="false">$P$28*SUMPRODUCT($E$42:$P$42,BX340:CI340,$E$28:$P$28)</f>
        <v>0</v>
      </c>
      <c r="DH340" s="60" t="n">
        <f aca="false">SUMPRODUCT(BX340:CI340,CV340:DG340)</f>
        <v>0.184416866619846</v>
      </c>
      <c r="DI340" s="60" t="n">
        <f aca="false">SUMPRODUCT(BX340:CI340,$E$27:$P$27)</f>
        <v>2.67389635063809E-005</v>
      </c>
      <c r="DJ340" s="60" t="n">
        <f aca="false">DH340*$C$9/($C$10*$C$8)^2</f>
        <v>0.21776909410545</v>
      </c>
      <c r="DK340" s="60" t="n">
        <f aca="false">DI340*$C$9/($C$10*$C$8)</f>
        <v>0.0918845243259994</v>
      </c>
      <c r="DL340" s="60" t="n">
        <f aca="false">CHOOSE($C$7,-(1+DK340),-1,-(1-DK340))</f>
        <v>-0.908115475674001</v>
      </c>
      <c r="DM340" s="60" t="n">
        <f aca="false">CHOOSE($C$7,DJ340,DJ340-DK340-DK340^2,DJ340-3*DK340^2-2*DK340)</f>
        <v>0.00867174802160559</v>
      </c>
      <c r="DN340" s="60" t="n">
        <f aca="false">CHOOSE($C$7,-DJ340*DK340,-DJ340*DK340,-(DJ340*DK340-DK340^2-DK340^3))</f>
        <v>-0.0107910842936637</v>
      </c>
      <c r="DO340" s="60" t="n">
        <f aca="false">DM340-DL340^2/3</f>
        <v>-0.266219491031267</v>
      </c>
      <c r="DP340" s="60" t="n">
        <f aca="false">2*DL340^3/27-DL340*DM340/3+DN340</f>
        <v>-0.0636400988362784</v>
      </c>
      <c r="DQ340" s="60" t="n">
        <f aca="false">DP340^2/4+DO340^3/27</f>
        <v>0.000313710901361829</v>
      </c>
      <c r="DR340" s="60" t="n">
        <f aca="false">-DP340/2-IF(DP340&gt;=0,1,-1)*SQRT(MAX(DQ340,0))</f>
        <v>0.0495319352963236</v>
      </c>
      <c r="DS340" s="60" t="n">
        <f aca="false">SIGN(DR340)*ABS(DR340)^(1/3)</f>
        <v>0.367249967174439</v>
      </c>
      <c r="DT340" s="60" t="n">
        <f aca="false">IF(DS340=0,0,DS340-DO340/(3*DS340))</f>
        <v>0.60888329127384</v>
      </c>
      <c r="DU340" s="60" t="n">
        <f aca="false">2*SQRT(MAX(-DO340,0)/3)</f>
        <v>0.595784626668918</v>
      </c>
      <c r="DV340" s="60" t="n">
        <f aca="false">ACOS(IF(DU340=0,0,MAX(-1,MIN(1,3*DP340/(DO340*DU340)))))</f>
        <v>0</v>
      </c>
      <c r="DW340" s="60" t="n">
        <f aca="false">DU340*COS(DV340/3)</f>
        <v>0.595784626668918</v>
      </c>
      <c r="DX340" s="60" t="n">
        <f aca="false">IF(DQ340&lt;0,DW340,DT340)-DL340/3</f>
        <v>0.91158844983184</v>
      </c>
      <c r="DY340" s="60" t="n">
        <f aca="false">IFERROR((((DX340+DL340)*DX340+DM340)*DX340+DN340)/((3*DX340+2*DL340)*DX340+DM340),0)</f>
        <v>0</v>
      </c>
      <c r="DZ340" s="60" t="n">
        <f aca="false">IF(ABS(DY340)&lt;0.1*ABS(DX340),DX340-DY340,DX340)</f>
        <v>0.91158844983184</v>
      </c>
      <c r="EA340" s="60" t="n">
        <f aca="false">IFERROR((((DZ340+DL340)*DZ340+DM340)*DZ340+DN340)/((3*DZ340+2*DL340)*DZ340+DM340),0)</f>
        <v>0</v>
      </c>
      <c r="EB340" s="60" t="n">
        <f aca="false">IF(ABS(EA340)&lt;0.1*ABS(DZ340),DZ340-EA340,DZ340)</f>
        <v>0.91158844983184</v>
      </c>
      <c r="EC340" s="60" t="n">
        <f aca="false">-DN340/EB340</f>
        <v>0.0118376711504565</v>
      </c>
      <c r="ED340" s="60" t="n">
        <f aca="false">(DM340-EC340)/EB340</f>
        <v>-0.00347297415783941</v>
      </c>
      <c r="EE340" s="60" t="n">
        <f aca="false">ED340^2-4*EC340</f>
        <v>-0.0473386230523248</v>
      </c>
      <c r="EF340" s="60" t="n">
        <f aca="false">IF(EE340&gt;=0,(ED340+IF(ED340&gt;=0,1,-1)*SQRT(EE340))/2,0)</f>
        <v>0</v>
      </c>
      <c r="EG340" s="60" t="n">
        <f aca="false">IF(AND(EE340&gt;=0,EF340&lt;&gt;0),MIN(EF340,EC340/EF340),-1)</f>
        <v>-1</v>
      </c>
      <c r="EH340" s="60" t="n">
        <f aca="false">AND(EE340&gt;=0,EG340&gt;DK340,ABS(EB340-EG340)&gt;=0.00005*MAX(EB340,EG340))</f>
        <v>0</v>
      </c>
      <c r="EI340" s="60" t="n">
        <f aca="false">IF(EH340,IFERROR((((EG340+DL340)*EG340+DM340)*EG340+DN340)/((3*EG340+2*DL340)*EG340+DM340),0),0)</f>
        <v>0</v>
      </c>
      <c r="EJ340" s="60" t="n">
        <f aca="false">IF(ABS(EI340)&lt;0.1*ABS(EG340),EG340-EI340,EG340)</f>
        <v>-1</v>
      </c>
      <c r="EK340" s="60" t="n">
        <f aca="false">IF(EH340,IFERROR((((EJ340+DL340)*EJ340+DM340)*EJ340+DN340)/((3*EJ340+2*DL340)*EJ340+DM340),0),0)</f>
        <v>0</v>
      </c>
      <c r="EL340" s="60" t="n">
        <f aca="false">IF(ABS(EK340)&lt;0.1*ABS(EJ340),EJ340-EK340,EJ340)</f>
        <v>-1</v>
      </c>
      <c r="EM340" s="60" t="n">
        <f aca="false">IF(EH340,MAX(EB340,EL340),EB340)</f>
        <v>0.91158844983184</v>
      </c>
      <c r="EN340" s="60" t="n">
        <f aca="false">IF(EH340,MIN(EB340,EL340),-1)</f>
        <v>-1</v>
      </c>
      <c r="EO340" s="60" t="n">
        <f aca="false">CHOOSE($C$7,DJ340/EM340,DJ340/DK340*LN(1+DK340/EM340),DJ340/(2*SQRT(2)*DK340)*LN((EM340+(1+SQRT(2))*DK340)/(EM340+(1-SQRT(2))*DK340)))</f>
        <v>0.218240791233887</v>
      </c>
      <c r="EP340" s="60" t="n">
        <f aca="false">EM340-1-LN(EM340-DK340)-EO340</f>
        <v>-0.107840271021729</v>
      </c>
      <c r="EQ340" s="60" t="n">
        <f aca="false">IF(EH340,CHOOSE($C$7,DJ340/EN340,DJ340/DK340*LN(1+DK340/EN340),DJ340/(2*SQRT(2)*DK340)*LN((EN340+(1+SQRT(2))*DK340)/(EN340+(1-SQRT(2))*DK340))),0)</f>
        <v>0</v>
      </c>
      <c r="ER340" s="60" t="n">
        <f aca="false">IF(EH340,EN340-1-LN(EN340-DK340)-EQ340,0)</f>
        <v>0</v>
      </c>
      <c r="ES340" s="60" t="n">
        <f aca="false">AND(EH340,ER340&lt;EP340)</f>
        <v>0</v>
      </c>
      <c r="ET340" s="60" t="n">
        <f aca="false">IF(ES340,EN340,EM340)</f>
        <v>0.91158844983184</v>
      </c>
      <c r="EU340" s="60" t="n">
        <f aca="false">IF(ES340,EQ340,EO340)</f>
        <v>0.218240791233887</v>
      </c>
      <c r="EV340" s="60" t="n">
        <f aca="false">LN(ET340-DK340)</f>
        <v>-0.198812070380318</v>
      </c>
      <c r="EW340" s="60" t="n">
        <f aca="false">$E$27/DI340*(ET340-1)-EV340-EU340*(2*CV340/DH340-$E$27/DI340)</f>
        <v>-0.107840271021729</v>
      </c>
      <c r="EX340" s="60" t="n">
        <f aca="false">$F$27/DI340*(ET340-1)-EV340-EU340*(2*CW340/DH340-$F$27/DI340)</f>
        <v>0.198812070380318</v>
      </c>
      <c r="EY340" s="60" t="n">
        <f aca="false">$G$27/DI340*(ET340-1)-EV340-EU340*(2*CX340/DH340-$G$27/DI340)</f>
        <v>0.198812070380318</v>
      </c>
      <c r="EZ340" s="60" t="n">
        <f aca="false">$H$27/DI340*(ET340-1)-EV340-EU340*(2*CY340/DH340-$H$27/DI340)</f>
        <v>0.198812070380318</v>
      </c>
      <c r="FA340" s="60" t="n">
        <f aca="false">$I$27/DI340*(ET340-1)-EV340-EU340*(2*CZ340/DH340-$I$27/DI340)</f>
        <v>0.198812070380318</v>
      </c>
      <c r="FB340" s="60" t="n">
        <f aca="false">$J$27/DI340*(ET340-1)-EV340-EU340*(2*DA340/DH340-$J$27/DI340)</f>
        <v>0.198812070380318</v>
      </c>
      <c r="FC340" s="60" t="n">
        <f aca="false">$K$27/DI340*(ET340-1)-EV340-EU340*(2*DB340/DH340-$K$27/DI340)</f>
        <v>0.198812070380318</v>
      </c>
      <c r="FD340" s="60" t="n">
        <f aca="false">$L$27/DI340*(ET340-1)-EV340-EU340*(2*DC340/DH340-$L$27/DI340)</f>
        <v>0.198812070380318</v>
      </c>
      <c r="FE340" s="60" t="n">
        <f aca="false">$M$27/DI340*(ET340-1)-EV340-EU340*(2*DD340/DH340-$M$27/DI340)</f>
        <v>0.198812070380318</v>
      </c>
      <c r="FF340" s="60" t="n">
        <f aca="false">$N$27/DI340*(ET340-1)-EV340-EU340*(2*DE340/DH340-$N$27/DI340)</f>
        <v>0.198812070380318</v>
      </c>
      <c r="FG340" s="60" t="n">
        <f aca="false">$O$27/DI340*(ET340-1)-EV340-EU340*(2*DF340/DH340-$O$27/DI340)</f>
        <v>0.198812070380318</v>
      </c>
      <c r="FH340" s="60" t="n">
        <f aca="false">$P$27/DI340*(ET340-1)-EV340-EU340*(2*DG340/DH340-$P$27/DI340)</f>
        <v>0.198812070380318</v>
      </c>
      <c r="FI340" s="60" t="n">
        <f aca="false">DK340/ET340&gt;$C$22</f>
        <v>0</v>
      </c>
      <c r="FJ340" s="60" t="n">
        <f aca="false">$E$28*SUMPRODUCT($E$31:$P$31,CJ340:CU340,$E$28:$P$28)</f>
        <v>0.184416866619846</v>
      </c>
      <c r="FK340" s="60" t="n">
        <f aca="false">$F$28*SUMPRODUCT($E$32:$P$32,CJ340:CU340,$E$28:$P$28)</f>
        <v>0</v>
      </c>
      <c r="FL340" s="60" t="n">
        <f aca="false">$G$28*SUMPRODUCT($E$33:$P$33,CJ340:CU340,$E$28:$P$28)</f>
        <v>0</v>
      </c>
      <c r="FM340" s="60" t="n">
        <f aca="false">$H$28*SUMPRODUCT($E$34:$P$34,CJ340:CU340,$E$28:$P$28)</f>
        <v>0</v>
      </c>
      <c r="FN340" s="60" t="n">
        <f aca="false">$I$28*SUMPRODUCT($E$35:$P$35,CJ340:CU340,$E$28:$P$28)</f>
        <v>0</v>
      </c>
      <c r="FO340" s="60" t="n">
        <f aca="false">$J$28*SUMPRODUCT($E$36:$P$36,CJ340:CU340,$E$28:$P$28)</f>
        <v>0</v>
      </c>
      <c r="FP340" s="60" t="n">
        <f aca="false">$K$28*SUMPRODUCT($E$37:$P$37,CJ340:CU340,$E$28:$P$28)</f>
        <v>0</v>
      </c>
      <c r="FQ340" s="60" t="n">
        <f aca="false">$L$28*SUMPRODUCT($E$38:$P$38,CJ340:CU340,$E$28:$P$28)</f>
        <v>0</v>
      </c>
      <c r="FR340" s="60" t="n">
        <f aca="false">$M$28*SUMPRODUCT($E$39:$P$39,CJ340:CU340,$E$28:$P$28)</f>
        <v>0</v>
      </c>
      <c r="FS340" s="60" t="n">
        <f aca="false">$N$28*SUMPRODUCT($E$40:$P$40,CJ340:CU340,$E$28:$P$28)</f>
        <v>0</v>
      </c>
      <c r="FT340" s="60" t="n">
        <f aca="false">$O$28*SUMPRODUCT($E$41:$P$41,CJ340:CU340,$E$28:$P$28)</f>
        <v>0</v>
      </c>
      <c r="FU340" s="60" t="n">
        <f aca="false">$P$28*SUMPRODUCT($E$42:$P$42,CJ340:CU340,$E$28:$P$28)</f>
        <v>0</v>
      </c>
      <c r="FV340" s="60" t="n">
        <f aca="false">SUMPRODUCT(CJ340:CU340,FJ340:FU340)</f>
        <v>0.184416866619846</v>
      </c>
      <c r="FW340" s="60" t="n">
        <f aca="false">SUMPRODUCT(CJ340:CU340,$E$27:$P$27)</f>
        <v>2.67389635063809E-005</v>
      </c>
      <c r="FX340" s="60" t="n">
        <f aca="false">FV340*$C$9/($C$10*$C$8)^2</f>
        <v>0.21776909410545</v>
      </c>
      <c r="FY340" s="60" t="n">
        <f aca="false">FW340*$C$9/($C$10*$C$8)</f>
        <v>0.0918845243259994</v>
      </c>
      <c r="FZ340" s="60" t="n">
        <f aca="false">CHOOSE($C$7,-(1+FY340),-1,-(1-FY340))</f>
        <v>-0.908115475674001</v>
      </c>
      <c r="GA340" s="60" t="n">
        <f aca="false">CHOOSE($C$7,FX340,FX340-FY340-FY340^2,FX340-3*FY340^2-2*FY340)</f>
        <v>0.00867174802160559</v>
      </c>
      <c r="GB340" s="60" t="n">
        <f aca="false">CHOOSE($C$7,-FX340*FY340,-FX340*FY340,-(FX340*FY340-FY340^2-FY340^3))</f>
        <v>-0.0107910842936637</v>
      </c>
      <c r="GC340" s="60" t="n">
        <f aca="false">GA340-FZ340^2/3</f>
        <v>-0.266219491031267</v>
      </c>
      <c r="GD340" s="60" t="n">
        <f aca="false">2*FZ340^3/27-FZ340*GA340/3+GB340</f>
        <v>-0.0636400988362784</v>
      </c>
      <c r="GE340" s="60" t="n">
        <f aca="false">GD340^2/4+GC340^3/27</f>
        <v>0.000313710901361829</v>
      </c>
      <c r="GF340" s="60" t="n">
        <f aca="false">-GD340/2-IF(GD340&gt;=0,1,-1)*SQRT(MAX(GE340,0))</f>
        <v>0.0495319352963236</v>
      </c>
      <c r="GG340" s="60" t="n">
        <f aca="false">SIGN(GF340)*ABS(GF340)^(1/3)</f>
        <v>0.367249967174439</v>
      </c>
      <c r="GH340" s="60" t="n">
        <f aca="false">IF(GG340=0,0,GG340-GC340/(3*GG340))</f>
        <v>0.60888329127384</v>
      </c>
      <c r="GI340" s="60" t="n">
        <f aca="false">2*SQRT(MAX(-GC340,0)/3)</f>
        <v>0.595784626668918</v>
      </c>
      <c r="GJ340" s="60" t="n">
        <f aca="false">ACOS(IF(GI340=0,0,MAX(-1,MIN(1,3*GD340/(GC340*GI340)))))</f>
        <v>0</v>
      </c>
      <c r="GK340" s="60" t="n">
        <f aca="false">GI340*COS(GJ340/3)</f>
        <v>0.595784626668918</v>
      </c>
      <c r="GL340" s="60" t="n">
        <f aca="false">IF(GE340&lt;0,GK340,GH340)-FZ340/3</f>
        <v>0.91158844983184</v>
      </c>
      <c r="GM340" s="60" t="n">
        <f aca="false">IFERROR((((GL340+FZ340)*GL340+GA340)*GL340+GB340)/((3*GL340+2*FZ340)*GL340+GA340),0)</f>
        <v>0</v>
      </c>
      <c r="GN340" s="60" t="n">
        <f aca="false">IF(ABS(GM340)&lt;0.1*ABS(GL340),GL340-GM340,GL340)</f>
        <v>0.91158844983184</v>
      </c>
      <c r="GO340" s="60" t="n">
        <f aca="false">IFERROR((((GN340+FZ340)*GN340+GA340)*GN340+GB340)/((3*GN340+2*FZ340)*GN340+GA340),0)</f>
        <v>0</v>
      </c>
      <c r="GP340" s="60" t="n">
        <f aca="false">IF(ABS(GO340)&lt;0.1*ABS(GN340),GN340-GO340,GN340)</f>
        <v>0.91158844983184</v>
      </c>
      <c r="GQ340" s="60" t="n">
        <f aca="false">-GB340/GP340</f>
        <v>0.0118376711504565</v>
      </c>
      <c r="GR340" s="60" t="n">
        <f aca="false">(GA340-GQ340)/GP340</f>
        <v>-0.00347297415783941</v>
      </c>
      <c r="GS340" s="60" t="n">
        <f aca="false">GR340^2-4*GQ340</f>
        <v>-0.0473386230523248</v>
      </c>
      <c r="GT340" s="60" t="n">
        <f aca="false">IF(GS340&gt;=0,(GR340+IF(GR340&gt;=0,1,-1)*SQRT(GS340))/2,0)</f>
        <v>0</v>
      </c>
      <c r="GU340" s="60" t="n">
        <f aca="false">IF(AND(GS340&gt;=0,GT340&lt;&gt;0),MIN(GT340,GQ340/GT340),-1)</f>
        <v>-1</v>
      </c>
      <c r="GV340" s="60" t="n">
        <f aca="false">AND(GS340&gt;=0,GU340&gt;FY340,ABS(GP340-GU340)&gt;=0.00005*MAX(GP340,GU340))</f>
        <v>0</v>
      </c>
      <c r="GW340" s="60" t="n">
        <f aca="false">IF(GV340,IFERROR((((GU340+FZ340)*GU340+GA340)*GU340+GB340)/((3*GU340+2*FZ340)*GU340+GA340),0),0)</f>
        <v>0</v>
      </c>
      <c r="GX340" s="60" t="n">
        <f aca="false">IF(ABS(GW340)&lt;0.1*ABS(GU340),GU340-GW340,GU340)</f>
        <v>-1</v>
      </c>
      <c r="GY340" s="60" t="n">
        <f aca="false">IF(GV340,IFERROR((((GX340+FZ340)*GX340+GA340)*GX340+GB340)/((3*GX340+2*FZ340)*GX340+GA340),0),0)</f>
        <v>0</v>
      </c>
      <c r="GZ340" s="60" t="n">
        <f aca="false">IF(ABS(GY340)&lt;0.1*ABS(GX340),GX340-GY340,GX340)</f>
        <v>-1</v>
      </c>
      <c r="HA340" s="60" t="n">
        <f aca="false">IF(GV340,MAX(GP340,GZ340),GP340)</f>
        <v>0.91158844983184</v>
      </c>
      <c r="HB340" s="60" t="n">
        <f aca="false">IF(GV340,MIN(GP340,GZ340),-1)</f>
        <v>-1</v>
      </c>
      <c r="HC340" s="60" t="n">
        <f aca="false">CHOOSE($C$7,FX340/HA340,FX340/FY340*LN(1+FY340/HA340),FX340/(2*SQRT(2)*FY340)*LN((HA340+(1+SQRT(2))*FY340)/(HA340+(1-SQRT(2))*FY340)))</f>
        <v>0.218240791233887</v>
      </c>
      <c r="HD340" s="60" t="n">
        <f aca="false">HA340-1-LN(HA340-FY340)-HC340</f>
        <v>-0.107840271021729</v>
      </c>
      <c r="HE340" s="60" t="n">
        <f aca="false">IF(GV340,CHOOSE($C$7,FX340/HB340,FX340/FY340*LN(1+FY340/HB340),FX340/(2*SQRT(2)*FY340)*LN((HB340+(1+SQRT(2))*FY340)/(HB340+(1-SQRT(2))*FY340))),0)</f>
        <v>0</v>
      </c>
      <c r="HF340" s="60" t="n">
        <f aca="false">IF(GV340,HB340-1-LN(HB340-FY340)-HE340,0)</f>
        <v>0</v>
      </c>
      <c r="HG340" s="60" t="n">
        <f aca="false">AND(GV340,HF340&lt;HD340)</f>
        <v>0</v>
      </c>
      <c r="HH340" s="60" t="n">
        <f aca="false">IF(HG340,HB340,HA340)</f>
        <v>0.91158844983184</v>
      </c>
      <c r="HI340" s="60" t="n">
        <f aca="false">IF(HG340,HE340,HC340)</f>
        <v>0.218240791233887</v>
      </c>
      <c r="HJ340" s="60" t="n">
        <f aca="false">LN(HH340-FY340)</f>
        <v>-0.198812070380318</v>
      </c>
      <c r="HK340" s="60" t="n">
        <f aca="false">$E$27/FW340*(HH340-1)-HJ340-HI340*(2*FJ340/FV340-$E$27/FW340)</f>
        <v>-0.107840271021729</v>
      </c>
      <c r="HL340" s="60" t="n">
        <f aca="false">$F$27/FW340*(HH340-1)-HJ340-HI340*(2*FK340/FV340-$F$27/FW340)</f>
        <v>0.198812070380318</v>
      </c>
      <c r="HM340" s="60" t="n">
        <f aca="false">$G$27/FW340*(HH340-1)-HJ340-HI340*(2*FL340/FV340-$G$27/FW340)</f>
        <v>0.198812070380318</v>
      </c>
      <c r="HN340" s="60" t="n">
        <f aca="false">$H$27/FW340*(HH340-1)-HJ340-HI340*(2*FM340/FV340-$H$27/FW340)</f>
        <v>0.198812070380318</v>
      </c>
      <c r="HO340" s="60" t="n">
        <f aca="false">$I$27/FW340*(HH340-1)-HJ340-HI340*(2*FN340/FV340-$I$27/FW340)</f>
        <v>0.198812070380318</v>
      </c>
      <c r="HP340" s="60" t="n">
        <f aca="false">$J$27/FW340*(HH340-1)-HJ340-HI340*(2*FO340/FV340-$J$27/FW340)</f>
        <v>0.198812070380318</v>
      </c>
      <c r="HQ340" s="60" t="n">
        <f aca="false">$K$27/FW340*(HH340-1)-HJ340-HI340*(2*FP340/FV340-$K$27/FW340)</f>
        <v>0.198812070380318</v>
      </c>
      <c r="HR340" s="60" t="n">
        <f aca="false">$L$27/FW340*(HH340-1)-HJ340-HI340*(2*FQ340/FV340-$L$27/FW340)</f>
        <v>0.198812070380318</v>
      </c>
      <c r="HS340" s="60" t="n">
        <f aca="false">$M$27/FW340*(HH340-1)-HJ340-HI340*(2*FR340/FV340-$M$27/FW340)</f>
        <v>0.198812070380318</v>
      </c>
      <c r="HT340" s="60" t="n">
        <f aca="false">$N$27/FW340*(HH340-1)-HJ340-HI340*(2*FS340/FV340-$N$27/FW340)</f>
        <v>0.198812070380318</v>
      </c>
      <c r="HU340" s="60" t="n">
        <f aca="false">$O$27/FW340*(HH340-1)-HJ340-HI340*(2*FT340/FV340-$O$27/FW340)</f>
        <v>0.198812070380318</v>
      </c>
      <c r="HV340" s="60" t="n">
        <f aca="false">$P$27/FW340*(HH340-1)-HJ340-HI340*(2*FU340/FV340-$P$27/FW340)</f>
        <v>0.198812070380318</v>
      </c>
      <c r="HW340" s="60" t="n">
        <f aca="false">FY340/HH340&gt;$C$22</f>
        <v>0</v>
      </c>
      <c r="HX340" s="60" t="n">
        <f aca="false">IF($E$13&gt;0,MAX(-300,MIN(300,EW340-HK340)),0)</f>
        <v>0</v>
      </c>
      <c r="HY340" s="60" t="n">
        <f aca="false">IF($F$13&gt;0,MAX(-300,MIN(300,EX340-HL340)),0)</f>
        <v>0</v>
      </c>
      <c r="HZ340" s="60" t="n">
        <f aca="false">IF($G$13&gt;0,MAX(-300,MIN(300,EY340-HM340)),0)</f>
        <v>0</v>
      </c>
      <c r="IA340" s="60" t="n">
        <f aca="false">IF($H$13&gt;0,MAX(-300,MIN(300,EZ340-HN340)),0)</f>
        <v>0</v>
      </c>
      <c r="IB340" s="60" t="n">
        <f aca="false">IF($I$13&gt;0,MAX(-300,MIN(300,FA340-HO340)),0)</f>
        <v>0</v>
      </c>
      <c r="IC340" s="60" t="n">
        <f aca="false">IF($J$13&gt;0,MAX(-300,MIN(300,FB340-HP340)),0)</f>
        <v>0</v>
      </c>
      <c r="ID340" s="60" t="n">
        <f aca="false">IF($K$13&gt;0,MAX(-300,MIN(300,FC340-HQ340)),0)</f>
        <v>0</v>
      </c>
      <c r="IE340" s="60" t="n">
        <f aca="false">IF($L$13&gt;0,MAX(-300,MIN(300,FD340-HR340)),0)</f>
        <v>0</v>
      </c>
      <c r="IF340" s="60" t="n">
        <f aca="false">IF($M$13&gt;0,MAX(-300,MIN(300,FE340-HS340)),0)</f>
        <v>0</v>
      </c>
      <c r="IG340" s="60" t="n">
        <f aca="false">IF($N$13&gt;0,MAX(-300,MIN(300,FF340-HT340)),0)</f>
        <v>0</v>
      </c>
      <c r="IH340" s="60" t="n">
        <f aca="false">IF($O$13&gt;0,MAX(-300,MIN(300,FG340-HU340)),0)</f>
        <v>0</v>
      </c>
      <c r="II340" s="60" t="n">
        <f aca="false">IF($P$13&gt;0,MAX(-300,MIN(300,FH340-HV340)),0)</f>
        <v>0</v>
      </c>
      <c r="IJ340" s="60" t="n">
        <f aca="false">SUMXMY2(HX340:II340,B340:M340)</f>
        <v>0</v>
      </c>
      <c r="IK340" s="60" t="n">
        <f aca="false">SUMSQ(B340:M340)</f>
        <v>0</v>
      </c>
    </row>
    <row r="341" customFormat="false" ht="15" hidden="false" customHeight="false" outlineLevel="0" collapsed="false">
      <c r="A341" s="59" t="n">
        <v>44</v>
      </c>
      <c r="B341" s="60" t="n">
        <f aca="false">HX340</f>
        <v>0</v>
      </c>
      <c r="C341" s="60" t="n">
        <f aca="false">HY340</f>
        <v>0</v>
      </c>
      <c r="D341" s="60" t="n">
        <f aca="false">HZ340</f>
        <v>0</v>
      </c>
      <c r="E341" s="60" t="n">
        <f aca="false">IA340</f>
        <v>0</v>
      </c>
      <c r="F341" s="60" t="n">
        <f aca="false">IB340</f>
        <v>0</v>
      </c>
      <c r="G341" s="60" t="n">
        <f aca="false">IC340</f>
        <v>0</v>
      </c>
      <c r="H341" s="60" t="n">
        <f aca="false">ID340</f>
        <v>0</v>
      </c>
      <c r="I341" s="60" t="n">
        <f aca="false">IE340</f>
        <v>0</v>
      </c>
      <c r="J341" s="60" t="n">
        <f aca="false">IF340</f>
        <v>0</v>
      </c>
      <c r="K341" s="60" t="n">
        <f aca="false">IG340</f>
        <v>0</v>
      </c>
      <c r="L341" s="60" t="n">
        <f aca="false">IH340</f>
        <v>0</v>
      </c>
      <c r="M341" s="60" t="n">
        <f aca="false">II340</f>
        <v>0</v>
      </c>
      <c r="N341" s="60" t="n">
        <f aca="false">EXP(B341)</f>
        <v>1</v>
      </c>
      <c r="O341" s="60" t="n">
        <f aca="false">EXP(C341)</f>
        <v>1</v>
      </c>
      <c r="P341" s="60" t="n">
        <f aca="false">EXP(D341)</f>
        <v>1</v>
      </c>
      <c r="Q341" s="60" t="n">
        <f aca="false">EXP(E341)</f>
        <v>1</v>
      </c>
      <c r="R341" s="60" t="n">
        <f aca="false">EXP(F341)</f>
        <v>1</v>
      </c>
      <c r="S341" s="60" t="n">
        <f aca="false">EXP(G341)</f>
        <v>1</v>
      </c>
      <c r="T341" s="60" t="n">
        <f aca="false">EXP(H341)</f>
        <v>1</v>
      </c>
      <c r="U341" s="60" t="n">
        <f aca="false">EXP(I341)</f>
        <v>1</v>
      </c>
      <c r="V341" s="60" t="n">
        <f aca="false">EXP(J341)</f>
        <v>1</v>
      </c>
      <c r="W341" s="60" t="n">
        <f aca="false">EXP(K341)</f>
        <v>1</v>
      </c>
      <c r="X341" s="60" t="n">
        <f aca="false">EXP(L341)</f>
        <v>1</v>
      </c>
      <c r="Y341" s="60" t="n">
        <f aca="false">EXP(M341)</f>
        <v>1</v>
      </c>
      <c r="Z341" s="60" t="n">
        <f aca="false">MAX(N341:Y341)</f>
        <v>1</v>
      </c>
      <c r="AA341" s="60" t="n">
        <f aca="false">MIN(N341:Y341)</f>
        <v>1</v>
      </c>
      <c r="AB341" s="60" t="n">
        <f aca="false">AND(Z341&gt;1,AA341&lt;1)</f>
        <v>0</v>
      </c>
      <c r="AC341" s="60" t="n">
        <f aca="false">IF(AB341,1/(1-Z341),0)</f>
        <v>0</v>
      </c>
      <c r="AD341" s="60" t="n">
        <f aca="false">IF(AB341,1/(1-AA341),1)</f>
        <v>1</v>
      </c>
      <c r="AE341" s="60" t="n">
        <f aca="false">IF(AB341,MIN(MAX(BI340,AC341+0.000000001*(AD341-AC341)),AD341-0.000000001*(AD341-AC341)),IF(AA341&gt;=1,1,0))</f>
        <v>1</v>
      </c>
      <c r="AF341" s="60" t="n">
        <f aca="false">SUMPRODUCT($E$13:$P$13*(N341:Y341-1)/(1+AE341*(N341:Y341-1)))</f>
        <v>0</v>
      </c>
      <c r="AG341" s="60" t="n">
        <f aca="false">-SUMPRODUCT($E$13:$P$13*(N341:Y341-1)^2/(1+AE341*(N341:Y341-1))^2)</f>
        <v>-0</v>
      </c>
      <c r="AH341" s="60" t="n">
        <f aca="false">IF(OR(NOT(AB341),AG341=0),AE341,IF(AE341-AF341/AG341&lt;=AC341,(AE341+AC341)/2,IF(AE341-AF341/AG341&gt;=AD341,(AE341+AD341)/2,AE341-AF341/AG341)))</f>
        <v>1</v>
      </c>
      <c r="AI341" s="60" t="n">
        <f aca="false">SUMPRODUCT($E$13:$P$13*(N341:Y341-1)/(1+AH341*(N341:Y341-1)))</f>
        <v>0</v>
      </c>
      <c r="AJ341" s="60" t="n">
        <f aca="false">-SUMPRODUCT($E$13:$P$13*(N341:Y341-1)^2/(1+AH341*(N341:Y341-1))^2)</f>
        <v>-0</v>
      </c>
      <c r="AK341" s="60" t="n">
        <f aca="false">IF(OR(NOT(AB341),AJ341=0),AH341,IF(AH341-AI341/AJ341&lt;=AC341,(AH341+AC341)/2,IF(AH341-AI341/AJ341&gt;=AD341,(AH341+AD341)/2,AH341-AI341/AJ341)))</f>
        <v>1</v>
      </c>
      <c r="AL341" s="60" t="n">
        <f aca="false">SUMPRODUCT($E$13:$P$13*(N341:Y341-1)/(1+AK341*(N341:Y341-1)))</f>
        <v>0</v>
      </c>
      <c r="AM341" s="60" t="n">
        <f aca="false">-SUMPRODUCT($E$13:$P$13*(N341:Y341-1)^2/(1+AK341*(N341:Y341-1))^2)</f>
        <v>-0</v>
      </c>
      <c r="AN341" s="60" t="n">
        <f aca="false">IF(OR(NOT(AB341),AM341=0),AK341,IF(AK341-AL341/AM341&lt;=AC341,(AK341+AC341)/2,IF(AK341-AL341/AM341&gt;=AD341,(AK341+AD341)/2,AK341-AL341/AM341)))</f>
        <v>1</v>
      </c>
      <c r="AO341" s="60" t="n">
        <f aca="false">SUMPRODUCT($E$13:$P$13*(N341:Y341-1)/(1+AN341*(N341:Y341-1)))</f>
        <v>0</v>
      </c>
      <c r="AP341" s="60" t="n">
        <f aca="false">-SUMPRODUCT($E$13:$P$13*(N341:Y341-1)^2/(1+AN341*(N341:Y341-1))^2)</f>
        <v>-0</v>
      </c>
      <c r="AQ341" s="60" t="n">
        <f aca="false">IF(OR(NOT(AB341),AP341=0),AN341,IF(AN341-AO341/AP341&lt;=AC341,(AN341+AC341)/2,IF(AN341-AO341/AP341&gt;=AD341,(AN341+AD341)/2,AN341-AO341/AP341)))</f>
        <v>1</v>
      </c>
      <c r="AR341" s="60" t="n">
        <f aca="false">SUMPRODUCT($E$13:$P$13*(N341:Y341-1)/(1+AQ341*(N341:Y341-1)))</f>
        <v>0</v>
      </c>
      <c r="AS341" s="60" t="n">
        <f aca="false">-SUMPRODUCT($E$13:$P$13*(N341:Y341-1)^2/(1+AQ341*(N341:Y341-1))^2)</f>
        <v>-0</v>
      </c>
      <c r="AT341" s="60" t="n">
        <f aca="false">IF(OR(NOT(AB341),AS341=0),AQ341,IF(AQ341-AR341/AS341&lt;=AC341,(AQ341+AC341)/2,IF(AQ341-AR341/AS341&gt;=AD341,(AQ341+AD341)/2,AQ341-AR341/AS341)))</f>
        <v>1</v>
      </c>
      <c r="AU341" s="60" t="n">
        <f aca="false">SUMPRODUCT($E$13:$P$13*(N341:Y341-1)/(1+AT341*(N341:Y341-1)))</f>
        <v>0</v>
      </c>
      <c r="AV341" s="60" t="n">
        <f aca="false">-SUMPRODUCT($E$13:$P$13*(N341:Y341-1)^2/(1+AT341*(N341:Y341-1))^2)</f>
        <v>-0</v>
      </c>
      <c r="AW341" s="60" t="n">
        <f aca="false">IF(OR(NOT(AB341),AV341=0),AT341,IF(AT341-AU341/AV341&lt;=AC341,(AT341+AC341)/2,IF(AT341-AU341/AV341&gt;=AD341,(AT341+AD341)/2,AT341-AU341/AV341)))</f>
        <v>1</v>
      </c>
      <c r="AX341" s="60" t="n">
        <f aca="false">SUMPRODUCT($E$13:$P$13*(N341:Y341-1)/(1+AW341*(N341:Y341-1)))</f>
        <v>0</v>
      </c>
      <c r="AY341" s="60" t="n">
        <f aca="false">-SUMPRODUCT($E$13:$P$13*(N341:Y341-1)^2/(1+AW341*(N341:Y341-1))^2)</f>
        <v>-0</v>
      </c>
      <c r="AZ341" s="60" t="n">
        <f aca="false">IF(OR(NOT(AB341),AY341=0),AW341,IF(AW341-AX341/AY341&lt;=AC341,(AW341+AC341)/2,IF(AW341-AX341/AY341&gt;=AD341,(AW341+AD341)/2,AW341-AX341/AY341)))</f>
        <v>1</v>
      </c>
      <c r="BA341" s="60" t="n">
        <f aca="false">SUMPRODUCT($E$13:$P$13*(N341:Y341-1)/(1+AZ341*(N341:Y341-1)))</f>
        <v>0</v>
      </c>
      <c r="BB341" s="60" t="n">
        <f aca="false">-SUMPRODUCT($E$13:$P$13*(N341:Y341-1)^2/(1+AZ341*(N341:Y341-1))^2)</f>
        <v>-0</v>
      </c>
      <c r="BC341" s="60" t="n">
        <f aca="false">IF(OR(NOT(AB341),BB341=0),AZ341,IF(AZ341-BA341/BB341&lt;=AC341,(AZ341+AC341)/2,IF(AZ341-BA341/BB341&gt;=AD341,(AZ341+AD341)/2,AZ341-BA341/BB341)))</f>
        <v>1</v>
      </c>
      <c r="BD341" s="60" t="n">
        <f aca="false">SUMPRODUCT($E$13:$P$13*(N341:Y341-1)/(1+BC341*(N341:Y341-1)))</f>
        <v>0</v>
      </c>
      <c r="BE341" s="60" t="n">
        <f aca="false">-SUMPRODUCT($E$13:$P$13*(N341:Y341-1)^2/(1+BC341*(N341:Y341-1))^2)</f>
        <v>-0</v>
      </c>
      <c r="BF341" s="60" t="n">
        <f aca="false">IF(OR(NOT(AB341),BE341=0),BC341,IF(BC341-BD341/BE341&lt;=AC341,(BC341+AC341)/2,IF(BC341-BD341/BE341&gt;=AD341,(BC341+AD341)/2,BC341-BD341/BE341)))</f>
        <v>1</v>
      </c>
      <c r="BG341" s="60" t="n">
        <f aca="false">SUMPRODUCT($E$13:$P$13*(N341:Y341-1)/(1+BF341*(N341:Y341-1)))</f>
        <v>0</v>
      </c>
      <c r="BH341" s="60" t="n">
        <f aca="false">-SUMPRODUCT($E$13:$P$13*(N341:Y341-1)^2/(1+BF341*(N341:Y341-1))^2)</f>
        <v>-0</v>
      </c>
      <c r="BI341" s="60" t="n">
        <f aca="false">IF(OR(NOT(AB341),BH341=0),BF341,IF(BF341-BG341/BH341&lt;=AC341,(BF341+AC341)/2,IF(BF341-BG341/BH341&gt;=AD341,(BF341+AD341)/2,BF341-BG341/BH341)))</f>
        <v>1</v>
      </c>
      <c r="BJ341" s="60" t="n">
        <f aca="false">$E$13/(1+BI341*(N341-1))</f>
        <v>1</v>
      </c>
      <c r="BK341" s="60" t="n">
        <f aca="false">$F$13/(1+BI341*(O341-1))</f>
        <v>0</v>
      </c>
      <c r="BL341" s="60" t="n">
        <f aca="false">$G$13/(1+BI341*(P341-1))</f>
        <v>0</v>
      </c>
      <c r="BM341" s="60" t="n">
        <f aca="false">$H$13/(1+BI341*(Q341-1))</f>
        <v>0</v>
      </c>
      <c r="BN341" s="60" t="n">
        <f aca="false">$I$13/(1+BI341*(R341-1))</f>
        <v>0</v>
      </c>
      <c r="BO341" s="60" t="n">
        <f aca="false">$J$13/(1+BI341*(S341-1))</f>
        <v>0</v>
      </c>
      <c r="BP341" s="60" t="n">
        <f aca="false">$K$13/(1+BI341*(T341-1))</f>
        <v>0</v>
      </c>
      <c r="BQ341" s="60" t="n">
        <f aca="false">$L$13/(1+BI341*(U341-1))</f>
        <v>0</v>
      </c>
      <c r="BR341" s="60" t="n">
        <f aca="false">$M$13/(1+BI341*(V341-1))</f>
        <v>0</v>
      </c>
      <c r="BS341" s="60" t="n">
        <f aca="false">$N$13/(1+BI341*(W341-1))</f>
        <v>0</v>
      </c>
      <c r="BT341" s="60" t="n">
        <f aca="false">$O$13/(1+BI341*(X341-1))</f>
        <v>0</v>
      </c>
      <c r="BU341" s="60" t="n">
        <f aca="false">$P$13/(1+BI341*(Y341-1))</f>
        <v>0</v>
      </c>
      <c r="BV341" s="60" t="n">
        <f aca="false">SUM(BJ341:BU341)</f>
        <v>1</v>
      </c>
      <c r="BW341" s="60" t="n">
        <f aca="false">SUMPRODUCT(N341:Y341,BJ341:BU341)</f>
        <v>1</v>
      </c>
      <c r="BX341" s="60" t="n">
        <f aca="false">BJ341/BV341</f>
        <v>1</v>
      </c>
      <c r="BY341" s="60" t="n">
        <f aca="false">BK341/BV341</f>
        <v>0</v>
      </c>
      <c r="BZ341" s="60" t="n">
        <f aca="false">BL341/BV341</f>
        <v>0</v>
      </c>
      <c r="CA341" s="60" t="n">
        <f aca="false">BM341/BV341</f>
        <v>0</v>
      </c>
      <c r="CB341" s="60" t="n">
        <f aca="false">BN341/BV341</f>
        <v>0</v>
      </c>
      <c r="CC341" s="60" t="n">
        <f aca="false">BO341/BV341</f>
        <v>0</v>
      </c>
      <c r="CD341" s="60" t="n">
        <f aca="false">BP341/BV341</f>
        <v>0</v>
      </c>
      <c r="CE341" s="60" t="n">
        <f aca="false">BQ341/BV341</f>
        <v>0</v>
      </c>
      <c r="CF341" s="60" t="n">
        <f aca="false">BR341/BV341</f>
        <v>0</v>
      </c>
      <c r="CG341" s="60" t="n">
        <f aca="false">BS341/BV341</f>
        <v>0</v>
      </c>
      <c r="CH341" s="60" t="n">
        <f aca="false">BT341/BV341</f>
        <v>0</v>
      </c>
      <c r="CI341" s="60" t="n">
        <f aca="false">BU341/BV341</f>
        <v>0</v>
      </c>
      <c r="CJ341" s="60" t="n">
        <f aca="false">N341*BJ341/BW341</f>
        <v>1</v>
      </c>
      <c r="CK341" s="60" t="n">
        <f aca="false">O341*BK341/BW341</f>
        <v>0</v>
      </c>
      <c r="CL341" s="60" t="n">
        <f aca="false">P341*BL341/BW341</f>
        <v>0</v>
      </c>
      <c r="CM341" s="60" t="n">
        <f aca="false">Q341*BM341/BW341</f>
        <v>0</v>
      </c>
      <c r="CN341" s="60" t="n">
        <f aca="false">R341*BN341/BW341</f>
        <v>0</v>
      </c>
      <c r="CO341" s="60" t="n">
        <f aca="false">S341*BO341/BW341</f>
        <v>0</v>
      </c>
      <c r="CP341" s="60" t="n">
        <f aca="false">T341*BP341/BW341</f>
        <v>0</v>
      </c>
      <c r="CQ341" s="60" t="n">
        <f aca="false">U341*BQ341/BW341</f>
        <v>0</v>
      </c>
      <c r="CR341" s="60" t="n">
        <f aca="false">V341*BR341/BW341</f>
        <v>0</v>
      </c>
      <c r="CS341" s="60" t="n">
        <f aca="false">W341*BS341/BW341</f>
        <v>0</v>
      </c>
      <c r="CT341" s="60" t="n">
        <f aca="false">X341*BT341/BW341</f>
        <v>0</v>
      </c>
      <c r="CU341" s="60" t="n">
        <f aca="false">Y341*BU341/BW341</f>
        <v>0</v>
      </c>
      <c r="CV341" s="60" t="n">
        <f aca="false">$E$28*SUMPRODUCT($E$31:$P$31,BX341:CI341,$E$28:$P$28)</f>
        <v>0.184416866619846</v>
      </c>
      <c r="CW341" s="60" t="n">
        <f aca="false">$F$28*SUMPRODUCT($E$32:$P$32,BX341:CI341,$E$28:$P$28)</f>
        <v>0</v>
      </c>
      <c r="CX341" s="60" t="n">
        <f aca="false">$G$28*SUMPRODUCT($E$33:$P$33,BX341:CI341,$E$28:$P$28)</f>
        <v>0</v>
      </c>
      <c r="CY341" s="60" t="n">
        <f aca="false">$H$28*SUMPRODUCT($E$34:$P$34,BX341:CI341,$E$28:$P$28)</f>
        <v>0</v>
      </c>
      <c r="CZ341" s="60" t="n">
        <f aca="false">$I$28*SUMPRODUCT($E$35:$P$35,BX341:CI341,$E$28:$P$28)</f>
        <v>0</v>
      </c>
      <c r="DA341" s="60" t="n">
        <f aca="false">$J$28*SUMPRODUCT($E$36:$P$36,BX341:CI341,$E$28:$P$28)</f>
        <v>0</v>
      </c>
      <c r="DB341" s="60" t="n">
        <f aca="false">$K$28*SUMPRODUCT($E$37:$P$37,BX341:CI341,$E$28:$P$28)</f>
        <v>0</v>
      </c>
      <c r="DC341" s="60" t="n">
        <f aca="false">$L$28*SUMPRODUCT($E$38:$P$38,BX341:CI341,$E$28:$P$28)</f>
        <v>0</v>
      </c>
      <c r="DD341" s="60" t="n">
        <f aca="false">$M$28*SUMPRODUCT($E$39:$P$39,BX341:CI341,$E$28:$P$28)</f>
        <v>0</v>
      </c>
      <c r="DE341" s="60" t="n">
        <f aca="false">$N$28*SUMPRODUCT($E$40:$P$40,BX341:CI341,$E$28:$P$28)</f>
        <v>0</v>
      </c>
      <c r="DF341" s="60" t="n">
        <f aca="false">$O$28*SUMPRODUCT($E$41:$P$41,BX341:CI341,$E$28:$P$28)</f>
        <v>0</v>
      </c>
      <c r="DG341" s="60" t="n">
        <f aca="false">$P$28*SUMPRODUCT($E$42:$P$42,BX341:CI341,$E$28:$P$28)</f>
        <v>0</v>
      </c>
      <c r="DH341" s="60" t="n">
        <f aca="false">SUMPRODUCT(BX341:CI341,CV341:DG341)</f>
        <v>0.184416866619846</v>
      </c>
      <c r="DI341" s="60" t="n">
        <f aca="false">SUMPRODUCT(BX341:CI341,$E$27:$P$27)</f>
        <v>2.67389635063809E-005</v>
      </c>
      <c r="DJ341" s="60" t="n">
        <f aca="false">DH341*$C$9/($C$10*$C$8)^2</f>
        <v>0.21776909410545</v>
      </c>
      <c r="DK341" s="60" t="n">
        <f aca="false">DI341*$C$9/($C$10*$C$8)</f>
        <v>0.0918845243259994</v>
      </c>
      <c r="DL341" s="60" t="n">
        <f aca="false">CHOOSE($C$7,-(1+DK341),-1,-(1-DK341))</f>
        <v>-0.908115475674001</v>
      </c>
      <c r="DM341" s="60" t="n">
        <f aca="false">CHOOSE($C$7,DJ341,DJ341-DK341-DK341^2,DJ341-3*DK341^2-2*DK341)</f>
        <v>0.00867174802160559</v>
      </c>
      <c r="DN341" s="60" t="n">
        <f aca="false">CHOOSE($C$7,-DJ341*DK341,-DJ341*DK341,-(DJ341*DK341-DK341^2-DK341^3))</f>
        <v>-0.0107910842936637</v>
      </c>
      <c r="DO341" s="60" t="n">
        <f aca="false">DM341-DL341^2/3</f>
        <v>-0.266219491031267</v>
      </c>
      <c r="DP341" s="60" t="n">
        <f aca="false">2*DL341^3/27-DL341*DM341/3+DN341</f>
        <v>-0.0636400988362784</v>
      </c>
      <c r="DQ341" s="60" t="n">
        <f aca="false">DP341^2/4+DO341^3/27</f>
        <v>0.000313710901361829</v>
      </c>
      <c r="DR341" s="60" t="n">
        <f aca="false">-DP341/2-IF(DP341&gt;=0,1,-1)*SQRT(MAX(DQ341,0))</f>
        <v>0.0495319352963236</v>
      </c>
      <c r="DS341" s="60" t="n">
        <f aca="false">SIGN(DR341)*ABS(DR341)^(1/3)</f>
        <v>0.367249967174439</v>
      </c>
      <c r="DT341" s="60" t="n">
        <f aca="false">IF(DS341=0,0,DS341-DO341/(3*DS341))</f>
        <v>0.60888329127384</v>
      </c>
      <c r="DU341" s="60" t="n">
        <f aca="false">2*SQRT(MAX(-DO341,0)/3)</f>
        <v>0.595784626668918</v>
      </c>
      <c r="DV341" s="60" t="n">
        <f aca="false">ACOS(IF(DU341=0,0,MAX(-1,MIN(1,3*DP341/(DO341*DU341)))))</f>
        <v>0</v>
      </c>
      <c r="DW341" s="60" t="n">
        <f aca="false">DU341*COS(DV341/3)</f>
        <v>0.595784626668918</v>
      </c>
      <c r="DX341" s="60" t="n">
        <f aca="false">IF(DQ341&lt;0,DW341,DT341)-DL341/3</f>
        <v>0.91158844983184</v>
      </c>
      <c r="DY341" s="60" t="n">
        <f aca="false">IFERROR((((DX341+DL341)*DX341+DM341)*DX341+DN341)/((3*DX341+2*DL341)*DX341+DM341),0)</f>
        <v>0</v>
      </c>
      <c r="DZ341" s="60" t="n">
        <f aca="false">IF(ABS(DY341)&lt;0.1*ABS(DX341),DX341-DY341,DX341)</f>
        <v>0.91158844983184</v>
      </c>
      <c r="EA341" s="60" t="n">
        <f aca="false">IFERROR((((DZ341+DL341)*DZ341+DM341)*DZ341+DN341)/((3*DZ341+2*DL341)*DZ341+DM341),0)</f>
        <v>0</v>
      </c>
      <c r="EB341" s="60" t="n">
        <f aca="false">IF(ABS(EA341)&lt;0.1*ABS(DZ341),DZ341-EA341,DZ341)</f>
        <v>0.91158844983184</v>
      </c>
      <c r="EC341" s="60" t="n">
        <f aca="false">-DN341/EB341</f>
        <v>0.0118376711504565</v>
      </c>
      <c r="ED341" s="60" t="n">
        <f aca="false">(DM341-EC341)/EB341</f>
        <v>-0.00347297415783941</v>
      </c>
      <c r="EE341" s="60" t="n">
        <f aca="false">ED341^2-4*EC341</f>
        <v>-0.0473386230523248</v>
      </c>
      <c r="EF341" s="60" t="n">
        <f aca="false">IF(EE341&gt;=0,(ED341+IF(ED341&gt;=0,1,-1)*SQRT(EE341))/2,0)</f>
        <v>0</v>
      </c>
      <c r="EG341" s="60" t="n">
        <f aca="false">IF(AND(EE341&gt;=0,EF341&lt;&gt;0),MIN(EF341,EC341/EF341),-1)</f>
        <v>-1</v>
      </c>
      <c r="EH341" s="60" t="n">
        <f aca="false">AND(EE341&gt;=0,EG341&gt;DK341,ABS(EB341-EG341)&gt;=0.00005*MAX(EB341,EG341))</f>
        <v>0</v>
      </c>
      <c r="EI341" s="60" t="n">
        <f aca="false">IF(EH341,IFERROR((((EG341+DL341)*EG341+DM341)*EG341+DN341)/((3*EG341+2*DL341)*EG341+DM341),0),0)</f>
        <v>0</v>
      </c>
      <c r="EJ341" s="60" t="n">
        <f aca="false">IF(ABS(EI341)&lt;0.1*ABS(EG341),EG341-EI341,EG341)</f>
        <v>-1</v>
      </c>
      <c r="EK341" s="60" t="n">
        <f aca="false">IF(EH341,IFERROR((((EJ341+DL341)*EJ341+DM341)*EJ341+DN341)/((3*EJ341+2*DL341)*EJ341+DM341),0),0)</f>
        <v>0</v>
      </c>
      <c r="EL341" s="60" t="n">
        <f aca="false">IF(ABS(EK341)&lt;0.1*ABS(EJ341),EJ341-EK341,EJ341)</f>
        <v>-1</v>
      </c>
      <c r="EM341" s="60" t="n">
        <f aca="false">IF(EH341,MAX(EB341,EL341),EB341)</f>
        <v>0.91158844983184</v>
      </c>
      <c r="EN341" s="60" t="n">
        <f aca="false">IF(EH341,MIN(EB341,EL341),-1)</f>
        <v>-1</v>
      </c>
      <c r="EO341" s="60" t="n">
        <f aca="false">CHOOSE($C$7,DJ341/EM341,DJ341/DK341*LN(1+DK341/EM341),DJ341/(2*SQRT(2)*DK341)*LN((EM341+(1+SQRT(2))*DK341)/(EM341+(1-SQRT(2))*DK341)))</f>
        <v>0.218240791233887</v>
      </c>
      <c r="EP341" s="60" t="n">
        <f aca="false">EM341-1-LN(EM341-DK341)-EO341</f>
        <v>-0.107840271021729</v>
      </c>
      <c r="EQ341" s="60" t="n">
        <f aca="false">IF(EH341,CHOOSE($C$7,DJ341/EN341,DJ341/DK341*LN(1+DK341/EN341),DJ341/(2*SQRT(2)*DK341)*LN((EN341+(1+SQRT(2))*DK341)/(EN341+(1-SQRT(2))*DK341))),0)</f>
        <v>0</v>
      </c>
      <c r="ER341" s="60" t="n">
        <f aca="false">IF(EH341,EN341-1-LN(EN341-DK341)-EQ341,0)</f>
        <v>0</v>
      </c>
      <c r="ES341" s="60" t="n">
        <f aca="false">AND(EH341,ER341&lt;EP341)</f>
        <v>0</v>
      </c>
      <c r="ET341" s="60" t="n">
        <f aca="false">IF(ES341,EN341,EM341)</f>
        <v>0.91158844983184</v>
      </c>
      <c r="EU341" s="60" t="n">
        <f aca="false">IF(ES341,EQ341,EO341)</f>
        <v>0.218240791233887</v>
      </c>
      <c r="EV341" s="60" t="n">
        <f aca="false">LN(ET341-DK341)</f>
        <v>-0.198812070380318</v>
      </c>
      <c r="EW341" s="60" t="n">
        <f aca="false">$E$27/DI341*(ET341-1)-EV341-EU341*(2*CV341/DH341-$E$27/DI341)</f>
        <v>-0.107840271021729</v>
      </c>
      <c r="EX341" s="60" t="n">
        <f aca="false">$F$27/DI341*(ET341-1)-EV341-EU341*(2*CW341/DH341-$F$27/DI341)</f>
        <v>0.198812070380318</v>
      </c>
      <c r="EY341" s="60" t="n">
        <f aca="false">$G$27/DI341*(ET341-1)-EV341-EU341*(2*CX341/DH341-$G$27/DI341)</f>
        <v>0.198812070380318</v>
      </c>
      <c r="EZ341" s="60" t="n">
        <f aca="false">$H$27/DI341*(ET341-1)-EV341-EU341*(2*CY341/DH341-$H$27/DI341)</f>
        <v>0.198812070380318</v>
      </c>
      <c r="FA341" s="60" t="n">
        <f aca="false">$I$27/DI341*(ET341-1)-EV341-EU341*(2*CZ341/DH341-$I$27/DI341)</f>
        <v>0.198812070380318</v>
      </c>
      <c r="FB341" s="60" t="n">
        <f aca="false">$J$27/DI341*(ET341-1)-EV341-EU341*(2*DA341/DH341-$J$27/DI341)</f>
        <v>0.198812070380318</v>
      </c>
      <c r="FC341" s="60" t="n">
        <f aca="false">$K$27/DI341*(ET341-1)-EV341-EU341*(2*DB341/DH341-$K$27/DI341)</f>
        <v>0.198812070380318</v>
      </c>
      <c r="FD341" s="60" t="n">
        <f aca="false">$L$27/DI341*(ET341-1)-EV341-EU341*(2*DC341/DH341-$L$27/DI341)</f>
        <v>0.198812070380318</v>
      </c>
      <c r="FE341" s="60" t="n">
        <f aca="false">$M$27/DI341*(ET341-1)-EV341-EU341*(2*DD341/DH341-$M$27/DI341)</f>
        <v>0.198812070380318</v>
      </c>
      <c r="FF341" s="60" t="n">
        <f aca="false">$N$27/DI341*(ET341-1)-EV341-EU341*(2*DE341/DH341-$N$27/DI341)</f>
        <v>0.198812070380318</v>
      </c>
      <c r="FG341" s="60" t="n">
        <f aca="false">$O$27/DI341*(ET341-1)-EV341-EU341*(2*DF341/DH341-$O$27/DI341)</f>
        <v>0.198812070380318</v>
      </c>
      <c r="FH341" s="60" t="n">
        <f aca="false">$P$27/DI341*(ET341-1)-EV341-EU341*(2*DG341/DH341-$P$27/DI341)</f>
        <v>0.198812070380318</v>
      </c>
      <c r="FI341" s="60" t="n">
        <f aca="false">DK341/ET341&gt;$C$22</f>
        <v>0</v>
      </c>
      <c r="FJ341" s="60" t="n">
        <f aca="false">$E$28*SUMPRODUCT($E$31:$P$31,CJ341:CU341,$E$28:$P$28)</f>
        <v>0.184416866619846</v>
      </c>
      <c r="FK341" s="60" t="n">
        <f aca="false">$F$28*SUMPRODUCT($E$32:$P$32,CJ341:CU341,$E$28:$P$28)</f>
        <v>0</v>
      </c>
      <c r="FL341" s="60" t="n">
        <f aca="false">$G$28*SUMPRODUCT($E$33:$P$33,CJ341:CU341,$E$28:$P$28)</f>
        <v>0</v>
      </c>
      <c r="FM341" s="60" t="n">
        <f aca="false">$H$28*SUMPRODUCT($E$34:$P$34,CJ341:CU341,$E$28:$P$28)</f>
        <v>0</v>
      </c>
      <c r="FN341" s="60" t="n">
        <f aca="false">$I$28*SUMPRODUCT($E$35:$P$35,CJ341:CU341,$E$28:$P$28)</f>
        <v>0</v>
      </c>
      <c r="FO341" s="60" t="n">
        <f aca="false">$J$28*SUMPRODUCT($E$36:$P$36,CJ341:CU341,$E$28:$P$28)</f>
        <v>0</v>
      </c>
      <c r="FP341" s="60" t="n">
        <f aca="false">$K$28*SUMPRODUCT($E$37:$P$37,CJ341:CU341,$E$28:$P$28)</f>
        <v>0</v>
      </c>
      <c r="FQ341" s="60" t="n">
        <f aca="false">$L$28*SUMPRODUCT($E$38:$P$38,CJ341:CU341,$E$28:$P$28)</f>
        <v>0</v>
      </c>
      <c r="FR341" s="60" t="n">
        <f aca="false">$M$28*SUMPRODUCT($E$39:$P$39,CJ341:CU341,$E$28:$P$28)</f>
        <v>0</v>
      </c>
      <c r="FS341" s="60" t="n">
        <f aca="false">$N$28*SUMPRODUCT($E$40:$P$40,CJ341:CU341,$E$28:$P$28)</f>
        <v>0</v>
      </c>
      <c r="FT341" s="60" t="n">
        <f aca="false">$O$28*SUMPRODUCT($E$41:$P$41,CJ341:CU341,$E$28:$P$28)</f>
        <v>0</v>
      </c>
      <c r="FU341" s="60" t="n">
        <f aca="false">$P$28*SUMPRODUCT($E$42:$P$42,CJ341:CU341,$E$28:$P$28)</f>
        <v>0</v>
      </c>
      <c r="FV341" s="60" t="n">
        <f aca="false">SUMPRODUCT(CJ341:CU341,FJ341:FU341)</f>
        <v>0.184416866619846</v>
      </c>
      <c r="FW341" s="60" t="n">
        <f aca="false">SUMPRODUCT(CJ341:CU341,$E$27:$P$27)</f>
        <v>2.67389635063809E-005</v>
      </c>
      <c r="FX341" s="60" t="n">
        <f aca="false">FV341*$C$9/($C$10*$C$8)^2</f>
        <v>0.21776909410545</v>
      </c>
      <c r="FY341" s="60" t="n">
        <f aca="false">FW341*$C$9/($C$10*$C$8)</f>
        <v>0.0918845243259994</v>
      </c>
      <c r="FZ341" s="60" t="n">
        <f aca="false">CHOOSE($C$7,-(1+FY341),-1,-(1-FY341))</f>
        <v>-0.908115475674001</v>
      </c>
      <c r="GA341" s="60" t="n">
        <f aca="false">CHOOSE($C$7,FX341,FX341-FY341-FY341^2,FX341-3*FY341^2-2*FY341)</f>
        <v>0.00867174802160559</v>
      </c>
      <c r="GB341" s="60" t="n">
        <f aca="false">CHOOSE($C$7,-FX341*FY341,-FX341*FY341,-(FX341*FY341-FY341^2-FY341^3))</f>
        <v>-0.0107910842936637</v>
      </c>
      <c r="GC341" s="60" t="n">
        <f aca="false">GA341-FZ341^2/3</f>
        <v>-0.266219491031267</v>
      </c>
      <c r="GD341" s="60" t="n">
        <f aca="false">2*FZ341^3/27-FZ341*GA341/3+GB341</f>
        <v>-0.0636400988362784</v>
      </c>
      <c r="GE341" s="60" t="n">
        <f aca="false">GD341^2/4+GC341^3/27</f>
        <v>0.000313710901361829</v>
      </c>
      <c r="GF341" s="60" t="n">
        <f aca="false">-GD341/2-IF(GD341&gt;=0,1,-1)*SQRT(MAX(GE341,0))</f>
        <v>0.0495319352963236</v>
      </c>
      <c r="GG341" s="60" t="n">
        <f aca="false">SIGN(GF341)*ABS(GF341)^(1/3)</f>
        <v>0.367249967174439</v>
      </c>
      <c r="GH341" s="60" t="n">
        <f aca="false">IF(GG341=0,0,GG341-GC341/(3*GG341))</f>
        <v>0.60888329127384</v>
      </c>
      <c r="GI341" s="60" t="n">
        <f aca="false">2*SQRT(MAX(-GC341,0)/3)</f>
        <v>0.595784626668918</v>
      </c>
      <c r="GJ341" s="60" t="n">
        <f aca="false">ACOS(IF(GI341=0,0,MAX(-1,MIN(1,3*GD341/(GC341*GI341)))))</f>
        <v>0</v>
      </c>
      <c r="GK341" s="60" t="n">
        <f aca="false">GI341*COS(GJ341/3)</f>
        <v>0.595784626668918</v>
      </c>
      <c r="GL341" s="60" t="n">
        <f aca="false">IF(GE341&lt;0,GK341,GH341)-FZ341/3</f>
        <v>0.91158844983184</v>
      </c>
      <c r="GM341" s="60" t="n">
        <f aca="false">IFERROR((((GL341+FZ341)*GL341+GA341)*GL341+GB341)/((3*GL341+2*FZ341)*GL341+GA341),0)</f>
        <v>0</v>
      </c>
      <c r="GN341" s="60" t="n">
        <f aca="false">IF(ABS(GM341)&lt;0.1*ABS(GL341),GL341-GM341,GL341)</f>
        <v>0.91158844983184</v>
      </c>
      <c r="GO341" s="60" t="n">
        <f aca="false">IFERROR((((GN341+FZ341)*GN341+GA341)*GN341+GB341)/((3*GN341+2*FZ341)*GN341+GA341),0)</f>
        <v>0</v>
      </c>
      <c r="GP341" s="60" t="n">
        <f aca="false">IF(ABS(GO341)&lt;0.1*ABS(GN341),GN341-GO341,GN341)</f>
        <v>0.91158844983184</v>
      </c>
      <c r="GQ341" s="60" t="n">
        <f aca="false">-GB341/GP341</f>
        <v>0.0118376711504565</v>
      </c>
      <c r="GR341" s="60" t="n">
        <f aca="false">(GA341-GQ341)/GP341</f>
        <v>-0.00347297415783941</v>
      </c>
      <c r="GS341" s="60" t="n">
        <f aca="false">GR341^2-4*GQ341</f>
        <v>-0.0473386230523248</v>
      </c>
      <c r="GT341" s="60" t="n">
        <f aca="false">IF(GS341&gt;=0,(GR341+IF(GR341&gt;=0,1,-1)*SQRT(GS341))/2,0)</f>
        <v>0</v>
      </c>
      <c r="GU341" s="60" t="n">
        <f aca="false">IF(AND(GS341&gt;=0,GT341&lt;&gt;0),MIN(GT341,GQ341/GT341),-1)</f>
        <v>-1</v>
      </c>
      <c r="GV341" s="60" t="n">
        <f aca="false">AND(GS341&gt;=0,GU341&gt;FY341,ABS(GP341-GU341)&gt;=0.00005*MAX(GP341,GU341))</f>
        <v>0</v>
      </c>
      <c r="GW341" s="60" t="n">
        <f aca="false">IF(GV341,IFERROR((((GU341+FZ341)*GU341+GA341)*GU341+GB341)/((3*GU341+2*FZ341)*GU341+GA341),0),0)</f>
        <v>0</v>
      </c>
      <c r="GX341" s="60" t="n">
        <f aca="false">IF(ABS(GW341)&lt;0.1*ABS(GU341),GU341-GW341,GU341)</f>
        <v>-1</v>
      </c>
      <c r="GY341" s="60" t="n">
        <f aca="false">IF(GV341,IFERROR((((GX341+FZ341)*GX341+GA341)*GX341+GB341)/((3*GX341+2*FZ341)*GX341+GA341),0),0)</f>
        <v>0</v>
      </c>
      <c r="GZ341" s="60" t="n">
        <f aca="false">IF(ABS(GY341)&lt;0.1*ABS(GX341),GX341-GY341,GX341)</f>
        <v>-1</v>
      </c>
      <c r="HA341" s="60" t="n">
        <f aca="false">IF(GV341,MAX(GP341,GZ341),GP341)</f>
        <v>0.91158844983184</v>
      </c>
      <c r="HB341" s="60" t="n">
        <f aca="false">IF(GV341,MIN(GP341,GZ341),-1)</f>
        <v>-1</v>
      </c>
      <c r="HC341" s="60" t="n">
        <f aca="false">CHOOSE($C$7,FX341/HA341,FX341/FY341*LN(1+FY341/HA341),FX341/(2*SQRT(2)*FY341)*LN((HA341+(1+SQRT(2))*FY341)/(HA341+(1-SQRT(2))*FY341)))</f>
        <v>0.218240791233887</v>
      </c>
      <c r="HD341" s="60" t="n">
        <f aca="false">HA341-1-LN(HA341-FY341)-HC341</f>
        <v>-0.107840271021729</v>
      </c>
      <c r="HE341" s="60" t="n">
        <f aca="false">IF(GV341,CHOOSE($C$7,FX341/HB341,FX341/FY341*LN(1+FY341/HB341),FX341/(2*SQRT(2)*FY341)*LN((HB341+(1+SQRT(2))*FY341)/(HB341+(1-SQRT(2))*FY341))),0)</f>
        <v>0</v>
      </c>
      <c r="HF341" s="60" t="n">
        <f aca="false">IF(GV341,HB341-1-LN(HB341-FY341)-HE341,0)</f>
        <v>0</v>
      </c>
      <c r="HG341" s="60" t="n">
        <f aca="false">AND(GV341,HF341&lt;HD341)</f>
        <v>0</v>
      </c>
      <c r="HH341" s="60" t="n">
        <f aca="false">IF(HG341,HB341,HA341)</f>
        <v>0.91158844983184</v>
      </c>
      <c r="HI341" s="60" t="n">
        <f aca="false">IF(HG341,HE341,HC341)</f>
        <v>0.218240791233887</v>
      </c>
      <c r="HJ341" s="60" t="n">
        <f aca="false">LN(HH341-FY341)</f>
        <v>-0.198812070380318</v>
      </c>
      <c r="HK341" s="60" t="n">
        <f aca="false">$E$27/FW341*(HH341-1)-HJ341-HI341*(2*FJ341/FV341-$E$27/FW341)</f>
        <v>-0.107840271021729</v>
      </c>
      <c r="HL341" s="60" t="n">
        <f aca="false">$F$27/FW341*(HH341-1)-HJ341-HI341*(2*FK341/FV341-$F$27/FW341)</f>
        <v>0.198812070380318</v>
      </c>
      <c r="HM341" s="60" t="n">
        <f aca="false">$G$27/FW341*(HH341-1)-HJ341-HI341*(2*FL341/FV341-$G$27/FW341)</f>
        <v>0.198812070380318</v>
      </c>
      <c r="HN341" s="60" t="n">
        <f aca="false">$H$27/FW341*(HH341-1)-HJ341-HI341*(2*FM341/FV341-$H$27/FW341)</f>
        <v>0.198812070380318</v>
      </c>
      <c r="HO341" s="60" t="n">
        <f aca="false">$I$27/FW341*(HH341-1)-HJ341-HI341*(2*FN341/FV341-$I$27/FW341)</f>
        <v>0.198812070380318</v>
      </c>
      <c r="HP341" s="60" t="n">
        <f aca="false">$J$27/FW341*(HH341-1)-HJ341-HI341*(2*FO341/FV341-$J$27/FW341)</f>
        <v>0.198812070380318</v>
      </c>
      <c r="HQ341" s="60" t="n">
        <f aca="false">$K$27/FW341*(HH341-1)-HJ341-HI341*(2*FP341/FV341-$K$27/FW341)</f>
        <v>0.198812070380318</v>
      </c>
      <c r="HR341" s="60" t="n">
        <f aca="false">$L$27/FW341*(HH341-1)-HJ341-HI341*(2*FQ341/FV341-$L$27/FW341)</f>
        <v>0.198812070380318</v>
      </c>
      <c r="HS341" s="60" t="n">
        <f aca="false">$M$27/FW341*(HH341-1)-HJ341-HI341*(2*FR341/FV341-$M$27/FW341)</f>
        <v>0.198812070380318</v>
      </c>
      <c r="HT341" s="60" t="n">
        <f aca="false">$N$27/FW341*(HH341-1)-HJ341-HI341*(2*FS341/FV341-$N$27/FW341)</f>
        <v>0.198812070380318</v>
      </c>
      <c r="HU341" s="60" t="n">
        <f aca="false">$O$27/FW341*(HH341-1)-HJ341-HI341*(2*FT341/FV341-$O$27/FW341)</f>
        <v>0.198812070380318</v>
      </c>
      <c r="HV341" s="60" t="n">
        <f aca="false">$P$27/FW341*(HH341-1)-HJ341-HI341*(2*FU341/FV341-$P$27/FW341)</f>
        <v>0.198812070380318</v>
      </c>
      <c r="HW341" s="60" t="n">
        <f aca="false">FY341/HH341&gt;$C$22</f>
        <v>0</v>
      </c>
      <c r="HX341" s="60" t="n">
        <f aca="false">IF($E$13&gt;0,MAX(-300,MIN(300,EW341-HK341)),0)</f>
        <v>0</v>
      </c>
      <c r="HY341" s="60" t="n">
        <f aca="false">IF($F$13&gt;0,MAX(-300,MIN(300,EX341-HL341)),0)</f>
        <v>0</v>
      </c>
      <c r="HZ341" s="60" t="n">
        <f aca="false">IF($G$13&gt;0,MAX(-300,MIN(300,EY341-HM341)),0)</f>
        <v>0</v>
      </c>
      <c r="IA341" s="60" t="n">
        <f aca="false">IF($H$13&gt;0,MAX(-300,MIN(300,EZ341-HN341)),0)</f>
        <v>0</v>
      </c>
      <c r="IB341" s="60" t="n">
        <f aca="false">IF($I$13&gt;0,MAX(-300,MIN(300,FA341-HO341)),0)</f>
        <v>0</v>
      </c>
      <c r="IC341" s="60" t="n">
        <f aca="false">IF($J$13&gt;0,MAX(-300,MIN(300,FB341-HP341)),0)</f>
        <v>0</v>
      </c>
      <c r="ID341" s="60" t="n">
        <f aca="false">IF($K$13&gt;0,MAX(-300,MIN(300,FC341-HQ341)),0)</f>
        <v>0</v>
      </c>
      <c r="IE341" s="60" t="n">
        <f aca="false">IF($L$13&gt;0,MAX(-300,MIN(300,FD341-HR341)),0)</f>
        <v>0</v>
      </c>
      <c r="IF341" s="60" t="n">
        <f aca="false">IF($M$13&gt;0,MAX(-300,MIN(300,FE341-HS341)),0)</f>
        <v>0</v>
      </c>
      <c r="IG341" s="60" t="n">
        <f aca="false">IF($N$13&gt;0,MAX(-300,MIN(300,FF341-HT341)),0)</f>
        <v>0</v>
      </c>
      <c r="IH341" s="60" t="n">
        <f aca="false">IF($O$13&gt;0,MAX(-300,MIN(300,FG341-HU341)),0)</f>
        <v>0</v>
      </c>
      <c r="II341" s="60" t="n">
        <f aca="false">IF($P$13&gt;0,MAX(-300,MIN(300,FH341-HV341)),0)</f>
        <v>0</v>
      </c>
      <c r="IJ341" s="60" t="n">
        <f aca="false">SUMXMY2(HX341:II341,B341:M341)</f>
        <v>0</v>
      </c>
      <c r="IK341" s="60" t="n">
        <f aca="false">SUMSQ(B341:M341)</f>
        <v>0</v>
      </c>
    </row>
    <row r="342" customFormat="false" ht="15" hidden="false" customHeight="false" outlineLevel="0" collapsed="false">
      <c r="A342" s="59" t="n">
        <v>45</v>
      </c>
      <c r="B342" s="60" t="n">
        <f aca="false">HX341</f>
        <v>0</v>
      </c>
      <c r="C342" s="60" t="n">
        <f aca="false">HY341</f>
        <v>0</v>
      </c>
      <c r="D342" s="60" t="n">
        <f aca="false">HZ341</f>
        <v>0</v>
      </c>
      <c r="E342" s="60" t="n">
        <f aca="false">IA341</f>
        <v>0</v>
      </c>
      <c r="F342" s="60" t="n">
        <f aca="false">IB341</f>
        <v>0</v>
      </c>
      <c r="G342" s="60" t="n">
        <f aca="false">IC341</f>
        <v>0</v>
      </c>
      <c r="H342" s="60" t="n">
        <f aca="false">ID341</f>
        <v>0</v>
      </c>
      <c r="I342" s="60" t="n">
        <f aca="false">IE341</f>
        <v>0</v>
      </c>
      <c r="J342" s="60" t="n">
        <f aca="false">IF341</f>
        <v>0</v>
      </c>
      <c r="K342" s="60" t="n">
        <f aca="false">IG341</f>
        <v>0</v>
      </c>
      <c r="L342" s="60" t="n">
        <f aca="false">IH341</f>
        <v>0</v>
      </c>
      <c r="M342" s="60" t="n">
        <f aca="false">II341</f>
        <v>0</v>
      </c>
      <c r="N342" s="60" t="n">
        <f aca="false">EXP(B342)</f>
        <v>1</v>
      </c>
      <c r="O342" s="60" t="n">
        <f aca="false">EXP(C342)</f>
        <v>1</v>
      </c>
      <c r="P342" s="60" t="n">
        <f aca="false">EXP(D342)</f>
        <v>1</v>
      </c>
      <c r="Q342" s="60" t="n">
        <f aca="false">EXP(E342)</f>
        <v>1</v>
      </c>
      <c r="R342" s="60" t="n">
        <f aca="false">EXP(F342)</f>
        <v>1</v>
      </c>
      <c r="S342" s="60" t="n">
        <f aca="false">EXP(G342)</f>
        <v>1</v>
      </c>
      <c r="T342" s="60" t="n">
        <f aca="false">EXP(H342)</f>
        <v>1</v>
      </c>
      <c r="U342" s="60" t="n">
        <f aca="false">EXP(I342)</f>
        <v>1</v>
      </c>
      <c r="V342" s="60" t="n">
        <f aca="false">EXP(J342)</f>
        <v>1</v>
      </c>
      <c r="W342" s="60" t="n">
        <f aca="false">EXP(K342)</f>
        <v>1</v>
      </c>
      <c r="X342" s="60" t="n">
        <f aca="false">EXP(L342)</f>
        <v>1</v>
      </c>
      <c r="Y342" s="60" t="n">
        <f aca="false">EXP(M342)</f>
        <v>1</v>
      </c>
      <c r="Z342" s="60" t="n">
        <f aca="false">MAX(N342:Y342)</f>
        <v>1</v>
      </c>
      <c r="AA342" s="60" t="n">
        <f aca="false">MIN(N342:Y342)</f>
        <v>1</v>
      </c>
      <c r="AB342" s="60" t="n">
        <f aca="false">AND(Z342&gt;1,AA342&lt;1)</f>
        <v>0</v>
      </c>
      <c r="AC342" s="60" t="n">
        <f aca="false">IF(AB342,1/(1-Z342),0)</f>
        <v>0</v>
      </c>
      <c r="AD342" s="60" t="n">
        <f aca="false">IF(AB342,1/(1-AA342),1)</f>
        <v>1</v>
      </c>
      <c r="AE342" s="60" t="n">
        <f aca="false">IF(AB342,MIN(MAX(BI341,AC342+0.000000001*(AD342-AC342)),AD342-0.000000001*(AD342-AC342)),IF(AA342&gt;=1,1,0))</f>
        <v>1</v>
      </c>
      <c r="AF342" s="60" t="n">
        <f aca="false">SUMPRODUCT($E$13:$P$13*(N342:Y342-1)/(1+AE342*(N342:Y342-1)))</f>
        <v>0</v>
      </c>
      <c r="AG342" s="60" t="n">
        <f aca="false">-SUMPRODUCT($E$13:$P$13*(N342:Y342-1)^2/(1+AE342*(N342:Y342-1))^2)</f>
        <v>-0</v>
      </c>
      <c r="AH342" s="60" t="n">
        <f aca="false">IF(OR(NOT(AB342),AG342=0),AE342,IF(AE342-AF342/AG342&lt;=AC342,(AE342+AC342)/2,IF(AE342-AF342/AG342&gt;=AD342,(AE342+AD342)/2,AE342-AF342/AG342)))</f>
        <v>1</v>
      </c>
      <c r="AI342" s="60" t="n">
        <f aca="false">SUMPRODUCT($E$13:$P$13*(N342:Y342-1)/(1+AH342*(N342:Y342-1)))</f>
        <v>0</v>
      </c>
      <c r="AJ342" s="60" t="n">
        <f aca="false">-SUMPRODUCT($E$13:$P$13*(N342:Y342-1)^2/(1+AH342*(N342:Y342-1))^2)</f>
        <v>-0</v>
      </c>
      <c r="AK342" s="60" t="n">
        <f aca="false">IF(OR(NOT(AB342),AJ342=0),AH342,IF(AH342-AI342/AJ342&lt;=AC342,(AH342+AC342)/2,IF(AH342-AI342/AJ342&gt;=AD342,(AH342+AD342)/2,AH342-AI342/AJ342)))</f>
        <v>1</v>
      </c>
      <c r="AL342" s="60" t="n">
        <f aca="false">SUMPRODUCT($E$13:$P$13*(N342:Y342-1)/(1+AK342*(N342:Y342-1)))</f>
        <v>0</v>
      </c>
      <c r="AM342" s="60" t="n">
        <f aca="false">-SUMPRODUCT($E$13:$P$13*(N342:Y342-1)^2/(1+AK342*(N342:Y342-1))^2)</f>
        <v>-0</v>
      </c>
      <c r="AN342" s="60" t="n">
        <f aca="false">IF(OR(NOT(AB342),AM342=0),AK342,IF(AK342-AL342/AM342&lt;=AC342,(AK342+AC342)/2,IF(AK342-AL342/AM342&gt;=AD342,(AK342+AD342)/2,AK342-AL342/AM342)))</f>
        <v>1</v>
      </c>
      <c r="AO342" s="60" t="n">
        <f aca="false">SUMPRODUCT($E$13:$P$13*(N342:Y342-1)/(1+AN342*(N342:Y342-1)))</f>
        <v>0</v>
      </c>
      <c r="AP342" s="60" t="n">
        <f aca="false">-SUMPRODUCT($E$13:$P$13*(N342:Y342-1)^2/(1+AN342*(N342:Y342-1))^2)</f>
        <v>-0</v>
      </c>
      <c r="AQ342" s="60" t="n">
        <f aca="false">IF(OR(NOT(AB342),AP342=0),AN342,IF(AN342-AO342/AP342&lt;=AC342,(AN342+AC342)/2,IF(AN342-AO342/AP342&gt;=AD342,(AN342+AD342)/2,AN342-AO342/AP342)))</f>
        <v>1</v>
      </c>
      <c r="AR342" s="60" t="n">
        <f aca="false">SUMPRODUCT($E$13:$P$13*(N342:Y342-1)/(1+AQ342*(N342:Y342-1)))</f>
        <v>0</v>
      </c>
      <c r="AS342" s="60" t="n">
        <f aca="false">-SUMPRODUCT($E$13:$P$13*(N342:Y342-1)^2/(1+AQ342*(N342:Y342-1))^2)</f>
        <v>-0</v>
      </c>
      <c r="AT342" s="60" t="n">
        <f aca="false">IF(OR(NOT(AB342),AS342=0),AQ342,IF(AQ342-AR342/AS342&lt;=AC342,(AQ342+AC342)/2,IF(AQ342-AR342/AS342&gt;=AD342,(AQ342+AD342)/2,AQ342-AR342/AS342)))</f>
        <v>1</v>
      </c>
      <c r="AU342" s="60" t="n">
        <f aca="false">SUMPRODUCT($E$13:$P$13*(N342:Y342-1)/(1+AT342*(N342:Y342-1)))</f>
        <v>0</v>
      </c>
      <c r="AV342" s="60" t="n">
        <f aca="false">-SUMPRODUCT($E$13:$P$13*(N342:Y342-1)^2/(1+AT342*(N342:Y342-1))^2)</f>
        <v>-0</v>
      </c>
      <c r="AW342" s="60" t="n">
        <f aca="false">IF(OR(NOT(AB342),AV342=0),AT342,IF(AT342-AU342/AV342&lt;=AC342,(AT342+AC342)/2,IF(AT342-AU342/AV342&gt;=AD342,(AT342+AD342)/2,AT342-AU342/AV342)))</f>
        <v>1</v>
      </c>
      <c r="AX342" s="60" t="n">
        <f aca="false">SUMPRODUCT($E$13:$P$13*(N342:Y342-1)/(1+AW342*(N342:Y342-1)))</f>
        <v>0</v>
      </c>
      <c r="AY342" s="60" t="n">
        <f aca="false">-SUMPRODUCT($E$13:$P$13*(N342:Y342-1)^2/(1+AW342*(N342:Y342-1))^2)</f>
        <v>-0</v>
      </c>
      <c r="AZ342" s="60" t="n">
        <f aca="false">IF(OR(NOT(AB342),AY342=0),AW342,IF(AW342-AX342/AY342&lt;=AC342,(AW342+AC342)/2,IF(AW342-AX342/AY342&gt;=AD342,(AW342+AD342)/2,AW342-AX342/AY342)))</f>
        <v>1</v>
      </c>
      <c r="BA342" s="60" t="n">
        <f aca="false">SUMPRODUCT($E$13:$P$13*(N342:Y342-1)/(1+AZ342*(N342:Y342-1)))</f>
        <v>0</v>
      </c>
      <c r="BB342" s="60" t="n">
        <f aca="false">-SUMPRODUCT($E$13:$P$13*(N342:Y342-1)^2/(1+AZ342*(N342:Y342-1))^2)</f>
        <v>-0</v>
      </c>
      <c r="BC342" s="60" t="n">
        <f aca="false">IF(OR(NOT(AB342),BB342=0),AZ342,IF(AZ342-BA342/BB342&lt;=AC342,(AZ342+AC342)/2,IF(AZ342-BA342/BB342&gt;=AD342,(AZ342+AD342)/2,AZ342-BA342/BB342)))</f>
        <v>1</v>
      </c>
      <c r="BD342" s="60" t="n">
        <f aca="false">SUMPRODUCT($E$13:$P$13*(N342:Y342-1)/(1+BC342*(N342:Y342-1)))</f>
        <v>0</v>
      </c>
      <c r="BE342" s="60" t="n">
        <f aca="false">-SUMPRODUCT($E$13:$P$13*(N342:Y342-1)^2/(1+BC342*(N342:Y342-1))^2)</f>
        <v>-0</v>
      </c>
      <c r="BF342" s="60" t="n">
        <f aca="false">IF(OR(NOT(AB342),BE342=0),BC342,IF(BC342-BD342/BE342&lt;=AC342,(BC342+AC342)/2,IF(BC342-BD342/BE342&gt;=AD342,(BC342+AD342)/2,BC342-BD342/BE342)))</f>
        <v>1</v>
      </c>
      <c r="BG342" s="60" t="n">
        <f aca="false">SUMPRODUCT($E$13:$P$13*(N342:Y342-1)/(1+BF342*(N342:Y342-1)))</f>
        <v>0</v>
      </c>
      <c r="BH342" s="60" t="n">
        <f aca="false">-SUMPRODUCT($E$13:$P$13*(N342:Y342-1)^2/(1+BF342*(N342:Y342-1))^2)</f>
        <v>-0</v>
      </c>
      <c r="BI342" s="60" t="n">
        <f aca="false">IF(OR(NOT(AB342),BH342=0),BF342,IF(BF342-BG342/BH342&lt;=AC342,(BF342+AC342)/2,IF(BF342-BG342/BH342&gt;=AD342,(BF342+AD342)/2,BF342-BG342/BH342)))</f>
        <v>1</v>
      </c>
      <c r="BJ342" s="60" t="n">
        <f aca="false">$E$13/(1+BI342*(N342-1))</f>
        <v>1</v>
      </c>
      <c r="BK342" s="60" t="n">
        <f aca="false">$F$13/(1+BI342*(O342-1))</f>
        <v>0</v>
      </c>
      <c r="BL342" s="60" t="n">
        <f aca="false">$G$13/(1+BI342*(P342-1))</f>
        <v>0</v>
      </c>
      <c r="BM342" s="60" t="n">
        <f aca="false">$H$13/(1+BI342*(Q342-1))</f>
        <v>0</v>
      </c>
      <c r="BN342" s="60" t="n">
        <f aca="false">$I$13/(1+BI342*(R342-1))</f>
        <v>0</v>
      </c>
      <c r="BO342" s="60" t="n">
        <f aca="false">$J$13/(1+BI342*(S342-1))</f>
        <v>0</v>
      </c>
      <c r="BP342" s="60" t="n">
        <f aca="false">$K$13/(1+BI342*(T342-1))</f>
        <v>0</v>
      </c>
      <c r="BQ342" s="60" t="n">
        <f aca="false">$L$13/(1+BI342*(U342-1))</f>
        <v>0</v>
      </c>
      <c r="BR342" s="60" t="n">
        <f aca="false">$M$13/(1+BI342*(V342-1))</f>
        <v>0</v>
      </c>
      <c r="BS342" s="60" t="n">
        <f aca="false">$N$13/(1+BI342*(W342-1))</f>
        <v>0</v>
      </c>
      <c r="BT342" s="60" t="n">
        <f aca="false">$O$13/(1+BI342*(X342-1))</f>
        <v>0</v>
      </c>
      <c r="BU342" s="60" t="n">
        <f aca="false">$P$13/(1+BI342*(Y342-1))</f>
        <v>0</v>
      </c>
      <c r="BV342" s="60" t="n">
        <f aca="false">SUM(BJ342:BU342)</f>
        <v>1</v>
      </c>
      <c r="BW342" s="60" t="n">
        <f aca="false">SUMPRODUCT(N342:Y342,BJ342:BU342)</f>
        <v>1</v>
      </c>
      <c r="BX342" s="60" t="n">
        <f aca="false">BJ342/BV342</f>
        <v>1</v>
      </c>
      <c r="BY342" s="60" t="n">
        <f aca="false">BK342/BV342</f>
        <v>0</v>
      </c>
      <c r="BZ342" s="60" t="n">
        <f aca="false">BL342/BV342</f>
        <v>0</v>
      </c>
      <c r="CA342" s="60" t="n">
        <f aca="false">BM342/BV342</f>
        <v>0</v>
      </c>
      <c r="CB342" s="60" t="n">
        <f aca="false">BN342/BV342</f>
        <v>0</v>
      </c>
      <c r="CC342" s="60" t="n">
        <f aca="false">BO342/BV342</f>
        <v>0</v>
      </c>
      <c r="CD342" s="60" t="n">
        <f aca="false">BP342/BV342</f>
        <v>0</v>
      </c>
      <c r="CE342" s="60" t="n">
        <f aca="false">BQ342/BV342</f>
        <v>0</v>
      </c>
      <c r="CF342" s="60" t="n">
        <f aca="false">BR342/BV342</f>
        <v>0</v>
      </c>
      <c r="CG342" s="60" t="n">
        <f aca="false">BS342/BV342</f>
        <v>0</v>
      </c>
      <c r="CH342" s="60" t="n">
        <f aca="false">BT342/BV342</f>
        <v>0</v>
      </c>
      <c r="CI342" s="60" t="n">
        <f aca="false">BU342/BV342</f>
        <v>0</v>
      </c>
      <c r="CJ342" s="60" t="n">
        <f aca="false">N342*BJ342/BW342</f>
        <v>1</v>
      </c>
      <c r="CK342" s="60" t="n">
        <f aca="false">O342*BK342/BW342</f>
        <v>0</v>
      </c>
      <c r="CL342" s="60" t="n">
        <f aca="false">P342*BL342/BW342</f>
        <v>0</v>
      </c>
      <c r="CM342" s="60" t="n">
        <f aca="false">Q342*BM342/BW342</f>
        <v>0</v>
      </c>
      <c r="CN342" s="60" t="n">
        <f aca="false">R342*BN342/BW342</f>
        <v>0</v>
      </c>
      <c r="CO342" s="60" t="n">
        <f aca="false">S342*BO342/BW342</f>
        <v>0</v>
      </c>
      <c r="CP342" s="60" t="n">
        <f aca="false">T342*BP342/BW342</f>
        <v>0</v>
      </c>
      <c r="CQ342" s="60" t="n">
        <f aca="false">U342*BQ342/BW342</f>
        <v>0</v>
      </c>
      <c r="CR342" s="60" t="n">
        <f aca="false">V342*BR342/BW342</f>
        <v>0</v>
      </c>
      <c r="CS342" s="60" t="n">
        <f aca="false">W342*BS342/BW342</f>
        <v>0</v>
      </c>
      <c r="CT342" s="60" t="n">
        <f aca="false">X342*BT342/BW342</f>
        <v>0</v>
      </c>
      <c r="CU342" s="60" t="n">
        <f aca="false">Y342*BU342/BW342</f>
        <v>0</v>
      </c>
      <c r="CV342" s="60" t="n">
        <f aca="false">$E$28*SUMPRODUCT($E$31:$P$31,BX342:CI342,$E$28:$P$28)</f>
        <v>0.184416866619846</v>
      </c>
      <c r="CW342" s="60" t="n">
        <f aca="false">$F$28*SUMPRODUCT($E$32:$P$32,BX342:CI342,$E$28:$P$28)</f>
        <v>0</v>
      </c>
      <c r="CX342" s="60" t="n">
        <f aca="false">$G$28*SUMPRODUCT($E$33:$P$33,BX342:CI342,$E$28:$P$28)</f>
        <v>0</v>
      </c>
      <c r="CY342" s="60" t="n">
        <f aca="false">$H$28*SUMPRODUCT($E$34:$P$34,BX342:CI342,$E$28:$P$28)</f>
        <v>0</v>
      </c>
      <c r="CZ342" s="60" t="n">
        <f aca="false">$I$28*SUMPRODUCT($E$35:$P$35,BX342:CI342,$E$28:$P$28)</f>
        <v>0</v>
      </c>
      <c r="DA342" s="60" t="n">
        <f aca="false">$J$28*SUMPRODUCT($E$36:$P$36,BX342:CI342,$E$28:$P$28)</f>
        <v>0</v>
      </c>
      <c r="DB342" s="60" t="n">
        <f aca="false">$K$28*SUMPRODUCT($E$37:$P$37,BX342:CI342,$E$28:$P$28)</f>
        <v>0</v>
      </c>
      <c r="DC342" s="60" t="n">
        <f aca="false">$L$28*SUMPRODUCT($E$38:$P$38,BX342:CI342,$E$28:$P$28)</f>
        <v>0</v>
      </c>
      <c r="DD342" s="60" t="n">
        <f aca="false">$M$28*SUMPRODUCT($E$39:$P$39,BX342:CI342,$E$28:$P$28)</f>
        <v>0</v>
      </c>
      <c r="DE342" s="60" t="n">
        <f aca="false">$N$28*SUMPRODUCT($E$40:$P$40,BX342:CI342,$E$28:$P$28)</f>
        <v>0</v>
      </c>
      <c r="DF342" s="60" t="n">
        <f aca="false">$O$28*SUMPRODUCT($E$41:$P$41,BX342:CI342,$E$28:$P$28)</f>
        <v>0</v>
      </c>
      <c r="DG342" s="60" t="n">
        <f aca="false">$P$28*SUMPRODUCT($E$42:$P$42,BX342:CI342,$E$28:$P$28)</f>
        <v>0</v>
      </c>
      <c r="DH342" s="60" t="n">
        <f aca="false">SUMPRODUCT(BX342:CI342,CV342:DG342)</f>
        <v>0.184416866619846</v>
      </c>
      <c r="DI342" s="60" t="n">
        <f aca="false">SUMPRODUCT(BX342:CI342,$E$27:$P$27)</f>
        <v>2.67389635063809E-005</v>
      </c>
      <c r="DJ342" s="60" t="n">
        <f aca="false">DH342*$C$9/($C$10*$C$8)^2</f>
        <v>0.21776909410545</v>
      </c>
      <c r="DK342" s="60" t="n">
        <f aca="false">DI342*$C$9/($C$10*$C$8)</f>
        <v>0.0918845243259994</v>
      </c>
      <c r="DL342" s="60" t="n">
        <f aca="false">CHOOSE($C$7,-(1+DK342),-1,-(1-DK342))</f>
        <v>-0.908115475674001</v>
      </c>
      <c r="DM342" s="60" t="n">
        <f aca="false">CHOOSE($C$7,DJ342,DJ342-DK342-DK342^2,DJ342-3*DK342^2-2*DK342)</f>
        <v>0.00867174802160559</v>
      </c>
      <c r="DN342" s="60" t="n">
        <f aca="false">CHOOSE($C$7,-DJ342*DK342,-DJ342*DK342,-(DJ342*DK342-DK342^2-DK342^3))</f>
        <v>-0.0107910842936637</v>
      </c>
      <c r="DO342" s="60" t="n">
        <f aca="false">DM342-DL342^2/3</f>
        <v>-0.266219491031267</v>
      </c>
      <c r="DP342" s="60" t="n">
        <f aca="false">2*DL342^3/27-DL342*DM342/3+DN342</f>
        <v>-0.0636400988362784</v>
      </c>
      <c r="DQ342" s="60" t="n">
        <f aca="false">DP342^2/4+DO342^3/27</f>
        <v>0.000313710901361829</v>
      </c>
      <c r="DR342" s="60" t="n">
        <f aca="false">-DP342/2-IF(DP342&gt;=0,1,-1)*SQRT(MAX(DQ342,0))</f>
        <v>0.0495319352963236</v>
      </c>
      <c r="DS342" s="60" t="n">
        <f aca="false">SIGN(DR342)*ABS(DR342)^(1/3)</f>
        <v>0.367249967174439</v>
      </c>
      <c r="DT342" s="60" t="n">
        <f aca="false">IF(DS342=0,0,DS342-DO342/(3*DS342))</f>
        <v>0.60888329127384</v>
      </c>
      <c r="DU342" s="60" t="n">
        <f aca="false">2*SQRT(MAX(-DO342,0)/3)</f>
        <v>0.595784626668918</v>
      </c>
      <c r="DV342" s="60" t="n">
        <f aca="false">ACOS(IF(DU342=0,0,MAX(-1,MIN(1,3*DP342/(DO342*DU342)))))</f>
        <v>0</v>
      </c>
      <c r="DW342" s="60" t="n">
        <f aca="false">DU342*COS(DV342/3)</f>
        <v>0.595784626668918</v>
      </c>
      <c r="DX342" s="60" t="n">
        <f aca="false">IF(DQ342&lt;0,DW342,DT342)-DL342/3</f>
        <v>0.91158844983184</v>
      </c>
      <c r="DY342" s="60" t="n">
        <f aca="false">IFERROR((((DX342+DL342)*DX342+DM342)*DX342+DN342)/((3*DX342+2*DL342)*DX342+DM342),0)</f>
        <v>0</v>
      </c>
      <c r="DZ342" s="60" t="n">
        <f aca="false">IF(ABS(DY342)&lt;0.1*ABS(DX342),DX342-DY342,DX342)</f>
        <v>0.91158844983184</v>
      </c>
      <c r="EA342" s="60" t="n">
        <f aca="false">IFERROR((((DZ342+DL342)*DZ342+DM342)*DZ342+DN342)/((3*DZ342+2*DL342)*DZ342+DM342),0)</f>
        <v>0</v>
      </c>
      <c r="EB342" s="60" t="n">
        <f aca="false">IF(ABS(EA342)&lt;0.1*ABS(DZ342),DZ342-EA342,DZ342)</f>
        <v>0.91158844983184</v>
      </c>
      <c r="EC342" s="60" t="n">
        <f aca="false">-DN342/EB342</f>
        <v>0.0118376711504565</v>
      </c>
      <c r="ED342" s="60" t="n">
        <f aca="false">(DM342-EC342)/EB342</f>
        <v>-0.00347297415783941</v>
      </c>
      <c r="EE342" s="60" t="n">
        <f aca="false">ED342^2-4*EC342</f>
        <v>-0.0473386230523248</v>
      </c>
      <c r="EF342" s="60" t="n">
        <f aca="false">IF(EE342&gt;=0,(ED342+IF(ED342&gt;=0,1,-1)*SQRT(EE342))/2,0)</f>
        <v>0</v>
      </c>
      <c r="EG342" s="60" t="n">
        <f aca="false">IF(AND(EE342&gt;=0,EF342&lt;&gt;0),MIN(EF342,EC342/EF342),-1)</f>
        <v>-1</v>
      </c>
      <c r="EH342" s="60" t="n">
        <f aca="false">AND(EE342&gt;=0,EG342&gt;DK342,ABS(EB342-EG342)&gt;=0.00005*MAX(EB342,EG342))</f>
        <v>0</v>
      </c>
      <c r="EI342" s="60" t="n">
        <f aca="false">IF(EH342,IFERROR((((EG342+DL342)*EG342+DM342)*EG342+DN342)/((3*EG342+2*DL342)*EG342+DM342),0),0)</f>
        <v>0</v>
      </c>
      <c r="EJ342" s="60" t="n">
        <f aca="false">IF(ABS(EI342)&lt;0.1*ABS(EG342),EG342-EI342,EG342)</f>
        <v>-1</v>
      </c>
      <c r="EK342" s="60" t="n">
        <f aca="false">IF(EH342,IFERROR((((EJ342+DL342)*EJ342+DM342)*EJ342+DN342)/((3*EJ342+2*DL342)*EJ342+DM342),0),0)</f>
        <v>0</v>
      </c>
      <c r="EL342" s="60" t="n">
        <f aca="false">IF(ABS(EK342)&lt;0.1*ABS(EJ342),EJ342-EK342,EJ342)</f>
        <v>-1</v>
      </c>
      <c r="EM342" s="60" t="n">
        <f aca="false">IF(EH342,MAX(EB342,EL342),EB342)</f>
        <v>0.91158844983184</v>
      </c>
      <c r="EN342" s="60" t="n">
        <f aca="false">IF(EH342,MIN(EB342,EL342),-1)</f>
        <v>-1</v>
      </c>
      <c r="EO342" s="60" t="n">
        <f aca="false">CHOOSE($C$7,DJ342/EM342,DJ342/DK342*LN(1+DK342/EM342),DJ342/(2*SQRT(2)*DK342)*LN((EM342+(1+SQRT(2))*DK342)/(EM342+(1-SQRT(2))*DK342)))</f>
        <v>0.218240791233887</v>
      </c>
      <c r="EP342" s="60" t="n">
        <f aca="false">EM342-1-LN(EM342-DK342)-EO342</f>
        <v>-0.107840271021729</v>
      </c>
      <c r="EQ342" s="60" t="n">
        <f aca="false">IF(EH342,CHOOSE($C$7,DJ342/EN342,DJ342/DK342*LN(1+DK342/EN342),DJ342/(2*SQRT(2)*DK342)*LN((EN342+(1+SQRT(2))*DK342)/(EN342+(1-SQRT(2))*DK342))),0)</f>
        <v>0</v>
      </c>
      <c r="ER342" s="60" t="n">
        <f aca="false">IF(EH342,EN342-1-LN(EN342-DK342)-EQ342,0)</f>
        <v>0</v>
      </c>
      <c r="ES342" s="60" t="n">
        <f aca="false">AND(EH342,ER342&lt;EP342)</f>
        <v>0</v>
      </c>
      <c r="ET342" s="60" t="n">
        <f aca="false">IF(ES342,EN342,EM342)</f>
        <v>0.91158844983184</v>
      </c>
      <c r="EU342" s="60" t="n">
        <f aca="false">IF(ES342,EQ342,EO342)</f>
        <v>0.218240791233887</v>
      </c>
      <c r="EV342" s="60" t="n">
        <f aca="false">LN(ET342-DK342)</f>
        <v>-0.198812070380318</v>
      </c>
      <c r="EW342" s="60" t="n">
        <f aca="false">$E$27/DI342*(ET342-1)-EV342-EU342*(2*CV342/DH342-$E$27/DI342)</f>
        <v>-0.107840271021729</v>
      </c>
      <c r="EX342" s="60" t="n">
        <f aca="false">$F$27/DI342*(ET342-1)-EV342-EU342*(2*CW342/DH342-$F$27/DI342)</f>
        <v>0.198812070380318</v>
      </c>
      <c r="EY342" s="60" t="n">
        <f aca="false">$G$27/DI342*(ET342-1)-EV342-EU342*(2*CX342/DH342-$G$27/DI342)</f>
        <v>0.198812070380318</v>
      </c>
      <c r="EZ342" s="60" t="n">
        <f aca="false">$H$27/DI342*(ET342-1)-EV342-EU342*(2*CY342/DH342-$H$27/DI342)</f>
        <v>0.198812070380318</v>
      </c>
      <c r="FA342" s="60" t="n">
        <f aca="false">$I$27/DI342*(ET342-1)-EV342-EU342*(2*CZ342/DH342-$I$27/DI342)</f>
        <v>0.198812070380318</v>
      </c>
      <c r="FB342" s="60" t="n">
        <f aca="false">$J$27/DI342*(ET342-1)-EV342-EU342*(2*DA342/DH342-$J$27/DI342)</f>
        <v>0.198812070380318</v>
      </c>
      <c r="FC342" s="60" t="n">
        <f aca="false">$K$27/DI342*(ET342-1)-EV342-EU342*(2*DB342/DH342-$K$27/DI342)</f>
        <v>0.198812070380318</v>
      </c>
      <c r="FD342" s="60" t="n">
        <f aca="false">$L$27/DI342*(ET342-1)-EV342-EU342*(2*DC342/DH342-$L$27/DI342)</f>
        <v>0.198812070380318</v>
      </c>
      <c r="FE342" s="60" t="n">
        <f aca="false">$M$27/DI342*(ET342-1)-EV342-EU342*(2*DD342/DH342-$M$27/DI342)</f>
        <v>0.198812070380318</v>
      </c>
      <c r="FF342" s="60" t="n">
        <f aca="false">$N$27/DI342*(ET342-1)-EV342-EU342*(2*DE342/DH342-$N$27/DI342)</f>
        <v>0.198812070380318</v>
      </c>
      <c r="FG342" s="60" t="n">
        <f aca="false">$O$27/DI342*(ET342-1)-EV342-EU342*(2*DF342/DH342-$O$27/DI342)</f>
        <v>0.198812070380318</v>
      </c>
      <c r="FH342" s="60" t="n">
        <f aca="false">$P$27/DI342*(ET342-1)-EV342-EU342*(2*DG342/DH342-$P$27/DI342)</f>
        <v>0.198812070380318</v>
      </c>
      <c r="FI342" s="60" t="n">
        <f aca="false">DK342/ET342&gt;$C$22</f>
        <v>0</v>
      </c>
      <c r="FJ342" s="60" t="n">
        <f aca="false">$E$28*SUMPRODUCT($E$31:$P$31,CJ342:CU342,$E$28:$P$28)</f>
        <v>0.184416866619846</v>
      </c>
      <c r="FK342" s="60" t="n">
        <f aca="false">$F$28*SUMPRODUCT($E$32:$P$32,CJ342:CU342,$E$28:$P$28)</f>
        <v>0</v>
      </c>
      <c r="FL342" s="60" t="n">
        <f aca="false">$G$28*SUMPRODUCT($E$33:$P$33,CJ342:CU342,$E$28:$P$28)</f>
        <v>0</v>
      </c>
      <c r="FM342" s="60" t="n">
        <f aca="false">$H$28*SUMPRODUCT($E$34:$P$34,CJ342:CU342,$E$28:$P$28)</f>
        <v>0</v>
      </c>
      <c r="FN342" s="60" t="n">
        <f aca="false">$I$28*SUMPRODUCT($E$35:$P$35,CJ342:CU342,$E$28:$P$28)</f>
        <v>0</v>
      </c>
      <c r="FO342" s="60" t="n">
        <f aca="false">$J$28*SUMPRODUCT($E$36:$P$36,CJ342:CU342,$E$28:$P$28)</f>
        <v>0</v>
      </c>
      <c r="FP342" s="60" t="n">
        <f aca="false">$K$28*SUMPRODUCT($E$37:$P$37,CJ342:CU342,$E$28:$P$28)</f>
        <v>0</v>
      </c>
      <c r="FQ342" s="60" t="n">
        <f aca="false">$L$28*SUMPRODUCT($E$38:$P$38,CJ342:CU342,$E$28:$P$28)</f>
        <v>0</v>
      </c>
      <c r="FR342" s="60" t="n">
        <f aca="false">$M$28*SUMPRODUCT($E$39:$P$39,CJ342:CU342,$E$28:$P$28)</f>
        <v>0</v>
      </c>
      <c r="FS342" s="60" t="n">
        <f aca="false">$N$28*SUMPRODUCT($E$40:$P$40,CJ342:CU342,$E$28:$P$28)</f>
        <v>0</v>
      </c>
      <c r="FT342" s="60" t="n">
        <f aca="false">$O$28*SUMPRODUCT($E$41:$P$41,CJ342:CU342,$E$28:$P$28)</f>
        <v>0</v>
      </c>
      <c r="FU342" s="60" t="n">
        <f aca="false">$P$28*SUMPRODUCT($E$42:$P$42,CJ342:CU342,$E$28:$P$28)</f>
        <v>0</v>
      </c>
      <c r="FV342" s="60" t="n">
        <f aca="false">SUMPRODUCT(CJ342:CU342,FJ342:FU342)</f>
        <v>0.184416866619846</v>
      </c>
      <c r="FW342" s="60" t="n">
        <f aca="false">SUMPRODUCT(CJ342:CU342,$E$27:$P$27)</f>
        <v>2.67389635063809E-005</v>
      </c>
      <c r="FX342" s="60" t="n">
        <f aca="false">FV342*$C$9/($C$10*$C$8)^2</f>
        <v>0.21776909410545</v>
      </c>
      <c r="FY342" s="60" t="n">
        <f aca="false">FW342*$C$9/($C$10*$C$8)</f>
        <v>0.0918845243259994</v>
      </c>
      <c r="FZ342" s="60" t="n">
        <f aca="false">CHOOSE($C$7,-(1+FY342),-1,-(1-FY342))</f>
        <v>-0.908115475674001</v>
      </c>
      <c r="GA342" s="60" t="n">
        <f aca="false">CHOOSE($C$7,FX342,FX342-FY342-FY342^2,FX342-3*FY342^2-2*FY342)</f>
        <v>0.00867174802160559</v>
      </c>
      <c r="GB342" s="60" t="n">
        <f aca="false">CHOOSE($C$7,-FX342*FY342,-FX342*FY342,-(FX342*FY342-FY342^2-FY342^3))</f>
        <v>-0.0107910842936637</v>
      </c>
      <c r="GC342" s="60" t="n">
        <f aca="false">GA342-FZ342^2/3</f>
        <v>-0.266219491031267</v>
      </c>
      <c r="GD342" s="60" t="n">
        <f aca="false">2*FZ342^3/27-FZ342*GA342/3+GB342</f>
        <v>-0.0636400988362784</v>
      </c>
      <c r="GE342" s="60" t="n">
        <f aca="false">GD342^2/4+GC342^3/27</f>
        <v>0.000313710901361829</v>
      </c>
      <c r="GF342" s="60" t="n">
        <f aca="false">-GD342/2-IF(GD342&gt;=0,1,-1)*SQRT(MAX(GE342,0))</f>
        <v>0.0495319352963236</v>
      </c>
      <c r="GG342" s="60" t="n">
        <f aca="false">SIGN(GF342)*ABS(GF342)^(1/3)</f>
        <v>0.367249967174439</v>
      </c>
      <c r="GH342" s="60" t="n">
        <f aca="false">IF(GG342=0,0,GG342-GC342/(3*GG342))</f>
        <v>0.60888329127384</v>
      </c>
      <c r="GI342" s="60" t="n">
        <f aca="false">2*SQRT(MAX(-GC342,0)/3)</f>
        <v>0.595784626668918</v>
      </c>
      <c r="GJ342" s="60" t="n">
        <f aca="false">ACOS(IF(GI342=0,0,MAX(-1,MIN(1,3*GD342/(GC342*GI342)))))</f>
        <v>0</v>
      </c>
      <c r="GK342" s="60" t="n">
        <f aca="false">GI342*COS(GJ342/3)</f>
        <v>0.595784626668918</v>
      </c>
      <c r="GL342" s="60" t="n">
        <f aca="false">IF(GE342&lt;0,GK342,GH342)-FZ342/3</f>
        <v>0.91158844983184</v>
      </c>
      <c r="GM342" s="60" t="n">
        <f aca="false">IFERROR((((GL342+FZ342)*GL342+GA342)*GL342+GB342)/((3*GL342+2*FZ342)*GL342+GA342),0)</f>
        <v>0</v>
      </c>
      <c r="GN342" s="60" t="n">
        <f aca="false">IF(ABS(GM342)&lt;0.1*ABS(GL342),GL342-GM342,GL342)</f>
        <v>0.91158844983184</v>
      </c>
      <c r="GO342" s="60" t="n">
        <f aca="false">IFERROR((((GN342+FZ342)*GN342+GA342)*GN342+GB342)/((3*GN342+2*FZ342)*GN342+GA342),0)</f>
        <v>0</v>
      </c>
      <c r="GP342" s="60" t="n">
        <f aca="false">IF(ABS(GO342)&lt;0.1*ABS(GN342),GN342-GO342,GN342)</f>
        <v>0.91158844983184</v>
      </c>
      <c r="GQ342" s="60" t="n">
        <f aca="false">-GB342/GP342</f>
        <v>0.0118376711504565</v>
      </c>
      <c r="GR342" s="60" t="n">
        <f aca="false">(GA342-GQ342)/GP342</f>
        <v>-0.00347297415783941</v>
      </c>
      <c r="GS342" s="60" t="n">
        <f aca="false">GR342^2-4*GQ342</f>
        <v>-0.0473386230523248</v>
      </c>
      <c r="GT342" s="60" t="n">
        <f aca="false">IF(GS342&gt;=0,(GR342+IF(GR342&gt;=0,1,-1)*SQRT(GS342))/2,0)</f>
        <v>0</v>
      </c>
      <c r="GU342" s="60" t="n">
        <f aca="false">IF(AND(GS342&gt;=0,GT342&lt;&gt;0),MIN(GT342,GQ342/GT342),-1)</f>
        <v>-1</v>
      </c>
      <c r="GV342" s="60" t="n">
        <f aca="false">AND(GS342&gt;=0,GU342&gt;FY342,ABS(GP342-GU342)&gt;=0.00005*MAX(GP342,GU342))</f>
        <v>0</v>
      </c>
      <c r="GW342" s="60" t="n">
        <f aca="false">IF(GV342,IFERROR((((GU342+FZ342)*GU342+GA342)*GU342+GB342)/((3*GU342+2*FZ342)*GU342+GA342),0),0)</f>
        <v>0</v>
      </c>
      <c r="GX342" s="60" t="n">
        <f aca="false">IF(ABS(GW342)&lt;0.1*ABS(GU342),GU342-GW342,GU342)</f>
        <v>-1</v>
      </c>
      <c r="GY342" s="60" t="n">
        <f aca="false">IF(GV342,IFERROR((((GX342+FZ342)*GX342+GA342)*GX342+GB342)/((3*GX342+2*FZ342)*GX342+GA342),0),0)</f>
        <v>0</v>
      </c>
      <c r="GZ342" s="60" t="n">
        <f aca="false">IF(ABS(GY342)&lt;0.1*ABS(GX342),GX342-GY342,GX342)</f>
        <v>-1</v>
      </c>
      <c r="HA342" s="60" t="n">
        <f aca="false">IF(GV342,MAX(GP342,GZ342),GP342)</f>
        <v>0.91158844983184</v>
      </c>
      <c r="HB342" s="60" t="n">
        <f aca="false">IF(GV342,MIN(GP342,GZ342),-1)</f>
        <v>-1</v>
      </c>
      <c r="HC342" s="60" t="n">
        <f aca="false">CHOOSE($C$7,FX342/HA342,FX342/FY342*LN(1+FY342/HA342),FX342/(2*SQRT(2)*FY342)*LN((HA342+(1+SQRT(2))*FY342)/(HA342+(1-SQRT(2))*FY342)))</f>
        <v>0.218240791233887</v>
      </c>
      <c r="HD342" s="60" t="n">
        <f aca="false">HA342-1-LN(HA342-FY342)-HC342</f>
        <v>-0.107840271021729</v>
      </c>
      <c r="HE342" s="60" t="n">
        <f aca="false">IF(GV342,CHOOSE($C$7,FX342/HB342,FX342/FY342*LN(1+FY342/HB342),FX342/(2*SQRT(2)*FY342)*LN((HB342+(1+SQRT(2))*FY342)/(HB342+(1-SQRT(2))*FY342))),0)</f>
        <v>0</v>
      </c>
      <c r="HF342" s="60" t="n">
        <f aca="false">IF(GV342,HB342-1-LN(HB342-FY342)-HE342,0)</f>
        <v>0</v>
      </c>
      <c r="HG342" s="60" t="n">
        <f aca="false">AND(GV342,HF342&lt;HD342)</f>
        <v>0</v>
      </c>
      <c r="HH342" s="60" t="n">
        <f aca="false">IF(HG342,HB342,HA342)</f>
        <v>0.91158844983184</v>
      </c>
      <c r="HI342" s="60" t="n">
        <f aca="false">IF(HG342,HE342,HC342)</f>
        <v>0.218240791233887</v>
      </c>
      <c r="HJ342" s="60" t="n">
        <f aca="false">LN(HH342-FY342)</f>
        <v>-0.198812070380318</v>
      </c>
      <c r="HK342" s="60" t="n">
        <f aca="false">$E$27/FW342*(HH342-1)-HJ342-HI342*(2*FJ342/FV342-$E$27/FW342)</f>
        <v>-0.107840271021729</v>
      </c>
      <c r="HL342" s="60" t="n">
        <f aca="false">$F$27/FW342*(HH342-1)-HJ342-HI342*(2*FK342/FV342-$F$27/FW342)</f>
        <v>0.198812070380318</v>
      </c>
      <c r="HM342" s="60" t="n">
        <f aca="false">$G$27/FW342*(HH342-1)-HJ342-HI342*(2*FL342/FV342-$G$27/FW342)</f>
        <v>0.198812070380318</v>
      </c>
      <c r="HN342" s="60" t="n">
        <f aca="false">$H$27/FW342*(HH342-1)-HJ342-HI342*(2*FM342/FV342-$H$27/FW342)</f>
        <v>0.198812070380318</v>
      </c>
      <c r="HO342" s="60" t="n">
        <f aca="false">$I$27/FW342*(HH342-1)-HJ342-HI342*(2*FN342/FV342-$I$27/FW342)</f>
        <v>0.198812070380318</v>
      </c>
      <c r="HP342" s="60" t="n">
        <f aca="false">$J$27/FW342*(HH342-1)-HJ342-HI342*(2*FO342/FV342-$J$27/FW342)</f>
        <v>0.198812070380318</v>
      </c>
      <c r="HQ342" s="60" t="n">
        <f aca="false">$K$27/FW342*(HH342-1)-HJ342-HI342*(2*FP342/FV342-$K$27/FW342)</f>
        <v>0.198812070380318</v>
      </c>
      <c r="HR342" s="60" t="n">
        <f aca="false">$L$27/FW342*(HH342-1)-HJ342-HI342*(2*FQ342/FV342-$L$27/FW342)</f>
        <v>0.198812070380318</v>
      </c>
      <c r="HS342" s="60" t="n">
        <f aca="false">$M$27/FW342*(HH342-1)-HJ342-HI342*(2*FR342/FV342-$M$27/FW342)</f>
        <v>0.198812070380318</v>
      </c>
      <c r="HT342" s="60" t="n">
        <f aca="false">$N$27/FW342*(HH342-1)-HJ342-HI342*(2*FS342/FV342-$N$27/FW342)</f>
        <v>0.198812070380318</v>
      </c>
      <c r="HU342" s="60" t="n">
        <f aca="false">$O$27/FW342*(HH342-1)-HJ342-HI342*(2*FT342/FV342-$O$27/FW342)</f>
        <v>0.198812070380318</v>
      </c>
      <c r="HV342" s="60" t="n">
        <f aca="false">$P$27/FW342*(HH342-1)-HJ342-HI342*(2*FU342/FV342-$P$27/FW342)</f>
        <v>0.198812070380318</v>
      </c>
      <c r="HW342" s="60" t="n">
        <f aca="false">FY342/HH342&gt;$C$22</f>
        <v>0</v>
      </c>
      <c r="HX342" s="60" t="n">
        <f aca="false">IF($E$13&gt;0,MAX(-300,MIN(300,EW342-HK342)),0)</f>
        <v>0</v>
      </c>
      <c r="HY342" s="60" t="n">
        <f aca="false">IF($F$13&gt;0,MAX(-300,MIN(300,EX342-HL342)),0)</f>
        <v>0</v>
      </c>
      <c r="HZ342" s="60" t="n">
        <f aca="false">IF($G$13&gt;0,MAX(-300,MIN(300,EY342-HM342)),0)</f>
        <v>0</v>
      </c>
      <c r="IA342" s="60" t="n">
        <f aca="false">IF($H$13&gt;0,MAX(-300,MIN(300,EZ342-HN342)),0)</f>
        <v>0</v>
      </c>
      <c r="IB342" s="60" t="n">
        <f aca="false">IF($I$13&gt;0,MAX(-300,MIN(300,FA342-HO342)),0)</f>
        <v>0</v>
      </c>
      <c r="IC342" s="60" t="n">
        <f aca="false">IF($J$13&gt;0,MAX(-300,MIN(300,FB342-HP342)),0)</f>
        <v>0</v>
      </c>
      <c r="ID342" s="60" t="n">
        <f aca="false">IF($K$13&gt;0,MAX(-300,MIN(300,FC342-HQ342)),0)</f>
        <v>0</v>
      </c>
      <c r="IE342" s="60" t="n">
        <f aca="false">IF($L$13&gt;0,MAX(-300,MIN(300,FD342-HR342)),0)</f>
        <v>0</v>
      </c>
      <c r="IF342" s="60" t="n">
        <f aca="false">IF($M$13&gt;0,MAX(-300,MIN(300,FE342-HS342)),0)</f>
        <v>0</v>
      </c>
      <c r="IG342" s="60" t="n">
        <f aca="false">IF($N$13&gt;0,MAX(-300,MIN(300,FF342-HT342)),0)</f>
        <v>0</v>
      </c>
      <c r="IH342" s="60" t="n">
        <f aca="false">IF($O$13&gt;0,MAX(-300,MIN(300,FG342-HU342)),0)</f>
        <v>0</v>
      </c>
      <c r="II342" s="60" t="n">
        <f aca="false">IF($P$13&gt;0,MAX(-300,MIN(300,FH342-HV342)),0)</f>
        <v>0</v>
      </c>
      <c r="IJ342" s="60" t="n">
        <f aca="false">SUMXMY2(HX342:II342,B342:M342)</f>
        <v>0</v>
      </c>
      <c r="IK342" s="60" t="n">
        <f aca="false">SUMSQ(B342:M342)</f>
        <v>0</v>
      </c>
    </row>
    <row r="343" customFormat="false" ht="15" hidden="false" customHeight="false" outlineLevel="0" collapsed="false">
      <c r="A343" s="59" t="n">
        <v>46</v>
      </c>
      <c r="B343" s="60" t="n">
        <f aca="false">HX342</f>
        <v>0</v>
      </c>
      <c r="C343" s="60" t="n">
        <f aca="false">HY342</f>
        <v>0</v>
      </c>
      <c r="D343" s="60" t="n">
        <f aca="false">HZ342</f>
        <v>0</v>
      </c>
      <c r="E343" s="60" t="n">
        <f aca="false">IA342</f>
        <v>0</v>
      </c>
      <c r="F343" s="60" t="n">
        <f aca="false">IB342</f>
        <v>0</v>
      </c>
      <c r="G343" s="60" t="n">
        <f aca="false">IC342</f>
        <v>0</v>
      </c>
      <c r="H343" s="60" t="n">
        <f aca="false">ID342</f>
        <v>0</v>
      </c>
      <c r="I343" s="60" t="n">
        <f aca="false">IE342</f>
        <v>0</v>
      </c>
      <c r="J343" s="60" t="n">
        <f aca="false">IF342</f>
        <v>0</v>
      </c>
      <c r="K343" s="60" t="n">
        <f aca="false">IG342</f>
        <v>0</v>
      </c>
      <c r="L343" s="60" t="n">
        <f aca="false">IH342</f>
        <v>0</v>
      </c>
      <c r="M343" s="60" t="n">
        <f aca="false">II342</f>
        <v>0</v>
      </c>
      <c r="N343" s="60" t="n">
        <f aca="false">EXP(B343)</f>
        <v>1</v>
      </c>
      <c r="O343" s="60" t="n">
        <f aca="false">EXP(C343)</f>
        <v>1</v>
      </c>
      <c r="P343" s="60" t="n">
        <f aca="false">EXP(D343)</f>
        <v>1</v>
      </c>
      <c r="Q343" s="60" t="n">
        <f aca="false">EXP(E343)</f>
        <v>1</v>
      </c>
      <c r="R343" s="60" t="n">
        <f aca="false">EXP(F343)</f>
        <v>1</v>
      </c>
      <c r="S343" s="60" t="n">
        <f aca="false">EXP(G343)</f>
        <v>1</v>
      </c>
      <c r="T343" s="60" t="n">
        <f aca="false">EXP(H343)</f>
        <v>1</v>
      </c>
      <c r="U343" s="60" t="n">
        <f aca="false">EXP(I343)</f>
        <v>1</v>
      </c>
      <c r="V343" s="60" t="n">
        <f aca="false">EXP(J343)</f>
        <v>1</v>
      </c>
      <c r="W343" s="60" t="n">
        <f aca="false">EXP(K343)</f>
        <v>1</v>
      </c>
      <c r="X343" s="60" t="n">
        <f aca="false">EXP(L343)</f>
        <v>1</v>
      </c>
      <c r="Y343" s="60" t="n">
        <f aca="false">EXP(M343)</f>
        <v>1</v>
      </c>
      <c r="Z343" s="60" t="n">
        <f aca="false">MAX(N343:Y343)</f>
        <v>1</v>
      </c>
      <c r="AA343" s="60" t="n">
        <f aca="false">MIN(N343:Y343)</f>
        <v>1</v>
      </c>
      <c r="AB343" s="60" t="n">
        <f aca="false">AND(Z343&gt;1,AA343&lt;1)</f>
        <v>0</v>
      </c>
      <c r="AC343" s="60" t="n">
        <f aca="false">IF(AB343,1/(1-Z343),0)</f>
        <v>0</v>
      </c>
      <c r="AD343" s="60" t="n">
        <f aca="false">IF(AB343,1/(1-AA343),1)</f>
        <v>1</v>
      </c>
      <c r="AE343" s="60" t="n">
        <f aca="false">IF(AB343,MIN(MAX(BI342,AC343+0.000000001*(AD343-AC343)),AD343-0.000000001*(AD343-AC343)),IF(AA343&gt;=1,1,0))</f>
        <v>1</v>
      </c>
      <c r="AF343" s="60" t="n">
        <f aca="false">SUMPRODUCT($E$13:$P$13*(N343:Y343-1)/(1+AE343*(N343:Y343-1)))</f>
        <v>0</v>
      </c>
      <c r="AG343" s="60" t="n">
        <f aca="false">-SUMPRODUCT($E$13:$P$13*(N343:Y343-1)^2/(1+AE343*(N343:Y343-1))^2)</f>
        <v>-0</v>
      </c>
      <c r="AH343" s="60" t="n">
        <f aca="false">IF(OR(NOT(AB343),AG343=0),AE343,IF(AE343-AF343/AG343&lt;=AC343,(AE343+AC343)/2,IF(AE343-AF343/AG343&gt;=AD343,(AE343+AD343)/2,AE343-AF343/AG343)))</f>
        <v>1</v>
      </c>
      <c r="AI343" s="60" t="n">
        <f aca="false">SUMPRODUCT($E$13:$P$13*(N343:Y343-1)/(1+AH343*(N343:Y343-1)))</f>
        <v>0</v>
      </c>
      <c r="AJ343" s="60" t="n">
        <f aca="false">-SUMPRODUCT($E$13:$P$13*(N343:Y343-1)^2/(1+AH343*(N343:Y343-1))^2)</f>
        <v>-0</v>
      </c>
      <c r="AK343" s="60" t="n">
        <f aca="false">IF(OR(NOT(AB343),AJ343=0),AH343,IF(AH343-AI343/AJ343&lt;=AC343,(AH343+AC343)/2,IF(AH343-AI343/AJ343&gt;=AD343,(AH343+AD343)/2,AH343-AI343/AJ343)))</f>
        <v>1</v>
      </c>
      <c r="AL343" s="60" t="n">
        <f aca="false">SUMPRODUCT($E$13:$P$13*(N343:Y343-1)/(1+AK343*(N343:Y343-1)))</f>
        <v>0</v>
      </c>
      <c r="AM343" s="60" t="n">
        <f aca="false">-SUMPRODUCT($E$13:$P$13*(N343:Y343-1)^2/(1+AK343*(N343:Y343-1))^2)</f>
        <v>-0</v>
      </c>
      <c r="AN343" s="60" t="n">
        <f aca="false">IF(OR(NOT(AB343),AM343=0),AK343,IF(AK343-AL343/AM343&lt;=AC343,(AK343+AC343)/2,IF(AK343-AL343/AM343&gt;=AD343,(AK343+AD343)/2,AK343-AL343/AM343)))</f>
        <v>1</v>
      </c>
      <c r="AO343" s="60" t="n">
        <f aca="false">SUMPRODUCT($E$13:$P$13*(N343:Y343-1)/(1+AN343*(N343:Y343-1)))</f>
        <v>0</v>
      </c>
      <c r="AP343" s="60" t="n">
        <f aca="false">-SUMPRODUCT($E$13:$P$13*(N343:Y343-1)^2/(1+AN343*(N343:Y343-1))^2)</f>
        <v>-0</v>
      </c>
      <c r="AQ343" s="60" t="n">
        <f aca="false">IF(OR(NOT(AB343),AP343=0),AN343,IF(AN343-AO343/AP343&lt;=AC343,(AN343+AC343)/2,IF(AN343-AO343/AP343&gt;=AD343,(AN343+AD343)/2,AN343-AO343/AP343)))</f>
        <v>1</v>
      </c>
      <c r="AR343" s="60" t="n">
        <f aca="false">SUMPRODUCT($E$13:$P$13*(N343:Y343-1)/(1+AQ343*(N343:Y343-1)))</f>
        <v>0</v>
      </c>
      <c r="AS343" s="60" t="n">
        <f aca="false">-SUMPRODUCT($E$13:$P$13*(N343:Y343-1)^2/(1+AQ343*(N343:Y343-1))^2)</f>
        <v>-0</v>
      </c>
      <c r="AT343" s="60" t="n">
        <f aca="false">IF(OR(NOT(AB343),AS343=0),AQ343,IF(AQ343-AR343/AS343&lt;=AC343,(AQ343+AC343)/2,IF(AQ343-AR343/AS343&gt;=AD343,(AQ343+AD343)/2,AQ343-AR343/AS343)))</f>
        <v>1</v>
      </c>
      <c r="AU343" s="60" t="n">
        <f aca="false">SUMPRODUCT($E$13:$P$13*(N343:Y343-1)/(1+AT343*(N343:Y343-1)))</f>
        <v>0</v>
      </c>
      <c r="AV343" s="60" t="n">
        <f aca="false">-SUMPRODUCT($E$13:$P$13*(N343:Y343-1)^2/(1+AT343*(N343:Y343-1))^2)</f>
        <v>-0</v>
      </c>
      <c r="AW343" s="60" t="n">
        <f aca="false">IF(OR(NOT(AB343),AV343=0),AT343,IF(AT343-AU343/AV343&lt;=AC343,(AT343+AC343)/2,IF(AT343-AU343/AV343&gt;=AD343,(AT343+AD343)/2,AT343-AU343/AV343)))</f>
        <v>1</v>
      </c>
      <c r="AX343" s="60" t="n">
        <f aca="false">SUMPRODUCT($E$13:$P$13*(N343:Y343-1)/(1+AW343*(N343:Y343-1)))</f>
        <v>0</v>
      </c>
      <c r="AY343" s="60" t="n">
        <f aca="false">-SUMPRODUCT($E$13:$P$13*(N343:Y343-1)^2/(1+AW343*(N343:Y343-1))^2)</f>
        <v>-0</v>
      </c>
      <c r="AZ343" s="60" t="n">
        <f aca="false">IF(OR(NOT(AB343),AY343=0),AW343,IF(AW343-AX343/AY343&lt;=AC343,(AW343+AC343)/2,IF(AW343-AX343/AY343&gt;=AD343,(AW343+AD343)/2,AW343-AX343/AY343)))</f>
        <v>1</v>
      </c>
      <c r="BA343" s="60" t="n">
        <f aca="false">SUMPRODUCT($E$13:$P$13*(N343:Y343-1)/(1+AZ343*(N343:Y343-1)))</f>
        <v>0</v>
      </c>
      <c r="BB343" s="60" t="n">
        <f aca="false">-SUMPRODUCT($E$13:$P$13*(N343:Y343-1)^2/(1+AZ343*(N343:Y343-1))^2)</f>
        <v>-0</v>
      </c>
      <c r="BC343" s="60" t="n">
        <f aca="false">IF(OR(NOT(AB343),BB343=0),AZ343,IF(AZ343-BA343/BB343&lt;=AC343,(AZ343+AC343)/2,IF(AZ343-BA343/BB343&gt;=AD343,(AZ343+AD343)/2,AZ343-BA343/BB343)))</f>
        <v>1</v>
      </c>
      <c r="BD343" s="60" t="n">
        <f aca="false">SUMPRODUCT($E$13:$P$13*(N343:Y343-1)/(1+BC343*(N343:Y343-1)))</f>
        <v>0</v>
      </c>
      <c r="BE343" s="60" t="n">
        <f aca="false">-SUMPRODUCT($E$13:$P$13*(N343:Y343-1)^2/(1+BC343*(N343:Y343-1))^2)</f>
        <v>-0</v>
      </c>
      <c r="BF343" s="60" t="n">
        <f aca="false">IF(OR(NOT(AB343),BE343=0),BC343,IF(BC343-BD343/BE343&lt;=AC343,(BC343+AC343)/2,IF(BC343-BD343/BE343&gt;=AD343,(BC343+AD343)/2,BC343-BD343/BE343)))</f>
        <v>1</v>
      </c>
      <c r="BG343" s="60" t="n">
        <f aca="false">SUMPRODUCT($E$13:$P$13*(N343:Y343-1)/(1+BF343*(N343:Y343-1)))</f>
        <v>0</v>
      </c>
      <c r="BH343" s="60" t="n">
        <f aca="false">-SUMPRODUCT($E$13:$P$13*(N343:Y343-1)^2/(1+BF343*(N343:Y343-1))^2)</f>
        <v>-0</v>
      </c>
      <c r="BI343" s="60" t="n">
        <f aca="false">IF(OR(NOT(AB343),BH343=0),BF343,IF(BF343-BG343/BH343&lt;=AC343,(BF343+AC343)/2,IF(BF343-BG343/BH343&gt;=AD343,(BF343+AD343)/2,BF343-BG343/BH343)))</f>
        <v>1</v>
      </c>
      <c r="BJ343" s="60" t="n">
        <f aca="false">$E$13/(1+BI343*(N343-1))</f>
        <v>1</v>
      </c>
      <c r="BK343" s="60" t="n">
        <f aca="false">$F$13/(1+BI343*(O343-1))</f>
        <v>0</v>
      </c>
      <c r="BL343" s="60" t="n">
        <f aca="false">$G$13/(1+BI343*(P343-1))</f>
        <v>0</v>
      </c>
      <c r="BM343" s="60" t="n">
        <f aca="false">$H$13/(1+BI343*(Q343-1))</f>
        <v>0</v>
      </c>
      <c r="BN343" s="60" t="n">
        <f aca="false">$I$13/(1+BI343*(R343-1))</f>
        <v>0</v>
      </c>
      <c r="BO343" s="60" t="n">
        <f aca="false">$J$13/(1+BI343*(S343-1))</f>
        <v>0</v>
      </c>
      <c r="BP343" s="60" t="n">
        <f aca="false">$K$13/(1+BI343*(T343-1))</f>
        <v>0</v>
      </c>
      <c r="BQ343" s="60" t="n">
        <f aca="false">$L$13/(1+BI343*(U343-1))</f>
        <v>0</v>
      </c>
      <c r="BR343" s="60" t="n">
        <f aca="false">$M$13/(1+BI343*(V343-1))</f>
        <v>0</v>
      </c>
      <c r="BS343" s="60" t="n">
        <f aca="false">$N$13/(1+BI343*(W343-1))</f>
        <v>0</v>
      </c>
      <c r="BT343" s="60" t="n">
        <f aca="false">$O$13/(1+BI343*(X343-1))</f>
        <v>0</v>
      </c>
      <c r="BU343" s="60" t="n">
        <f aca="false">$P$13/(1+BI343*(Y343-1))</f>
        <v>0</v>
      </c>
      <c r="BV343" s="60" t="n">
        <f aca="false">SUM(BJ343:BU343)</f>
        <v>1</v>
      </c>
      <c r="BW343" s="60" t="n">
        <f aca="false">SUMPRODUCT(N343:Y343,BJ343:BU343)</f>
        <v>1</v>
      </c>
      <c r="BX343" s="60" t="n">
        <f aca="false">BJ343/BV343</f>
        <v>1</v>
      </c>
      <c r="BY343" s="60" t="n">
        <f aca="false">BK343/BV343</f>
        <v>0</v>
      </c>
      <c r="BZ343" s="60" t="n">
        <f aca="false">BL343/BV343</f>
        <v>0</v>
      </c>
      <c r="CA343" s="60" t="n">
        <f aca="false">BM343/BV343</f>
        <v>0</v>
      </c>
      <c r="CB343" s="60" t="n">
        <f aca="false">BN343/BV343</f>
        <v>0</v>
      </c>
      <c r="CC343" s="60" t="n">
        <f aca="false">BO343/BV343</f>
        <v>0</v>
      </c>
      <c r="CD343" s="60" t="n">
        <f aca="false">BP343/BV343</f>
        <v>0</v>
      </c>
      <c r="CE343" s="60" t="n">
        <f aca="false">BQ343/BV343</f>
        <v>0</v>
      </c>
      <c r="CF343" s="60" t="n">
        <f aca="false">BR343/BV343</f>
        <v>0</v>
      </c>
      <c r="CG343" s="60" t="n">
        <f aca="false">BS343/BV343</f>
        <v>0</v>
      </c>
      <c r="CH343" s="60" t="n">
        <f aca="false">BT343/BV343</f>
        <v>0</v>
      </c>
      <c r="CI343" s="60" t="n">
        <f aca="false">BU343/BV343</f>
        <v>0</v>
      </c>
      <c r="CJ343" s="60" t="n">
        <f aca="false">N343*BJ343/BW343</f>
        <v>1</v>
      </c>
      <c r="CK343" s="60" t="n">
        <f aca="false">O343*BK343/BW343</f>
        <v>0</v>
      </c>
      <c r="CL343" s="60" t="n">
        <f aca="false">P343*BL343/BW343</f>
        <v>0</v>
      </c>
      <c r="CM343" s="60" t="n">
        <f aca="false">Q343*BM343/BW343</f>
        <v>0</v>
      </c>
      <c r="CN343" s="60" t="n">
        <f aca="false">R343*BN343/BW343</f>
        <v>0</v>
      </c>
      <c r="CO343" s="60" t="n">
        <f aca="false">S343*BO343/BW343</f>
        <v>0</v>
      </c>
      <c r="CP343" s="60" t="n">
        <f aca="false">T343*BP343/BW343</f>
        <v>0</v>
      </c>
      <c r="CQ343" s="60" t="n">
        <f aca="false">U343*BQ343/BW343</f>
        <v>0</v>
      </c>
      <c r="CR343" s="60" t="n">
        <f aca="false">V343*BR343/BW343</f>
        <v>0</v>
      </c>
      <c r="CS343" s="60" t="n">
        <f aca="false">W343*BS343/BW343</f>
        <v>0</v>
      </c>
      <c r="CT343" s="60" t="n">
        <f aca="false">X343*BT343/BW343</f>
        <v>0</v>
      </c>
      <c r="CU343" s="60" t="n">
        <f aca="false">Y343*BU343/BW343</f>
        <v>0</v>
      </c>
      <c r="CV343" s="60" t="n">
        <f aca="false">$E$28*SUMPRODUCT($E$31:$P$31,BX343:CI343,$E$28:$P$28)</f>
        <v>0.184416866619846</v>
      </c>
      <c r="CW343" s="60" t="n">
        <f aca="false">$F$28*SUMPRODUCT($E$32:$P$32,BX343:CI343,$E$28:$P$28)</f>
        <v>0</v>
      </c>
      <c r="CX343" s="60" t="n">
        <f aca="false">$G$28*SUMPRODUCT($E$33:$P$33,BX343:CI343,$E$28:$P$28)</f>
        <v>0</v>
      </c>
      <c r="CY343" s="60" t="n">
        <f aca="false">$H$28*SUMPRODUCT($E$34:$P$34,BX343:CI343,$E$28:$P$28)</f>
        <v>0</v>
      </c>
      <c r="CZ343" s="60" t="n">
        <f aca="false">$I$28*SUMPRODUCT($E$35:$P$35,BX343:CI343,$E$28:$P$28)</f>
        <v>0</v>
      </c>
      <c r="DA343" s="60" t="n">
        <f aca="false">$J$28*SUMPRODUCT($E$36:$P$36,BX343:CI343,$E$28:$P$28)</f>
        <v>0</v>
      </c>
      <c r="DB343" s="60" t="n">
        <f aca="false">$K$28*SUMPRODUCT($E$37:$P$37,BX343:CI343,$E$28:$P$28)</f>
        <v>0</v>
      </c>
      <c r="DC343" s="60" t="n">
        <f aca="false">$L$28*SUMPRODUCT($E$38:$P$38,BX343:CI343,$E$28:$P$28)</f>
        <v>0</v>
      </c>
      <c r="DD343" s="60" t="n">
        <f aca="false">$M$28*SUMPRODUCT($E$39:$P$39,BX343:CI343,$E$28:$P$28)</f>
        <v>0</v>
      </c>
      <c r="DE343" s="60" t="n">
        <f aca="false">$N$28*SUMPRODUCT($E$40:$P$40,BX343:CI343,$E$28:$P$28)</f>
        <v>0</v>
      </c>
      <c r="DF343" s="60" t="n">
        <f aca="false">$O$28*SUMPRODUCT($E$41:$P$41,BX343:CI343,$E$28:$P$28)</f>
        <v>0</v>
      </c>
      <c r="DG343" s="60" t="n">
        <f aca="false">$P$28*SUMPRODUCT($E$42:$P$42,BX343:CI343,$E$28:$P$28)</f>
        <v>0</v>
      </c>
      <c r="DH343" s="60" t="n">
        <f aca="false">SUMPRODUCT(BX343:CI343,CV343:DG343)</f>
        <v>0.184416866619846</v>
      </c>
      <c r="DI343" s="60" t="n">
        <f aca="false">SUMPRODUCT(BX343:CI343,$E$27:$P$27)</f>
        <v>2.67389635063809E-005</v>
      </c>
      <c r="DJ343" s="60" t="n">
        <f aca="false">DH343*$C$9/($C$10*$C$8)^2</f>
        <v>0.21776909410545</v>
      </c>
      <c r="DK343" s="60" t="n">
        <f aca="false">DI343*$C$9/($C$10*$C$8)</f>
        <v>0.0918845243259994</v>
      </c>
      <c r="DL343" s="60" t="n">
        <f aca="false">CHOOSE($C$7,-(1+DK343),-1,-(1-DK343))</f>
        <v>-0.908115475674001</v>
      </c>
      <c r="DM343" s="60" t="n">
        <f aca="false">CHOOSE($C$7,DJ343,DJ343-DK343-DK343^2,DJ343-3*DK343^2-2*DK343)</f>
        <v>0.00867174802160559</v>
      </c>
      <c r="DN343" s="60" t="n">
        <f aca="false">CHOOSE($C$7,-DJ343*DK343,-DJ343*DK343,-(DJ343*DK343-DK343^2-DK343^3))</f>
        <v>-0.0107910842936637</v>
      </c>
      <c r="DO343" s="60" t="n">
        <f aca="false">DM343-DL343^2/3</f>
        <v>-0.266219491031267</v>
      </c>
      <c r="DP343" s="60" t="n">
        <f aca="false">2*DL343^3/27-DL343*DM343/3+DN343</f>
        <v>-0.0636400988362784</v>
      </c>
      <c r="DQ343" s="60" t="n">
        <f aca="false">DP343^2/4+DO343^3/27</f>
        <v>0.000313710901361829</v>
      </c>
      <c r="DR343" s="60" t="n">
        <f aca="false">-DP343/2-IF(DP343&gt;=0,1,-1)*SQRT(MAX(DQ343,0))</f>
        <v>0.0495319352963236</v>
      </c>
      <c r="DS343" s="60" t="n">
        <f aca="false">SIGN(DR343)*ABS(DR343)^(1/3)</f>
        <v>0.367249967174439</v>
      </c>
      <c r="DT343" s="60" t="n">
        <f aca="false">IF(DS343=0,0,DS343-DO343/(3*DS343))</f>
        <v>0.60888329127384</v>
      </c>
      <c r="DU343" s="60" t="n">
        <f aca="false">2*SQRT(MAX(-DO343,0)/3)</f>
        <v>0.595784626668918</v>
      </c>
      <c r="DV343" s="60" t="n">
        <f aca="false">ACOS(IF(DU343=0,0,MAX(-1,MIN(1,3*DP343/(DO343*DU343)))))</f>
        <v>0</v>
      </c>
      <c r="DW343" s="60" t="n">
        <f aca="false">DU343*COS(DV343/3)</f>
        <v>0.595784626668918</v>
      </c>
      <c r="DX343" s="60" t="n">
        <f aca="false">IF(DQ343&lt;0,DW343,DT343)-DL343/3</f>
        <v>0.91158844983184</v>
      </c>
      <c r="DY343" s="60" t="n">
        <f aca="false">IFERROR((((DX343+DL343)*DX343+DM343)*DX343+DN343)/((3*DX343+2*DL343)*DX343+DM343),0)</f>
        <v>0</v>
      </c>
      <c r="DZ343" s="60" t="n">
        <f aca="false">IF(ABS(DY343)&lt;0.1*ABS(DX343),DX343-DY343,DX343)</f>
        <v>0.91158844983184</v>
      </c>
      <c r="EA343" s="60" t="n">
        <f aca="false">IFERROR((((DZ343+DL343)*DZ343+DM343)*DZ343+DN343)/((3*DZ343+2*DL343)*DZ343+DM343),0)</f>
        <v>0</v>
      </c>
      <c r="EB343" s="60" t="n">
        <f aca="false">IF(ABS(EA343)&lt;0.1*ABS(DZ343),DZ343-EA343,DZ343)</f>
        <v>0.91158844983184</v>
      </c>
      <c r="EC343" s="60" t="n">
        <f aca="false">-DN343/EB343</f>
        <v>0.0118376711504565</v>
      </c>
      <c r="ED343" s="60" t="n">
        <f aca="false">(DM343-EC343)/EB343</f>
        <v>-0.00347297415783941</v>
      </c>
      <c r="EE343" s="60" t="n">
        <f aca="false">ED343^2-4*EC343</f>
        <v>-0.0473386230523248</v>
      </c>
      <c r="EF343" s="60" t="n">
        <f aca="false">IF(EE343&gt;=0,(ED343+IF(ED343&gt;=0,1,-1)*SQRT(EE343))/2,0)</f>
        <v>0</v>
      </c>
      <c r="EG343" s="60" t="n">
        <f aca="false">IF(AND(EE343&gt;=0,EF343&lt;&gt;0),MIN(EF343,EC343/EF343),-1)</f>
        <v>-1</v>
      </c>
      <c r="EH343" s="60" t="n">
        <f aca="false">AND(EE343&gt;=0,EG343&gt;DK343,ABS(EB343-EG343)&gt;=0.00005*MAX(EB343,EG343))</f>
        <v>0</v>
      </c>
      <c r="EI343" s="60" t="n">
        <f aca="false">IF(EH343,IFERROR((((EG343+DL343)*EG343+DM343)*EG343+DN343)/((3*EG343+2*DL343)*EG343+DM343),0),0)</f>
        <v>0</v>
      </c>
      <c r="EJ343" s="60" t="n">
        <f aca="false">IF(ABS(EI343)&lt;0.1*ABS(EG343),EG343-EI343,EG343)</f>
        <v>-1</v>
      </c>
      <c r="EK343" s="60" t="n">
        <f aca="false">IF(EH343,IFERROR((((EJ343+DL343)*EJ343+DM343)*EJ343+DN343)/((3*EJ343+2*DL343)*EJ343+DM343),0),0)</f>
        <v>0</v>
      </c>
      <c r="EL343" s="60" t="n">
        <f aca="false">IF(ABS(EK343)&lt;0.1*ABS(EJ343),EJ343-EK343,EJ343)</f>
        <v>-1</v>
      </c>
      <c r="EM343" s="60" t="n">
        <f aca="false">IF(EH343,MAX(EB343,EL343),EB343)</f>
        <v>0.91158844983184</v>
      </c>
      <c r="EN343" s="60" t="n">
        <f aca="false">IF(EH343,MIN(EB343,EL343),-1)</f>
        <v>-1</v>
      </c>
      <c r="EO343" s="60" t="n">
        <f aca="false">CHOOSE($C$7,DJ343/EM343,DJ343/DK343*LN(1+DK343/EM343),DJ343/(2*SQRT(2)*DK343)*LN((EM343+(1+SQRT(2))*DK343)/(EM343+(1-SQRT(2))*DK343)))</f>
        <v>0.218240791233887</v>
      </c>
      <c r="EP343" s="60" t="n">
        <f aca="false">EM343-1-LN(EM343-DK343)-EO343</f>
        <v>-0.107840271021729</v>
      </c>
      <c r="EQ343" s="60" t="n">
        <f aca="false">IF(EH343,CHOOSE($C$7,DJ343/EN343,DJ343/DK343*LN(1+DK343/EN343),DJ343/(2*SQRT(2)*DK343)*LN((EN343+(1+SQRT(2))*DK343)/(EN343+(1-SQRT(2))*DK343))),0)</f>
        <v>0</v>
      </c>
      <c r="ER343" s="60" t="n">
        <f aca="false">IF(EH343,EN343-1-LN(EN343-DK343)-EQ343,0)</f>
        <v>0</v>
      </c>
      <c r="ES343" s="60" t="n">
        <f aca="false">AND(EH343,ER343&lt;EP343)</f>
        <v>0</v>
      </c>
      <c r="ET343" s="60" t="n">
        <f aca="false">IF(ES343,EN343,EM343)</f>
        <v>0.91158844983184</v>
      </c>
      <c r="EU343" s="60" t="n">
        <f aca="false">IF(ES343,EQ343,EO343)</f>
        <v>0.218240791233887</v>
      </c>
      <c r="EV343" s="60" t="n">
        <f aca="false">LN(ET343-DK343)</f>
        <v>-0.198812070380318</v>
      </c>
      <c r="EW343" s="60" t="n">
        <f aca="false">$E$27/DI343*(ET343-1)-EV343-EU343*(2*CV343/DH343-$E$27/DI343)</f>
        <v>-0.107840271021729</v>
      </c>
      <c r="EX343" s="60" t="n">
        <f aca="false">$F$27/DI343*(ET343-1)-EV343-EU343*(2*CW343/DH343-$F$27/DI343)</f>
        <v>0.198812070380318</v>
      </c>
      <c r="EY343" s="60" t="n">
        <f aca="false">$G$27/DI343*(ET343-1)-EV343-EU343*(2*CX343/DH343-$G$27/DI343)</f>
        <v>0.198812070380318</v>
      </c>
      <c r="EZ343" s="60" t="n">
        <f aca="false">$H$27/DI343*(ET343-1)-EV343-EU343*(2*CY343/DH343-$H$27/DI343)</f>
        <v>0.198812070380318</v>
      </c>
      <c r="FA343" s="60" t="n">
        <f aca="false">$I$27/DI343*(ET343-1)-EV343-EU343*(2*CZ343/DH343-$I$27/DI343)</f>
        <v>0.198812070380318</v>
      </c>
      <c r="FB343" s="60" t="n">
        <f aca="false">$J$27/DI343*(ET343-1)-EV343-EU343*(2*DA343/DH343-$J$27/DI343)</f>
        <v>0.198812070380318</v>
      </c>
      <c r="FC343" s="60" t="n">
        <f aca="false">$K$27/DI343*(ET343-1)-EV343-EU343*(2*DB343/DH343-$K$27/DI343)</f>
        <v>0.198812070380318</v>
      </c>
      <c r="FD343" s="60" t="n">
        <f aca="false">$L$27/DI343*(ET343-1)-EV343-EU343*(2*DC343/DH343-$L$27/DI343)</f>
        <v>0.198812070380318</v>
      </c>
      <c r="FE343" s="60" t="n">
        <f aca="false">$M$27/DI343*(ET343-1)-EV343-EU343*(2*DD343/DH343-$M$27/DI343)</f>
        <v>0.198812070380318</v>
      </c>
      <c r="FF343" s="60" t="n">
        <f aca="false">$N$27/DI343*(ET343-1)-EV343-EU343*(2*DE343/DH343-$N$27/DI343)</f>
        <v>0.198812070380318</v>
      </c>
      <c r="FG343" s="60" t="n">
        <f aca="false">$O$27/DI343*(ET343-1)-EV343-EU343*(2*DF343/DH343-$O$27/DI343)</f>
        <v>0.198812070380318</v>
      </c>
      <c r="FH343" s="60" t="n">
        <f aca="false">$P$27/DI343*(ET343-1)-EV343-EU343*(2*DG343/DH343-$P$27/DI343)</f>
        <v>0.198812070380318</v>
      </c>
      <c r="FI343" s="60" t="n">
        <f aca="false">DK343/ET343&gt;$C$22</f>
        <v>0</v>
      </c>
      <c r="FJ343" s="60" t="n">
        <f aca="false">$E$28*SUMPRODUCT($E$31:$P$31,CJ343:CU343,$E$28:$P$28)</f>
        <v>0.184416866619846</v>
      </c>
      <c r="FK343" s="60" t="n">
        <f aca="false">$F$28*SUMPRODUCT($E$32:$P$32,CJ343:CU343,$E$28:$P$28)</f>
        <v>0</v>
      </c>
      <c r="FL343" s="60" t="n">
        <f aca="false">$G$28*SUMPRODUCT($E$33:$P$33,CJ343:CU343,$E$28:$P$28)</f>
        <v>0</v>
      </c>
      <c r="FM343" s="60" t="n">
        <f aca="false">$H$28*SUMPRODUCT($E$34:$P$34,CJ343:CU343,$E$28:$P$28)</f>
        <v>0</v>
      </c>
      <c r="FN343" s="60" t="n">
        <f aca="false">$I$28*SUMPRODUCT($E$35:$P$35,CJ343:CU343,$E$28:$P$28)</f>
        <v>0</v>
      </c>
      <c r="FO343" s="60" t="n">
        <f aca="false">$J$28*SUMPRODUCT($E$36:$P$36,CJ343:CU343,$E$28:$P$28)</f>
        <v>0</v>
      </c>
      <c r="FP343" s="60" t="n">
        <f aca="false">$K$28*SUMPRODUCT($E$37:$P$37,CJ343:CU343,$E$28:$P$28)</f>
        <v>0</v>
      </c>
      <c r="FQ343" s="60" t="n">
        <f aca="false">$L$28*SUMPRODUCT($E$38:$P$38,CJ343:CU343,$E$28:$P$28)</f>
        <v>0</v>
      </c>
      <c r="FR343" s="60" t="n">
        <f aca="false">$M$28*SUMPRODUCT($E$39:$P$39,CJ343:CU343,$E$28:$P$28)</f>
        <v>0</v>
      </c>
      <c r="FS343" s="60" t="n">
        <f aca="false">$N$28*SUMPRODUCT($E$40:$P$40,CJ343:CU343,$E$28:$P$28)</f>
        <v>0</v>
      </c>
      <c r="FT343" s="60" t="n">
        <f aca="false">$O$28*SUMPRODUCT($E$41:$P$41,CJ343:CU343,$E$28:$P$28)</f>
        <v>0</v>
      </c>
      <c r="FU343" s="60" t="n">
        <f aca="false">$P$28*SUMPRODUCT($E$42:$P$42,CJ343:CU343,$E$28:$P$28)</f>
        <v>0</v>
      </c>
      <c r="FV343" s="60" t="n">
        <f aca="false">SUMPRODUCT(CJ343:CU343,FJ343:FU343)</f>
        <v>0.184416866619846</v>
      </c>
      <c r="FW343" s="60" t="n">
        <f aca="false">SUMPRODUCT(CJ343:CU343,$E$27:$P$27)</f>
        <v>2.67389635063809E-005</v>
      </c>
      <c r="FX343" s="60" t="n">
        <f aca="false">FV343*$C$9/($C$10*$C$8)^2</f>
        <v>0.21776909410545</v>
      </c>
      <c r="FY343" s="60" t="n">
        <f aca="false">FW343*$C$9/($C$10*$C$8)</f>
        <v>0.0918845243259994</v>
      </c>
      <c r="FZ343" s="60" t="n">
        <f aca="false">CHOOSE($C$7,-(1+FY343),-1,-(1-FY343))</f>
        <v>-0.908115475674001</v>
      </c>
      <c r="GA343" s="60" t="n">
        <f aca="false">CHOOSE($C$7,FX343,FX343-FY343-FY343^2,FX343-3*FY343^2-2*FY343)</f>
        <v>0.00867174802160559</v>
      </c>
      <c r="GB343" s="60" t="n">
        <f aca="false">CHOOSE($C$7,-FX343*FY343,-FX343*FY343,-(FX343*FY343-FY343^2-FY343^3))</f>
        <v>-0.0107910842936637</v>
      </c>
      <c r="GC343" s="60" t="n">
        <f aca="false">GA343-FZ343^2/3</f>
        <v>-0.266219491031267</v>
      </c>
      <c r="GD343" s="60" t="n">
        <f aca="false">2*FZ343^3/27-FZ343*GA343/3+GB343</f>
        <v>-0.0636400988362784</v>
      </c>
      <c r="GE343" s="60" t="n">
        <f aca="false">GD343^2/4+GC343^3/27</f>
        <v>0.000313710901361829</v>
      </c>
      <c r="GF343" s="60" t="n">
        <f aca="false">-GD343/2-IF(GD343&gt;=0,1,-1)*SQRT(MAX(GE343,0))</f>
        <v>0.0495319352963236</v>
      </c>
      <c r="GG343" s="60" t="n">
        <f aca="false">SIGN(GF343)*ABS(GF343)^(1/3)</f>
        <v>0.367249967174439</v>
      </c>
      <c r="GH343" s="60" t="n">
        <f aca="false">IF(GG343=0,0,GG343-GC343/(3*GG343))</f>
        <v>0.60888329127384</v>
      </c>
      <c r="GI343" s="60" t="n">
        <f aca="false">2*SQRT(MAX(-GC343,0)/3)</f>
        <v>0.595784626668918</v>
      </c>
      <c r="GJ343" s="60" t="n">
        <f aca="false">ACOS(IF(GI343=0,0,MAX(-1,MIN(1,3*GD343/(GC343*GI343)))))</f>
        <v>0</v>
      </c>
      <c r="GK343" s="60" t="n">
        <f aca="false">GI343*COS(GJ343/3)</f>
        <v>0.595784626668918</v>
      </c>
      <c r="GL343" s="60" t="n">
        <f aca="false">IF(GE343&lt;0,GK343,GH343)-FZ343/3</f>
        <v>0.91158844983184</v>
      </c>
      <c r="GM343" s="60" t="n">
        <f aca="false">IFERROR((((GL343+FZ343)*GL343+GA343)*GL343+GB343)/((3*GL343+2*FZ343)*GL343+GA343),0)</f>
        <v>0</v>
      </c>
      <c r="GN343" s="60" t="n">
        <f aca="false">IF(ABS(GM343)&lt;0.1*ABS(GL343),GL343-GM343,GL343)</f>
        <v>0.91158844983184</v>
      </c>
      <c r="GO343" s="60" t="n">
        <f aca="false">IFERROR((((GN343+FZ343)*GN343+GA343)*GN343+GB343)/((3*GN343+2*FZ343)*GN343+GA343),0)</f>
        <v>0</v>
      </c>
      <c r="GP343" s="60" t="n">
        <f aca="false">IF(ABS(GO343)&lt;0.1*ABS(GN343),GN343-GO343,GN343)</f>
        <v>0.91158844983184</v>
      </c>
      <c r="GQ343" s="60" t="n">
        <f aca="false">-GB343/GP343</f>
        <v>0.0118376711504565</v>
      </c>
      <c r="GR343" s="60" t="n">
        <f aca="false">(GA343-GQ343)/GP343</f>
        <v>-0.00347297415783941</v>
      </c>
      <c r="GS343" s="60" t="n">
        <f aca="false">GR343^2-4*GQ343</f>
        <v>-0.0473386230523248</v>
      </c>
      <c r="GT343" s="60" t="n">
        <f aca="false">IF(GS343&gt;=0,(GR343+IF(GR343&gt;=0,1,-1)*SQRT(GS343))/2,0)</f>
        <v>0</v>
      </c>
      <c r="GU343" s="60" t="n">
        <f aca="false">IF(AND(GS343&gt;=0,GT343&lt;&gt;0),MIN(GT343,GQ343/GT343),-1)</f>
        <v>-1</v>
      </c>
      <c r="GV343" s="60" t="n">
        <f aca="false">AND(GS343&gt;=0,GU343&gt;FY343,ABS(GP343-GU343)&gt;=0.00005*MAX(GP343,GU343))</f>
        <v>0</v>
      </c>
      <c r="GW343" s="60" t="n">
        <f aca="false">IF(GV343,IFERROR((((GU343+FZ343)*GU343+GA343)*GU343+GB343)/((3*GU343+2*FZ343)*GU343+GA343),0),0)</f>
        <v>0</v>
      </c>
      <c r="GX343" s="60" t="n">
        <f aca="false">IF(ABS(GW343)&lt;0.1*ABS(GU343),GU343-GW343,GU343)</f>
        <v>-1</v>
      </c>
      <c r="GY343" s="60" t="n">
        <f aca="false">IF(GV343,IFERROR((((GX343+FZ343)*GX343+GA343)*GX343+GB343)/((3*GX343+2*FZ343)*GX343+GA343),0),0)</f>
        <v>0</v>
      </c>
      <c r="GZ343" s="60" t="n">
        <f aca="false">IF(ABS(GY343)&lt;0.1*ABS(GX343),GX343-GY343,GX343)</f>
        <v>-1</v>
      </c>
      <c r="HA343" s="60" t="n">
        <f aca="false">IF(GV343,MAX(GP343,GZ343),GP343)</f>
        <v>0.91158844983184</v>
      </c>
      <c r="HB343" s="60" t="n">
        <f aca="false">IF(GV343,MIN(GP343,GZ343),-1)</f>
        <v>-1</v>
      </c>
      <c r="HC343" s="60" t="n">
        <f aca="false">CHOOSE($C$7,FX343/HA343,FX343/FY343*LN(1+FY343/HA343),FX343/(2*SQRT(2)*FY343)*LN((HA343+(1+SQRT(2))*FY343)/(HA343+(1-SQRT(2))*FY343)))</f>
        <v>0.218240791233887</v>
      </c>
      <c r="HD343" s="60" t="n">
        <f aca="false">HA343-1-LN(HA343-FY343)-HC343</f>
        <v>-0.107840271021729</v>
      </c>
      <c r="HE343" s="60" t="n">
        <f aca="false">IF(GV343,CHOOSE($C$7,FX343/HB343,FX343/FY343*LN(1+FY343/HB343),FX343/(2*SQRT(2)*FY343)*LN((HB343+(1+SQRT(2))*FY343)/(HB343+(1-SQRT(2))*FY343))),0)</f>
        <v>0</v>
      </c>
      <c r="HF343" s="60" t="n">
        <f aca="false">IF(GV343,HB343-1-LN(HB343-FY343)-HE343,0)</f>
        <v>0</v>
      </c>
      <c r="HG343" s="60" t="n">
        <f aca="false">AND(GV343,HF343&lt;HD343)</f>
        <v>0</v>
      </c>
      <c r="HH343" s="60" t="n">
        <f aca="false">IF(HG343,HB343,HA343)</f>
        <v>0.91158844983184</v>
      </c>
      <c r="HI343" s="60" t="n">
        <f aca="false">IF(HG343,HE343,HC343)</f>
        <v>0.218240791233887</v>
      </c>
      <c r="HJ343" s="60" t="n">
        <f aca="false">LN(HH343-FY343)</f>
        <v>-0.198812070380318</v>
      </c>
      <c r="HK343" s="60" t="n">
        <f aca="false">$E$27/FW343*(HH343-1)-HJ343-HI343*(2*FJ343/FV343-$E$27/FW343)</f>
        <v>-0.107840271021729</v>
      </c>
      <c r="HL343" s="60" t="n">
        <f aca="false">$F$27/FW343*(HH343-1)-HJ343-HI343*(2*FK343/FV343-$F$27/FW343)</f>
        <v>0.198812070380318</v>
      </c>
      <c r="HM343" s="60" t="n">
        <f aca="false">$G$27/FW343*(HH343-1)-HJ343-HI343*(2*FL343/FV343-$G$27/FW343)</f>
        <v>0.198812070380318</v>
      </c>
      <c r="HN343" s="60" t="n">
        <f aca="false">$H$27/FW343*(HH343-1)-HJ343-HI343*(2*FM343/FV343-$H$27/FW343)</f>
        <v>0.198812070380318</v>
      </c>
      <c r="HO343" s="60" t="n">
        <f aca="false">$I$27/FW343*(HH343-1)-HJ343-HI343*(2*FN343/FV343-$I$27/FW343)</f>
        <v>0.198812070380318</v>
      </c>
      <c r="HP343" s="60" t="n">
        <f aca="false">$J$27/FW343*(HH343-1)-HJ343-HI343*(2*FO343/FV343-$J$27/FW343)</f>
        <v>0.198812070380318</v>
      </c>
      <c r="HQ343" s="60" t="n">
        <f aca="false">$K$27/FW343*(HH343-1)-HJ343-HI343*(2*FP343/FV343-$K$27/FW343)</f>
        <v>0.198812070380318</v>
      </c>
      <c r="HR343" s="60" t="n">
        <f aca="false">$L$27/FW343*(HH343-1)-HJ343-HI343*(2*FQ343/FV343-$L$27/FW343)</f>
        <v>0.198812070380318</v>
      </c>
      <c r="HS343" s="60" t="n">
        <f aca="false">$M$27/FW343*(HH343-1)-HJ343-HI343*(2*FR343/FV343-$M$27/FW343)</f>
        <v>0.198812070380318</v>
      </c>
      <c r="HT343" s="60" t="n">
        <f aca="false">$N$27/FW343*(HH343-1)-HJ343-HI343*(2*FS343/FV343-$N$27/FW343)</f>
        <v>0.198812070380318</v>
      </c>
      <c r="HU343" s="60" t="n">
        <f aca="false">$O$27/FW343*(HH343-1)-HJ343-HI343*(2*FT343/FV343-$O$27/FW343)</f>
        <v>0.198812070380318</v>
      </c>
      <c r="HV343" s="60" t="n">
        <f aca="false">$P$27/FW343*(HH343-1)-HJ343-HI343*(2*FU343/FV343-$P$27/FW343)</f>
        <v>0.198812070380318</v>
      </c>
      <c r="HW343" s="60" t="n">
        <f aca="false">FY343/HH343&gt;$C$22</f>
        <v>0</v>
      </c>
      <c r="HX343" s="60" t="n">
        <f aca="false">IF($E$13&gt;0,MAX(-300,MIN(300,EW343-HK343)),0)</f>
        <v>0</v>
      </c>
      <c r="HY343" s="60" t="n">
        <f aca="false">IF($F$13&gt;0,MAX(-300,MIN(300,EX343-HL343)),0)</f>
        <v>0</v>
      </c>
      <c r="HZ343" s="60" t="n">
        <f aca="false">IF($G$13&gt;0,MAX(-300,MIN(300,EY343-HM343)),0)</f>
        <v>0</v>
      </c>
      <c r="IA343" s="60" t="n">
        <f aca="false">IF($H$13&gt;0,MAX(-300,MIN(300,EZ343-HN343)),0)</f>
        <v>0</v>
      </c>
      <c r="IB343" s="60" t="n">
        <f aca="false">IF($I$13&gt;0,MAX(-300,MIN(300,FA343-HO343)),0)</f>
        <v>0</v>
      </c>
      <c r="IC343" s="60" t="n">
        <f aca="false">IF($J$13&gt;0,MAX(-300,MIN(300,FB343-HP343)),0)</f>
        <v>0</v>
      </c>
      <c r="ID343" s="60" t="n">
        <f aca="false">IF($K$13&gt;0,MAX(-300,MIN(300,FC343-HQ343)),0)</f>
        <v>0</v>
      </c>
      <c r="IE343" s="60" t="n">
        <f aca="false">IF($L$13&gt;0,MAX(-300,MIN(300,FD343-HR343)),0)</f>
        <v>0</v>
      </c>
      <c r="IF343" s="60" t="n">
        <f aca="false">IF($M$13&gt;0,MAX(-300,MIN(300,FE343-HS343)),0)</f>
        <v>0</v>
      </c>
      <c r="IG343" s="60" t="n">
        <f aca="false">IF($N$13&gt;0,MAX(-300,MIN(300,FF343-HT343)),0)</f>
        <v>0</v>
      </c>
      <c r="IH343" s="60" t="n">
        <f aca="false">IF($O$13&gt;0,MAX(-300,MIN(300,FG343-HU343)),0)</f>
        <v>0</v>
      </c>
      <c r="II343" s="60" t="n">
        <f aca="false">IF($P$13&gt;0,MAX(-300,MIN(300,FH343-HV343)),0)</f>
        <v>0</v>
      </c>
      <c r="IJ343" s="60" t="n">
        <f aca="false">SUMXMY2(HX343:II343,B343:M343)</f>
        <v>0</v>
      </c>
      <c r="IK343" s="60" t="n">
        <f aca="false">SUMSQ(B343:M343)</f>
        <v>0</v>
      </c>
    </row>
    <row r="344" customFormat="false" ht="15" hidden="false" customHeight="false" outlineLevel="0" collapsed="false">
      <c r="A344" s="59" t="n">
        <v>47</v>
      </c>
      <c r="B344" s="60" t="n">
        <f aca="false">HX343</f>
        <v>0</v>
      </c>
      <c r="C344" s="60" t="n">
        <f aca="false">HY343</f>
        <v>0</v>
      </c>
      <c r="D344" s="60" t="n">
        <f aca="false">HZ343</f>
        <v>0</v>
      </c>
      <c r="E344" s="60" t="n">
        <f aca="false">IA343</f>
        <v>0</v>
      </c>
      <c r="F344" s="60" t="n">
        <f aca="false">IB343</f>
        <v>0</v>
      </c>
      <c r="G344" s="60" t="n">
        <f aca="false">IC343</f>
        <v>0</v>
      </c>
      <c r="H344" s="60" t="n">
        <f aca="false">ID343</f>
        <v>0</v>
      </c>
      <c r="I344" s="60" t="n">
        <f aca="false">IE343</f>
        <v>0</v>
      </c>
      <c r="J344" s="60" t="n">
        <f aca="false">IF343</f>
        <v>0</v>
      </c>
      <c r="K344" s="60" t="n">
        <f aca="false">IG343</f>
        <v>0</v>
      </c>
      <c r="L344" s="60" t="n">
        <f aca="false">IH343</f>
        <v>0</v>
      </c>
      <c r="M344" s="60" t="n">
        <f aca="false">II343</f>
        <v>0</v>
      </c>
      <c r="N344" s="60" t="n">
        <f aca="false">EXP(B344)</f>
        <v>1</v>
      </c>
      <c r="O344" s="60" t="n">
        <f aca="false">EXP(C344)</f>
        <v>1</v>
      </c>
      <c r="P344" s="60" t="n">
        <f aca="false">EXP(D344)</f>
        <v>1</v>
      </c>
      <c r="Q344" s="60" t="n">
        <f aca="false">EXP(E344)</f>
        <v>1</v>
      </c>
      <c r="R344" s="60" t="n">
        <f aca="false">EXP(F344)</f>
        <v>1</v>
      </c>
      <c r="S344" s="60" t="n">
        <f aca="false">EXP(G344)</f>
        <v>1</v>
      </c>
      <c r="T344" s="60" t="n">
        <f aca="false">EXP(H344)</f>
        <v>1</v>
      </c>
      <c r="U344" s="60" t="n">
        <f aca="false">EXP(I344)</f>
        <v>1</v>
      </c>
      <c r="V344" s="60" t="n">
        <f aca="false">EXP(J344)</f>
        <v>1</v>
      </c>
      <c r="W344" s="60" t="n">
        <f aca="false">EXP(K344)</f>
        <v>1</v>
      </c>
      <c r="X344" s="60" t="n">
        <f aca="false">EXP(L344)</f>
        <v>1</v>
      </c>
      <c r="Y344" s="60" t="n">
        <f aca="false">EXP(M344)</f>
        <v>1</v>
      </c>
      <c r="Z344" s="60" t="n">
        <f aca="false">MAX(N344:Y344)</f>
        <v>1</v>
      </c>
      <c r="AA344" s="60" t="n">
        <f aca="false">MIN(N344:Y344)</f>
        <v>1</v>
      </c>
      <c r="AB344" s="60" t="n">
        <f aca="false">AND(Z344&gt;1,AA344&lt;1)</f>
        <v>0</v>
      </c>
      <c r="AC344" s="60" t="n">
        <f aca="false">IF(AB344,1/(1-Z344),0)</f>
        <v>0</v>
      </c>
      <c r="AD344" s="60" t="n">
        <f aca="false">IF(AB344,1/(1-AA344),1)</f>
        <v>1</v>
      </c>
      <c r="AE344" s="60" t="n">
        <f aca="false">IF(AB344,MIN(MAX(BI343,AC344+0.000000001*(AD344-AC344)),AD344-0.000000001*(AD344-AC344)),IF(AA344&gt;=1,1,0))</f>
        <v>1</v>
      </c>
      <c r="AF344" s="60" t="n">
        <f aca="false">SUMPRODUCT($E$13:$P$13*(N344:Y344-1)/(1+AE344*(N344:Y344-1)))</f>
        <v>0</v>
      </c>
      <c r="AG344" s="60" t="n">
        <f aca="false">-SUMPRODUCT($E$13:$P$13*(N344:Y344-1)^2/(1+AE344*(N344:Y344-1))^2)</f>
        <v>-0</v>
      </c>
      <c r="AH344" s="60" t="n">
        <f aca="false">IF(OR(NOT(AB344),AG344=0),AE344,IF(AE344-AF344/AG344&lt;=AC344,(AE344+AC344)/2,IF(AE344-AF344/AG344&gt;=AD344,(AE344+AD344)/2,AE344-AF344/AG344)))</f>
        <v>1</v>
      </c>
      <c r="AI344" s="60" t="n">
        <f aca="false">SUMPRODUCT($E$13:$P$13*(N344:Y344-1)/(1+AH344*(N344:Y344-1)))</f>
        <v>0</v>
      </c>
      <c r="AJ344" s="60" t="n">
        <f aca="false">-SUMPRODUCT($E$13:$P$13*(N344:Y344-1)^2/(1+AH344*(N344:Y344-1))^2)</f>
        <v>-0</v>
      </c>
      <c r="AK344" s="60" t="n">
        <f aca="false">IF(OR(NOT(AB344),AJ344=0),AH344,IF(AH344-AI344/AJ344&lt;=AC344,(AH344+AC344)/2,IF(AH344-AI344/AJ344&gt;=AD344,(AH344+AD344)/2,AH344-AI344/AJ344)))</f>
        <v>1</v>
      </c>
      <c r="AL344" s="60" t="n">
        <f aca="false">SUMPRODUCT($E$13:$P$13*(N344:Y344-1)/(1+AK344*(N344:Y344-1)))</f>
        <v>0</v>
      </c>
      <c r="AM344" s="60" t="n">
        <f aca="false">-SUMPRODUCT($E$13:$P$13*(N344:Y344-1)^2/(1+AK344*(N344:Y344-1))^2)</f>
        <v>-0</v>
      </c>
      <c r="AN344" s="60" t="n">
        <f aca="false">IF(OR(NOT(AB344),AM344=0),AK344,IF(AK344-AL344/AM344&lt;=AC344,(AK344+AC344)/2,IF(AK344-AL344/AM344&gt;=AD344,(AK344+AD344)/2,AK344-AL344/AM344)))</f>
        <v>1</v>
      </c>
      <c r="AO344" s="60" t="n">
        <f aca="false">SUMPRODUCT($E$13:$P$13*(N344:Y344-1)/(1+AN344*(N344:Y344-1)))</f>
        <v>0</v>
      </c>
      <c r="AP344" s="60" t="n">
        <f aca="false">-SUMPRODUCT($E$13:$P$13*(N344:Y344-1)^2/(1+AN344*(N344:Y344-1))^2)</f>
        <v>-0</v>
      </c>
      <c r="AQ344" s="60" t="n">
        <f aca="false">IF(OR(NOT(AB344),AP344=0),AN344,IF(AN344-AO344/AP344&lt;=AC344,(AN344+AC344)/2,IF(AN344-AO344/AP344&gt;=AD344,(AN344+AD344)/2,AN344-AO344/AP344)))</f>
        <v>1</v>
      </c>
      <c r="AR344" s="60" t="n">
        <f aca="false">SUMPRODUCT($E$13:$P$13*(N344:Y344-1)/(1+AQ344*(N344:Y344-1)))</f>
        <v>0</v>
      </c>
      <c r="AS344" s="60" t="n">
        <f aca="false">-SUMPRODUCT($E$13:$P$13*(N344:Y344-1)^2/(1+AQ344*(N344:Y344-1))^2)</f>
        <v>-0</v>
      </c>
      <c r="AT344" s="60" t="n">
        <f aca="false">IF(OR(NOT(AB344),AS344=0),AQ344,IF(AQ344-AR344/AS344&lt;=AC344,(AQ344+AC344)/2,IF(AQ344-AR344/AS344&gt;=AD344,(AQ344+AD344)/2,AQ344-AR344/AS344)))</f>
        <v>1</v>
      </c>
      <c r="AU344" s="60" t="n">
        <f aca="false">SUMPRODUCT($E$13:$P$13*(N344:Y344-1)/(1+AT344*(N344:Y344-1)))</f>
        <v>0</v>
      </c>
      <c r="AV344" s="60" t="n">
        <f aca="false">-SUMPRODUCT($E$13:$P$13*(N344:Y344-1)^2/(1+AT344*(N344:Y344-1))^2)</f>
        <v>-0</v>
      </c>
      <c r="AW344" s="60" t="n">
        <f aca="false">IF(OR(NOT(AB344),AV344=0),AT344,IF(AT344-AU344/AV344&lt;=AC344,(AT344+AC344)/2,IF(AT344-AU344/AV344&gt;=AD344,(AT344+AD344)/2,AT344-AU344/AV344)))</f>
        <v>1</v>
      </c>
      <c r="AX344" s="60" t="n">
        <f aca="false">SUMPRODUCT($E$13:$P$13*(N344:Y344-1)/(1+AW344*(N344:Y344-1)))</f>
        <v>0</v>
      </c>
      <c r="AY344" s="60" t="n">
        <f aca="false">-SUMPRODUCT($E$13:$P$13*(N344:Y344-1)^2/(1+AW344*(N344:Y344-1))^2)</f>
        <v>-0</v>
      </c>
      <c r="AZ344" s="60" t="n">
        <f aca="false">IF(OR(NOT(AB344),AY344=0),AW344,IF(AW344-AX344/AY344&lt;=AC344,(AW344+AC344)/2,IF(AW344-AX344/AY344&gt;=AD344,(AW344+AD344)/2,AW344-AX344/AY344)))</f>
        <v>1</v>
      </c>
      <c r="BA344" s="60" t="n">
        <f aca="false">SUMPRODUCT($E$13:$P$13*(N344:Y344-1)/(1+AZ344*(N344:Y344-1)))</f>
        <v>0</v>
      </c>
      <c r="BB344" s="60" t="n">
        <f aca="false">-SUMPRODUCT($E$13:$P$13*(N344:Y344-1)^2/(1+AZ344*(N344:Y344-1))^2)</f>
        <v>-0</v>
      </c>
      <c r="BC344" s="60" t="n">
        <f aca="false">IF(OR(NOT(AB344),BB344=0),AZ344,IF(AZ344-BA344/BB344&lt;=AC344,(AZ344+AC344)/2,IF(AZ344-BA344/BB344&gt;=AD344,(AZ344+AD344)/2,AZ344-BA344/BB344)))</f>
        <v>1</v>
      </c>
      <c r="BD344" s="60" t="n">
        <f aca="false">SUMPRODUCT($E$13:$P$13*(N344:Y344-1)/(1+BC344*(N344:Y344-1)))</f>
        <v>0</v>
      </c>
      <c r="BE344" s="60" t="n">
        <f aca="false">-SUMPRODUCT($E$13:$P$13*(N344:Y344-1)^2/(1+BC344*(N344:Y344-1))^2)</f>
        <v>-0</v>
      </c>
      <c r="BF344" s="60" t="n">
        <f aca="false">IF(OR(NOT(AB344),BE344=0),BC344,IF(BC344-BD344/BE344&lt;=AC344,(BC344+AC344)/2,IF(BC344-BD344/BE344&gt;=AD344,(BC344+AD344)/2,BC344-BD344/BE344)))</f>
        <v>1</v>
      </c>
      <c r="BG344" s="60" t="n">
        <f aca="false">SUMPRODUCT($E$13:$P$13*(N344:Y344-1)/(1+BF344*(N344:Y344-1)))</f>
        <v>0</v>
      </c>
      <c r="BH344" s="60" t="n">
        <f aca="false">-SUMPRODUCT($E$13:$P$13*(N344:Y344-1)^2/(1+BF344*(N344:Y344-1))^2)</f>
        <v>-0</v>
      </c>
      <c r="BI344" s="60" t="n">
        <f aca="false">IF(OR(NOT(AB344),BH344=0),BF344,IF(BF344-BG344/BH344&lt;=AC344,(BF344+AC344)/2,IF(BF344-BG344/BH344&gt;=AD344,(BF344+AD344)/2,BF344-BG344/BH344)))</f>
        <v>1</v>
      </c>
      <c r="BJ344" s="60" t="n">
        <f aca="false">$E$13/(1+BI344*(N344-1))</f>
        <v>1</v>
      </c>
      <c r="BK344" s="60" t="n">
        <f aca="false">$F$13/(1+BI344*(O344-1))</f>
        <v>0</v>
      </c>
      <c r="BL344" s="60" t="n">
        <f aca="false">$G$13/(1+BI344*(P344-1))</f>
        <v>0</v>
      </c>
      <c r="BM344" s="60" t="n">
        <f aca="false">$H$13/(1+BI344*(Q344-1))</f>
        <v>0</v>
      </c>
      <c r="BN344" s="60" t="n">
        <f aca="false">$I$13/(1+BI344*(R344-1))</f>
        <v>0</v>
      </c>
      <c r="BO344" s="60" t="n">
        <f aca="false">$J$13/(1+BI344*(S344-1))</f>
        <v>0</v>
      </c>
      <c r="BP344" s="60" t="n">
        <f aca="false">$K$13/(1+BI344*(T344-1))</f>
        <v>0</v>
      </c>
      <c r="BQ344" s="60" t="n">
        <f aca="false">$L$13/(1+BI344*(U344-1))</f>
        <v>0</v>
      </c>
      <c r="BR344" s="60" t="n">
        <f aca="false">$M$13/(1+BI344*(V344-1))</f>
        <v>0</v>
      </c>
      <c r="BS344" s="60" t="n">
        <f aca="false">$N$13/(1+BI344*(W344-1))</f>
        <v>0</v>
      </c>
      <c r="BT344" s="60" t="n">
        <f aca="false">$O$13/(1+BI344*(X344-1))</f>
        <v>0</v>
      </c>
      <c r="BU344" s="60" t="n">
        <f aca="false">$P$13/(1+BI344*(Y344-1))</f>
        <v>0</v>
      </c>
      <c r="BV344" s="60" t="n">
        <f aca="false">SUM(BJ344:BU344)</f>
        <v>1</v>
      </c>
      <c r="BW344" s="60" t="n">
        <f aca="false">SUMPRODUCT(N344:Y344,BJ344:BU344)</f>
        <v>1</v>
      </c>
      <c r="BX344" s="60" t="n">
        <f aca="false">BJ344/BV344</f>
        <v>1</v>
      </c>
      <c r="BY344" s="60" t="n">
        <f aca="false">BK344/BV344</f>
        <v>0</v>
      </c>
      <c r="BZ344" s="60" t="n">
        <f aca="false">BL344/BV344</f>
        <v>0</v>
      </c>
      <c r="CA344" s="60" t="n">
        <f aca="false">BM344/BV344</f>
        <v>0</v>
      </c>
      <c r="CB344" s="60" t="n">
        <f aca="false">BN344/BV344</f>
        <v>0</v>
      </c>
      <c r="CC344" s="60" t="n">
        <f aca="false">BO344/BV344</f>
        <v>0</v>
      </c>
      <c r="CD344" s="60" t="n">
        <f aca="false">BP344/BV344</f>
        <v>0</v>
      </c>
      <c r="CE344" s="60" t="n">
        <f aca="false">BQ344/BV344</f>
        <v>0</v>
      </c>
      <c r="CF344" s="60" t="n">
        <f aca="false">BR344/BV344</f>
        <v>0</v>
      </c>
      <c r="CG344" s="60" t="n">
        <f aca="false">BS344/BV344</f>
        <v>0</v>
      </c>
      <c r="CH344" s="60" t="n">
        <f aca="false">BT344/BV344</f>
        <v>0</v>
      </c>
      <c r="CI344" s="60" t="n">
        <f aca="false">BU344/BV344</f>
        <v>0</v>
      </c>
      <c r="CJ344" s="60" t="n">
        <f aca="false">N344*BJ344/BW344</f>
        <v>1</v>
      </c>
      <c r="CK344" s="60" t="n">
        <f aca="false">O344*BK344/BW344</f>
        <v>0</v>
      </c>
      <c r="CL344" s="60" t="n">
        <f aca="false">P344*BL344/BW344</f>
        <v>0</v>
      </c>
      <c r="CM344" s="60" t="n">
        <f aca="false">Q344*BM344/BW344</f>
        <v>0</v>
      </c>
      <c r="CN344" s="60" t="n">
        <f aca="false">R344*BN344/BW344</f>
        <v>0</v>
      </c>
      <c r="CO344" s="60" t="n">
        <f aca="false">S344*BO344/BW344</f>
        <v>0</v>
      </c>
      <c r="CP344" s="60" t="n">
        <f aca="false">T344*BP344/BW344</f>
        <v>0</v>
      </c>
      <c r="CQ344" s="60" t="n">
        <f aca="false">U344*BQ344/BW344</f>
        <v>0</v>
      </c>
      <c r="CR344" s="60" t="n">
        <f aca="false">V344*BR344/BW344</f>
        <v>0</v>
      </c>
      <c r="CS344" s="60" t="n">
        <f aca="false">W344*BS344/BW344</f>
        <v>0</v>
      </c>
      <c r="CT344" s="60" t="n">
        <f aca="false">X344*BT344/BW344</f>
        <v>0</v>
      </c>
      <c r="CU344" s="60" t="n">
        <f aca="false">Y344*BU344/BW344</f>
        <v>0</v>
      </c>
      <c r="CV344" s="60" t="n">
        <f aca="false">$E$28*SUMPRODUCT($E$31:$P$31,BX344:CI344,$E$28:$P$28)</f>
        <v>0.184416866619846</v>
      </c>
      <c r="CW344" s="60" t="n">
        <f aca="false">$F$28*SUMPRODUCT($E$32:$P$32,BX344:CI344,$E$28:$P$28)</f>
        <v>0</v>
      </c>
      <c r="CX344" s="60" t="n">
        <f aca="false">$G$28*SUMPRODUCT($E$33:$P$33,BX344:CI344,$E$28:$P$28)</f>
        <v>0</v>
      </c>
      <c r="CY344" s="60" t="n">
        <f aca="false">$H$28*SUMPRODUCT($E$34:$P$34,BX344:CI344,$E$28:$P$28)</f>
        <v>0</v>
      </c>
      <c r="CZ344" s="60" t="n">
        <f aca="false">$I$28*SUMPRODUCT($E$35:$P$35,BX344:CI344,$E$28:$P$28)</f>
        <v>0</v>
      </c>
      <c r="DA344" s="60" t="n">
        <f aca="false">$J$28*SUMPRODUCT($E$36:$P$36,BX344:CI344,$E$28:$P$28)</f>
        <v>0</v>
      </c>
      <c r="DB344" s="60" t="n">
        <f aca="false">$K$28*SUMPRODUCT($E$37:$P$37,BX344:CI344,$E$28:$P$28)</f>
        <v>0</v>
      </c>
      <c r="DC344" s="60" t="n">
        <f aca="false">$L$28*SUMPRODUCT($E$38:$P$38,BX344:CI344,$E$28:$P$28)</f>
        <v>0</v>
      </c>
      <c r="DD344" s="60" t="n">
        <f aca="false">$M$28*SUMPRODUCT($E$39:$P$39,BX344:CI344,$E$28:$P$28)</f>
        <v>0</v>
      </c>
      <c r="DE344" s="60" t="n">
        <f aca="false">$N$28*SUMPRODUCT($E$40:$P$40,BX344:CI344,$E$28:$P$28)</f>
        <v>0</v>
      </c>
      <c r="DF344" s="60" t="n">
        <f aca="false">$O$28*SUMPRODUCT($E$41:$P$41,BX344:CI344,$E$28:$P$28)</f>
        <v>0</v>
      </c>
      <c r="DG344" s="60" t="n">
        <f aca="false">$P$28*SUMPRODUCT($E$42:$P$42,BX344:CI344,$E$28:$P$28)</f>
        <v>0</v>
      </c>
      <c r="DH344" s="60" t="n">
        <f aca="false">SUMPRODUCT(BX344:CI344,CV344:DG344)</f>
        <v>0.184416866619846</v>
      </c>
      <c r="DI344" s="60" t="n">
        <f aca="false">SUMPRODUCT(BX344:CI344,$E$27:$P$27)</f>
        <v>2.67389635063809E-005</v>
      </c>
      <c r="DJ344" s="60" t="n">
        <f aca="false">DH344*$C$9/($C$10*$C$8)^2</f>
        <v>0.21776909410545</v>
      </c>
      <c r="DK344" s="60" t="n">
        <f aca="false">DI344*$C$9/($C$10*$C$8)</f>
        <v>0.0918845243259994</v>
      </c>
      <c r="DL344" s="60" t="n">
        <f aca="false">CHOOSE($C$7,-(1+DK344),-1,-(1-DK344))</f>
        <v>-0.908115475674001</v>
      </c>
      <c r="DM344" s="60" t="n">
        <f aca="false">CHOOSE($C$7,DJ344,DJ344-DK344-DK344^2,DJ344-3*DK344^2-2*DK344)</f>
        <v>0.00867174802160559</v>
      </c>
      <c r="DN344" s="60" t="n">
        <f aca="false">CHOOSE($C$7,-DJ344*DK344,-DJ344*DK344,-(DJ344*DK344-DK344^2-DK344^3))</f>
        <v>-0.0107910842936637</v>
      </c>
      <c r="DO344" s="60" t="n">
        <f aca="false">DM344-DL344^2/3</f>
        <v>-0.266219491031267</v>
      </c>
      <c r="DP344" s="60" t="n">
        <f aca="false">2*DL344^3/27-DL344*DM344/3+DN344</f>
        <v>-0.0636400988362784</v>
      </c>
      <c r="DQ344" s="60" t="n">
        <f aca="false">DP344^2/4+DO344^3/27</f>
        <v>0.000313710901361829</v>
      </c>
      <c r="DR344" s="60" t="n">
        <f aca="false">-DP344/2-IF(DP344&gt;=0,1,-1)*SQRT(MAX(DQ344,0))</f>
        <v>0.0495319352963236</v>
      </c>
      <c r="DS344" s="60" t="n">
        <f aca="false">SIGN(DR344)*ABS(DR344)^(1/3)</f>
        <v>0.367249967174439</v>
      </c>
      <c r="DT344" s="60" t="n">
        <f aca="false">IF(DS344=0,0,DS344-DO344/(3*DS344))</f>
        <v>0.60888329127384</v>
      </c>
      <c r="DU344" s="60" t="n">
        <f aca="false">2*SQRT(MAX(-DO344,0)/3)</f>
        <v>0.595784626668918</v>
      </c>
      <c r="DV344" s="60" t="n">
        <f aca="false">ACOS(IF(DU344=0,0,MAX(-1,MIN(1,3*DP344/(DO344*DU344)))))</f>
        <v>0</v>
      </c>
      <c r="DW344" s="60" t="n">
        <f aca="false">DU344*COS(DV344/3)</f>
        <v>0.595784626668918</v>
      </c>
      <c r="DX344" s="60" t="n">
        <f aca="false">IF(DQ344&lt;0,DW344,DT344)-DL344/3</f>
        <v>0.91158844983184</v>
      </c>
      <c r="DY344" s="60" t="n">
        <f aca="false">IFERROR((((DX344+DL344)*DX344+DM344)*DX344+DN344)/((3*DX344+2*DL344)*DX344+DM344),0)</f>
        <v>0</v>
      </c>
      <c r="DZ344" s="60" t="n">
        <f aca="false">IF(ABS(DY344)&lt;0.1*ABS(DX344),DX344-DY344,DX344)</f>
        <v>0.91158844983184</v>
      </c>
      <c r="EA344" s="60" t="n">
        <f aca="false">IFERROR((((DZ344+DL344)*DZ344+DM344)*DZ344+DN344)/((3*DZ344+2*DL344)*DZ344+DM344),0)</f>
        <v>0</v>
      </c>
      <c r="EB344" s="60" t="n">
        <f aca="false">IF(ABS(EA344)&lt;0.1*ABS(DZ344),DZ344-EA344,DZ344)</f>
        <v>0.91158844983184</v>
      </c>
      <c r="EC344" s="60" t="n">
        <f aca="false">-DN344/EB344</f>
        <v>0.0118376711504565</v>
      </c>
      <c r="ED344" s="60" t="n">
        <f aca="false">(DM344-EC344)/EB344</f>
        <v>-0.00347297415783941</v>
      </c>
      <c r="EE344" s="60" t="n">
        <f aca="false">ED344^2-4*EC344</f>
        <v>-0.0473386230523248</v>
      </c>
      <c r="EF344" s="60" t="n">
        <f aca="false">IF(EE344&gt;=0,(ED344+IF(ED344&gt;=0,1,-1)*SQRT(EE344))/2,0)</f>
        <v>0</v>
      </c>
      <c r="EG344" s="60" t="n">
        <f aca="false">IF(AND(EE344&gt;=0,EF344&lt;&gt;0),MIN(EF344,EC344/EF344),-1)</f>
        <v>-1</v>
      </c>
      <c r="EH344" s="60" t="n">
        <f aca="false">AND(EE344&gt;=0,EG344&gt;DK344,ABS(EB344-EG344)&gt;=0.00005*MAX(EB344,EG344))</f>
        <v>0</v>
      </c>
      <c r="EI344" s="60" t="n">
        <f aca="false">IF(EH344,IFERROR((((EG344+DL344)*EG344+DM344)*EG344+DN344)/((3*EG344+2*DL344)*EG344+DM344),0),0)</f>
        <v>0</v>
      </c>
      <c r="EJ344" s="60" t="n">
        <f aca="false">IF(ABS(EI344)&lt;0.1*ABS(EG344),EG344-EI344,EG344)</f>
        <v>-1</v>
      </c>
      <c r="EK344" s="60" t="n">
        <f aca="false">IF(EH344,IFERROR((((EJ344+DL344)*EJ344+DM344)*EJ344+DN344)/((3*EJ344+2*DL344)*EJ344+DM344),0),0)</f>
        <v>0</v>
      </c>
      <c r="EL344" s="60" t="n">
        <f aca="false">IF(ABS(EK344)&lt;0.1*ABS(EJ344),EJ344-EK344,EJ344)</f>
        <v>-1</v>
      </c>
      <c r="EM344" s="60" t="n">
        <f aca="false">IF(EH344,MAX(EB344,EL344),EB344)</f>
        <v>0.91158844983184</v>
      </c>
      <c r="EN344" s="60" t="n">
        <f aca="false">IF(EH344,MIN(EB344,EL344),-1)</f>
        <v>-1</v>
      </c>
      <c r="EO344" s="60" t="n">
        <f aca="false">CHOOSE($C$7,DJ344/EM344,DJ344/DK344*LN(1+DK344/EM344),DJ344/(2*SQRT(2)*DK344)*LN((EM344+(1+SQRT(2))*DK344)/(EM344+(1-SQRT(2))*DK344)))</f>
        <v>0.218240791233887</v>
      </c>
      <c r="EP344" s="60" t="n">
        <f aca="false">EM344-1-LN(EM344-DK344)-EO344</f>
        <v>-0.107840271021729</v>
      </c>
      <c r="EQ344" s="60" t="n">
        <f aca="false">IF(EH344,CHOOSE($C$7,DJ344/EN344,DJ344/DK344*LN(1+DK344/EN344),DJ344/(2*SQRT(2)*DK344)*LN((EN344+(1+SQRT(2))*DK344)/(EN344+(1-SQRT(2))*DK344))),0)</f>
        <v>0</v>
      </c>
      <c r="ER344" s="60" t="n">
        <f aca="false">IF(EH344,EN344-1-LN(EN344-DK344)-EQ344,0)</f>
        <v>0</v>
      </c>
      <c r="ES344" s="60" t="n">
        <f aca="false">AND(EH344,ER344&lt;EP344)</f>
        <v>0</v>
      </c>
      <c r="ET344" s="60" t="n">
        <f aca="false">IF(ES344,EN344,EM344)</f>
        <v>0.91158844983184</v>
      </c>
      <c r="EU344" s="60" t="n">
        <f aca="false">IF(ES344,EQ344,EO344)</f>
        <v>0.218240791233887</v>
      </c>
      <c r="EV344" s="60" t="n">
        <f aca="false">LN(ET344-DK344)</f>
        <v>-0.198812070380318</v>
      </c>
      <c r="EW344" s="60" t="n">
        <f aca="false">$E$27/DI344*(ET344-1)-EV344-EU344*(2*CV344/DH344-$E$27/DI344)</f>
        <v>-0.107840271021729</v>
      </c>
      <c r="EX344" s="60" t="n">
        <f aca="false">$F$27/DI344*(ET344-1)-EV344-EU344*(2*CW344/DH344-$F$27/DI344)</f>
        <v>0.198812070380318</v>
      </c>
      <c r="EY344" s="60" t="n">
        <f aca="false">$G$27/DI344*(ET344-1)-EV344-EU344*(2*CX344/DH344-$G$27/DI344)</f>
        <v>0.198812070380318</v>
      </c>
      <c r="EZ344" s="60" t="n">
        <f aca="false">$H$27/DI344*(ET344-1)-EV344-EU344*(2*CY344/DH344-$H$27/DI344)</f>
        <v>0.198812070380318</v>
      </c>
      <c r="FA344" s="60" t="n">
        <f aca="false">$I$27/DI344*(ET344-1)-EV344-EU344*(2*CZ344/DH344-$I$27/DI344)</f>
        <v>0.198812070380318</v>
      </c>
      <c r="FB344" s="60" t="n">
        <f aca="false">$J$27/DI344*(ET344-1)-EV344-EU344*(2*DA344/DH344-$J$27/DI344)</f>
        <v>0.198812070380318</v>
      </c>
      <c r="FC344" s="60" t="n">
        <f aca="false">$K$27/DI344*(ET344-1)-EV344-EU344*(2*DB344/DH344-$K$27/DI344)</f>
        <v>0.198812070380318</v>
      </c>
      <c r="FD344" s="60" t="n">
        <f aca="false">$L$27/DI344*(ET344-1)-EV344-EU344*(2*DC344/DH344-$L$27/DI344)</f>
        <v>0.198812070380318</v>
      </c>
      <c r="FE344" s="60" t="n">
        <f aca="false">$M$27/DI344*(ET344-1)-EV344-EU344*(2*DD344/DH344-$M$27/DI344)</f>
        <v>0.198812070380318</v>
      </c>
      <c r="FF344" s="60" t="n">
        <f aca="false">$N$27/DI344*(ET344-1)-EV344-EU344*(2*DE344/DH344-$N$27/DI344)</f>
        <v>0.198812070380318</v>
      </c>
      <c r="FG344" s="60" t="n">
        <f aca="false">$O$27/DI344*(ET344-1)-EV344-EU344*(2*DF344/DH344-$O$27/DI344)</f>
        <v>0.198812070380318</v>
      </c>
      <c r="FH344" s="60" t="n">
        <f aca="false">$P$27/DI344*(ET344-1)-EV344-EU344*(2*DG344/DH344-$P$27/DI344)</f>
        <v>0.198812070380318</v>
      </c>
      <c r="FI344" s="60" t="n">
        <f aca="false">DK344/ET344&gt;$C$22</f>
        <v>0</v>
      </c>
      <c r="FJ344" s="60" t="n">
        <f aca="false">$E$28*SUMPRODUCT($E$31:$P$31,CJ344:CU344,$E$28:$P$28)</f>
        <v>0.184416866619846</v>
      </c>
      <c r="FK344" s="60" t="n">
        <f aca="false">$F$28*SUMPRODUCT($E$32:$P$32,CJ344:CU344,$E$28:$P$28)</f>
        <v>0</v>
      </c>
      <c r="FL344" s="60" t="n">
        <f aca="false">$G$28*SUMPRODUCT($E$33:$P$33,CJ344:CU344,$E$28:$P$28)</f>
        <v>0</v>
      </c>
      <c r="FM344" s="60" t="n">
        <f aca="false">$H$28*SUMPRODUCT($E$34:$P$34,CJ344:CU344,$E$28:$P$28)</f>
        <v>0</v>
      </c>
      <c r="FN344" s="60" t="n">
        <f aca="false">$I$28*SUMPRODUCT($E$35:$P$35,CJ344:CU344,$E$28:$P$28)</f>
        <v>0</v>
      </c>
      <c r="FO344" s="60" t="n">
        <f aca="false">$J$28*SUMPRODUCT($E$36:$P$36,CJ344:CU344,$E$28:$P$28)</f>
        <v>0</v>
      </c>
      <c r="FP344" s="60" t="n">
        <f aca="false">$K$28*SUMPRODUCT($E$37:$P$37,CJ344:CU344,$E$28:$P$28)</f>
        <v>0</v>
      </c>
      <c r="FQ344" s="60" t="n">
        <f aca="false">$L$28*SUMPRODUCT($E$38:$P$38,CJ344:CU344,$E$28:$P$28)</f>
        <v>0</v>
      </c>
      <c r="FR344" s="60" t="n">
        <f aca="false">$M$28*SUMPRODUCT($E$39:$P$39,CJ344:CU344,$E$28:$P$28)</f>
        <v>0</v>
      </c>
      <c r="FS344" s="60" t="n">
        <f aca="false">$N$28*SUMPRODUCT($E$40:$P$40,CJ344:CU344,$E$28:$P$28)</f>
        <v>0</v>
      </c>
      <c r="FT344" s="60" t="n">
        <f aca="false">$O$28*SUMPRODUCT($E$41:$P$41,CJ344:CU344,$E$28:$P$28)</f>
        <v>0</v>
      </c>
      <c r="FU344" s="60" t="n">
        <f aca="false">$P$28*SUMPRODUCT($E$42:$P$42,CJ344:CU344,$E$28:$P$28)</f>
        <v>0</v>
      </c>
      <c r="FV344" s="60" t="n">
        <f aca="false">SUMPRODUCT(CJ344:CU344,FJ344:FU344)</f>
        <v>0.184416866619846</v>
      </c>
      <c r="FW344" s="60" t="n">
        <f aca="false">SUMPRODUCT(CJ344:CU344,$E$27:$P$27)</f>
        <v>2.67389635063809E-005</v>
      </c>
      <c r="FX344" s="60" t="n">
        <f aca="false">FV344*$C$9/($C$10*$C$8)^2</f>
        <v>0.21776909410545</v>
      </c>
      <c r="FY344" s="60" t="n">
        <f aca="false">FW344*$C$9/($C$10*$C$8)</f>
        <v>0.0918845243259994</v>
      </c>
      <c r="FZ344" s="60" t="n">
        <f aca="false">CHOOSE($C$7,-(1+FY344),-1,-(1-FY344))</f>
        <v>-0.908115475674001</v>
      </c>
      <c r="GA344" s="60" t="n">
        <f aca="false">CHOOSE($C$7,FX344,FX344-FY344-FY344^2,FX344-3*FY344^2-2*FY344)</f>
        <v>0.00867174802160559</v>
      </c>
      <c r="GB344" s="60" t="n">
        <f aca="false">CHOOSE($C$7,-FX344*FY344,-FX344*FY344,-(FX344*FY344-FY344^2-FY344^3))</f>
        <v>-0.0107910842936637</v>
      </c>
      <c r="GC344" s="60" t="n">
        <f aca="false">GA344-FZ344^2/3</f>
        <v>-0.266219491031267</v>
      </c>
      <c r="GD344" s="60" t="n">
        <f aca="false">2*FZ344^3/27-FZ344*GA344/3+GB344</f>
        <v>-0.0636400988362784</v>
      </c>
      <c r="GE344" s="60" t="n">
        <f aca="false">GD344^2/4+GC344^3/27</f>
        <v>0.000313710901361829</v>
      </c>
      <c r="GF344" s="60" t="n">
        <f aca="false">-GD344/2-IF(GD344&gt;=0,1,-1)*SQRT(MAX(GE344,0))</f>
        <v>0.0495319352963236</v>
      </c>
      <c r="GG344" s="60" t="n">
        <f aca="false">SIGN(GF344)*ABS(GF344)^(1/3)</f>
        <v>0.367249967174439</v>
      </c>
      <c r="GH344" s="60" t="n">
        <f aca="false">IF(GG344=0,0,GG344-GC344/(3*GG344))</f>
        <v>0.60888329127384</v>
      </c>
      <c r="GI344" s="60" t="n">
        <f aca="false">2*SQRT(MAX(-GC344,0)/3)</f>
        <v>0.595784626668918</v>
      </c>
      <c r="GJ344" s="60" t="n">
        <f aca="false">ACOS(IF(GI344=0,0,MAX(-1,MIN(1,3*GD344/(GC344*GI344)))))</f>
        <v>0</v>
      </c>
      <c r="GK344" s="60" t="n">
        <f aca="false">GI344*COS(GJ344/3)</f>
        <v>0.595784626668918</v>
      </c>
      <c r="GL344" s="60" t="n">
        <f aca="false">IF(GE344&lt;0,GK344,GH344)-FZ344/3</f>
        <v>0.91158844983184</v>
      </c>
      <c r="GM344" s="60" t="n">
        <f aca="false">IFERROR((((GL344+FZ344)*GL344+GA344)*GL344+GB344)/((3*GL344+2*FZ344)*GL344+GA344),0)</f>
        <v>0</v>
      </c>
      <c r="GN344" s="60" t="n">
        <f aca="false">IF(ABS(GM344)&lt;0.1*ABS(GL344),GL344-GM344,GL344)</f>
        <v>0.91158844983184</v>
      </c>
      <c r="GO344" s="60" t="n">
        <f aca="false">IFERROR((((GN344+FZ344)*GN344+GA344)*GN344+GB344)/((3*GN344+2*FZ344)*GN344+GA344),0)</f>
        <v>0</v>
      </c>
      <c r="GP344" s="60" t="n">
        <f aca="false">IF(ABS(GO344)&lt;0.1*ABS(GN344),GN344-GO344,GN344)</f>
        <v>0.91158844983184</v>
      </c>
      <c r="GQ344" s="60" t="n">
        <f aca="false">-GB344/GP344</f>
        <v>0.0118376711504565</v>
      </c>
      <c r="GR344" s="60" t="n">
        <f aca="false">(GA344-GQ344)/GP344</f>
        <v>-0.00347297415783941</v>
      </c>
      <c r="GS344" s="60" t="n">
        <f aca="false">GR344^2-4*GQ344</f>
        <v>-0.0473386230523248</v>
      </c>
      <c r="GT344" s="60" t="n">
        <f aca="false">IF(GS344&gt;=0,(GR344+IF(GR344&gt;=0,1,-1)*SQRT(GS344))/2,0)</f>
        <v>0</v>
      </c>
      <c r="GU344" s="60" t="n">
        <f aca="false">IF(AND(GS344&gt;=0,GT344&lt;&gt;0),MIN(GT344,GQ344/GT344),-1)</f>
        <v>-1</v>
      </c>
      <c r="GV344" s="60" t="n">
        <f aca="false">AND(GS344&gt;=0,GU344&gt;FY344,ABS(GP344-GU344)&gt;=0.00005*MAX(GP344,GU344))</f>
        <v>0</v>
      </c>
      <c r="GW344" s="60" t="n">
        <f aca="false">IF(GV344,IFERROR((((GU344+FZ344)*GU344+GA344)*GU344+GB344)/((3*GU344+2*FZ344)*GU344+GA344),0),0)</f>
        <v>0</v>
      </c>
      <c r="GX344" s="60" t="n">
        <f aca="false">IF(ABS(GW344)&lt;0.1*ABS(GU344),GU344-GW344,GU344)</f>
        <v>-1</v>
      </c>
      <c r="GY344" s="60" t="n">
        <f aca="false">IF(GV344,IFERROR((((GX344+FZ344)*GX344+GA344)*GX344+GB344)/((3*GX344+2*FZ344)*GX344+GA344),0),0)</f>
        <v>0</v>
      </c>
      <c r="GZ344" s="60" t="n">
        <f aca="false">IF(ABS(GY344)&lt;0.1*ABS(GX344),GX344-GY344,GX344)</f>
        <v>-1</v>
      </c>
      <c r="HA344" s="60" t="n">
        <f aca="false">IF(GV344,MAX(GP344,GZ344),GP344)</f>
        <v>0.91158844983184</v>
      </c>
      <c r="HB344" s="60" t="n">
        <f aca="false">IF(GV344,MIN(GP344,GZ344),-1)</f>
        <v>-1</v>
      </c>
      <c r="HC344" s="60" t="n">
        <f aca="false">CHOOSE($C$7,FX344/HA344,FX344/FY344*LN(1+FY344/HA344),FX344/(2*SQRT(2)*FY344)*LN((HA344+(1+SQRT(2))*FY344)/(HA344+(1-SQRT(2))*FY344)))</f>
        <v>0.218240791233887</v>
      </c>
      <c r="HD344" s="60" t="n">
        <f aca="false">HA344-1-LN(HA344-FY344)-HC344</f>
        <v>-0.107840271021729</v>
      </c>
      <c r="HE344" s="60" t="n">
        <f aca="false">IF(GV344,CHOOSE($C$7,FX344/HB344,FX344/FY344*LN(1+FY344/HB344),FX344/(2*SQRT(2)*FY344)*LN((HB344+(1+SQRT(2))*FY344)/(HB344+(1-SQRT(2))*FY344))),0)</f>
        <v>0</v>
      </c>
      <c r="HF344" s="60" t="n">
        <f aca="false">IF(GV344,HB344-1-LN(HB344-FY344)-HE344,0)</f>
        <v>0</v>
      </c>
      <c r="HG344" s="60" t="n">
        <f aca="false">AND(GV344,HF344&lt;HD344)</f>
        <v>0</v>
      </c>
      <c r="HH344" s="60" t="n">
        <f aca="false">IF(HG344,HB344,HA344)</f>
        <v>0.91158844983184</v>
      </c>
      <c r="HI344" s="60" t="n">
        <f aca="false">IF(HG344,HE344,HC344)</f>
        <v>0.218240791233887</v>
      </c>
      <c r="HJ344" s="60" t="n">
        <f aca="false">LN(HH344-FY344)</f>
        <v>-0.198812070380318</v>
      </c>
      <c r="HK344" s="60" t="n">
        <f aca="false">$E$27/FW344*(HH344-1)-HJ344-HI344*(2*FJ344/FV344-$E$27/FW344)</f>
        <v>-0.107840271021729</v>
      </c>
      <c r="HL344" s="60" t="n">
        <f aca="false">$F$27/FW344*(HH344-1)-HJ344-HI344*(2*FK344/FV344-$F$27/FW344)</f>
        <v>0.198812070380318</v>
      </c>
      <c r="HM344" s="60" t="n">
        <f aca="false">$G$27/FW344*(HH344-1)-HJ344-HI344*(2*FL344/FV344-$G$27/FW344)</f>
        <v>0.198812070380318</v>
      </c>
      <c r="HN344" s="60" t="n">
        <f aca="false">$H$27/FW344*(HH344-1)-HJ344-HI344*(2*FM344/FV344-$H$27/FW344)</f>
        <v>0.198812070380318</v>
      </c>
      <c r="HO344" s="60" t="n">
        <f aca="false">$I$27/FW344*(HH344-1)-HJ344-HI344*(2*FN344/FV344-$I$27/FW344)</f>
        <v>0.198812070380318</v>
      </c>
      <c r="HP344" s="60" t="n">
        <f aca="false">$J$27/FW344*(HH344-1)-HJ344-HI344*(2*FO344/FV344-$J$27/FW344)</f>
        <v>0.198812070380318</v>
      </c>
      <c r="HQ344" s="60" t="n">
        <f aca="false">$K$27/FW344*(HH344-1)-HJ344-HI344*(2*FP344/FV344-$K$27/FW344)</f>
        <v>0.198812070380318</v>
      </c>
      <c r="HR344" s="60" t="n">
        <f aca="false">$L$27/FW344*(HH344-1)-HJ344-HI344*(2*FQ344/FV344-$L$27/FW344)</f>
        <v>0.198812070380318</v>
      </c>
      <c r="HS344" s="60" t="n">
        <f aca="false">$M$27/FW344*(HH344-1)-HJ344-HI344*(2*FR344/FV344-$M$27/FW344)</f>
        <v>0.198812070380318</v>
      </c>
      <c r="HT344" s="60" t="n">
        <f aca="false">$N$27/FW344*(HH344-1)-HJ344-HI344*(2*FS344/FV344-$N$27/FW344)</f>
        <v>0.198812070380318</v>
      </c>
      <c r="HU344" s="60" t="n">
        <f aca="false">$O$27/FW344*(HH344-1)-HJ344-HI344*(2*FT344/FV344-$O$27/FW344)</f>
        <v>0.198812070380318</v>
      </c>
      <c r="HV344" s="60" t="n">
        <f aca="false">$P$27/FW344*(HH344-1)-HJ344-HI344*(2*FU344/FV344-$P$27/FW344)</f>
        <v>0.198812070380318</v>
      </c>
      <c r="HW344" s="60" t="n">
        <f aca="false">FY344/HH344&gt;$C$22</f>
        <v>0</v>
      </c>
      <c r="HX344" s="60" t="n">
        <f aca="false">IF($E$13&gt;0,MAX(-300,MIN(300,EW344-HK344)),0)</f>
        <v>0</v>
      </c>
      <c r="HY344" s="60" t="n">
        <f aca="false">IF($F$13&gt;0,MAX(-300,MIN(300,EX344-HL344)),0)</f>
        <v>0</v>
      </c>
      <c r="HZ344" s="60" t="n">
        <f aca="false">IF($G$13&gt;0,MAX(-300,MIN(300,EY344-HM344)),0)</f>
        <v>0</v>
      </c>
      <c r="IA344" s="60" t="n">
        <f aca="false">IF($H$13&gt;0,MAX(-300,MIN(300,EZ344-HN344)),0)</f>
        <v>0</v>
      </c>
      <c r="IB344" s="60" t="n">
        <f aca="false">IF($I$13&gt;0,MAX(-300,MIN(300,FA344-HO344)),0)</f>
        <v>0</v>
      </c>
      <c r="IC344" s="60" t="n">
        <f aca="false">IF($J$13&gt;0,MAX(-300,MIN(300,FB344-HP344)),0)</f>
        <v>0</v>
      </c>
      <c r="ID344" s="60" t="n">
        <f aca="false">IF($K$13&gt;0,MAX(-300,MIN(300,FC344-HQ344)),0)</f>
        <v>0</v>
      </c>
      <c r="IE344" s="60" t="n">
        <f aca="false">IF($L$13&gt;0,MAX(-300,MIN(300,FD344-HR344)),0)</f>
        <v>0</v>
      </c>
      <c r="IF344" s="60" t="n">
        <f aca="false">IF($M$13&gt;0,MAX(-300,MIN(300,FE344-HS344)),0)</f>
        <v>0</v>
      </c>
      <c r="IG344" s="60" t="n">
        <f aca="false">IF($N$13&gt;0,MAX(-300,MIN(300,FF344-HT344)),0)</f>
        <v>0</v>
      </c>
      <c r="IH344" s="60" t="n">
        <f aca="false">IF($O$13&gt;0,MAX(-300,MIN(300,FG344-HU344)),0)</f>
        <v>0</v>
      </c>
      <c r="II344" s="60" t="n">
        <f aca="false">IF($P$13&gt;0,MAX(-300,MIN(300,FH344-HV344)),0)</f>
        <v>0</v>
      </c>
      <c r="IJ344" s="60" t="n">
        <f aca="false">SUMXMY2(HX344:II344,B344:M344)</f>
        <v>0</v>
      </c>
      <c r="IK344" s="60" t="n">
        <f aca="false">SUMSQ(B344:M344)</f>
        <v>0</v>
      </c>
    </row>
    <row r="345" customFormat="false" ht="15" hidden="false" customHeight="false" outlineLevel="0" collapsed="false">
      <c r="A345" s="59" t="n">
        <v>48</v>
      </c>
      <c r="B345" s="60" t="n">
        <f aca="false">HX344</f>
        <v>0</v>
      </c>
      <c r="C345" s="60" t="n">
        <f aca="false">HY344</f>
        <v>0</v>
      </c>
      <c r="D345" s="60" t="n">
        <f aca="false">HZ344</f>
        <v>0</v>
      </c>
      <c r="E345" s="60" t="n">
        <f aca="false">IA344</f>
        <v>0</v>
      </c>
      <c r="F345" s="60" t="n">
        <f aca="false">IB344</f>
        <v>0</v>
      </c>
      <c r="G345" s="60" t="n">
        <f aca="false">IC344</f>
        <v>0</v>
      </c>
      <c r="H345" s="60" t="n">
        <f aca="false">ID344</f>
        <v>0</v>
      </c>
      <c r="I345" s="60" t="n">
        <f aca="false">IE344</f>
        <v>0</v>
      </c>
      <c r="J345" s="60" t="n">
        <f aca="false">IF344</f>
        <v>0</v>
      </c>
      <c r="K345" s="60" t="n">
        <f aca="false">IG344</f>
        <v>0</v>
      </c>
      <c r="L345" s="60" t="n">
        <f aca="false">IH344</f>
        <v>0</v>
      </c>
      <c r="M345" s="60" t="n">
        <f aca="false">II344</f>
        <v>0</v>
      </c>
      <c r="N345" s="60" t="n">
        <f aca="false">EXP(B345)</f>
        <v>1</v>
      </c>
      <c r="O345" s="60" t="n">
        <f aca="false">EXP(C345)</f>
        <v>1</v>
      </c>
      <c r="P345" s="60" t="n">
        <f aca="false">EXP(D345)</f>
        <v>1</v>
      </c>
      <c r="Q345" s="60" t="n">
        <f aca="false">EXP(E345)</f>
        <v>1</v>
      </c>
      <c r="R345" s="60" t="n">
        <f aca="false">EXP(F345)</f>
        <v>1</v>
      </c>
      <c r="S345" s="60" t="n">
        <f aca="false">EXP(G345)</f>
        <v>1</v>
      </c>
      <c r="T345" s="60" t="n">
        <f aca="false">EXP(H345)</f>
        <v>1</v>
      </c>
      <c r="U345" s="60" t="n">
        <f aca="false">EXP(I345)</f>
        <v>1</v>
      </c>
      <c r="V345" s="60" t="n">
        <f aca="false">EXP(J345)</f>
        <v>1</v>
      </c>
      <c r="W345" s="60" t="n">
        <f aca="false">EXP(K345)</f>
        <v>1</v>
      </c>
      <c r="X345" s="60" t="n">
        <f aca="false">EXP(L345)</f>
        <v>1</v>
      </c>
      <c r="Y345" s="60" t="n">
        <f aca="false">EXP(M345)</f>
        <v>1</v>
      </c>
      <c r="Z345" s="60" t="n">
        <f aca="false">MAX(N345:Y345)</f>
        <v>1</v>
      </c>
      <c r="AA345" s="60" t="n">
        <f aca="false">MIN(N345:Y345)</f>
        <v>1</v>
      </c>
      <c r="AB345" s="60" t="n">
        <f aca="false">AND(Z345&gt;1,AA345&lt;1)</f>
        <v>0</v>
      </c>
      <c r="AC345" s="60" t="n">
        <f aca="false">IF(AB345,1/(1-Z345),0)</f>
        <v>0</v>
      </c>
      <c r="AD345" s="60" t="n">
        <f aca="false">IF(AB345,1/(1-AA345),1)</f>
        <v>1</v>
      </c>
      <c r="AE345" s="60" t="n">
        <f aca="false">IF(AB345,MIN(MAX(BI344,AC345+0.000000001*(AD345-AC345)),AD345-0.000000001*(AD345-AC345)),IF(AA345&gt;=1,1,0))</f>
        <v>1</v>
      </c>
      <c r="AF345" s="60" t="n">
        <f aca="false">SUMPRODUCT($E$13:$P$13*(N345:Y345-1)/(1+AE345*(N345:Y345-1)))</f>
        <v>0</v>
      </c>
      <c r="AG345" s="60" t="n">
        <f aca="false">-SUMPRODUCT($E$13:$P$13*(N345:Y345-1)^2/(1+AE345*(N345:Y345-1))^2)</f>
        <v>-0</v>
      </c>
      <c r="AH345" s="60" t="n">
        <f aca="false">IF(OR(NOT(AB345),AG345=0),AE345,IF(AE345-AF345/AG345&lt;=AC345,(AE345+AC345)/2,IF(AE345-AF345/AG345&gt;=AD345,(AE345+AD345)/2,AE345-AF345/AG345)))</f>
        <v>1</v>
      </c>
      <c r="AI345" s="60" t="n">
        <f aca="false">SUMPRODUCT($E$13:$P$13*(N345:Y345-1)/(1+AH345*(N345:Y345-1)))</f>
        <v>0</v>
      </c>
      <c r="AJ345" s="60" t="n">
        <f aca="false">-SUMPRODUCT($E$13:$P$13*(N345:Y345-1)^2/(1+AH345*(N345:Y345-1))^2)</f>
        <v>-0</v>
      </c>
      <c r="AK345" s="60" t="n">
        <f aca="false">IF(OR(NOT(AB345),AJ345=0),AH345,IF(AH345-AI345/AJ345&lt;=AC345,(AH345+AC345)/2,IF(AH345-AI345/AJ345&gt;=AD345,(AH345+AD345)/2,AH345-AI345/AJ345)))</f>
        <v>1</v>
      </c>
      <c r="AL345" s="60" t="n">
        <f aca="false">SUMPRODUCT($E$13:$P$13*(N345:Y345-1)/(1+AK345*(N345:Y345-1)))</f>
        <v>0</v>
      </c>
      <c r="AM345" s="60" t="n">
        <f aca="false">-SUMPRODUCT($E$13:$P$13*(N345:Y345-1)^2/(1+AK345*(N345:Y345-1))^2)</f>
        <v>-0</v>
      </c>
      <c r="AN345" s="60" t="n">
        <f aca="false">IF(OR(NOT(AB345),AM345=0),AK345,IF(AK345-AL345/AM345&lt;=AC345,(AK345+AC345)/2,IF(AK345-AL345/AM345&gt;=AD345,(AK345+AD345)/2,AK345-AL345/AM345)))</f>
        <v>1</v>
      </c>
      <c r="AO345" s="60" t="n">
        <f aca="false">SUMPRODUCT($E$13:$P$13*(N345:Y345-1)/(1+AN345*(N345:Y345-1)))</f>
        <v>0</v>
      </c>
      <c r="AP345" s="60" t="n">
        <f aca="false">-SUMPRODUCT($E$13:$P$13*(N345:Y345-1)^2/(1+AN345*(N345:Y345-1))^2)</f>
        <v>-0</v>
      </c>
      <c r="AQ345" s="60" t="n">
        <f aca="false">IF(OR(NOT(AB345),AP345=0),AN345,IF(AN345-AO345/AP345&lt;=AC345,(AN345+AC345)/2,IF(AN345-AO345/AP345&gt;=AD345,(AN345+AD345)/2,AN345-AO345/AP345)))</f>
        <v>1</v>
      </c>
      <c r="AR345" s="60" t="n">
        <f aca="false">SUMPRODUCT($E$13:$P$13*(N345:Y345-1)/(1+AQ345*(N345:Y345-1)))</f>
        <v>0</v>
      </c>
      <c r="AS345" s="60" t="n">
        <f aca="false">-SUMPRODUCT($E$13:$P$13*(N345:Y345-1)^2/(1+AQ345*(N345:Y345-1))^2)</f>
        <v>-0</v>
      </c>
      <c r="AT345" s="60" t="n">
        <f aca="false">IF(OR(NOT(AB345),AS345=0),AQ345,IF(AQ345-AR345/AS345&lt;=AC345,(AQ345+AC345)/2,IF(AQ345-AR345/AS345&gt;=AD345,(AQ345+AD345)/2,AQ345-AR345/AS345)))</f>
        <v>1</v>
      </c>
      <c r="AU345" s="60" t="n">
        <f aca="false">SUMPRODUCT($E$13:$P$13*(N345:Y345-1)/(1+AT345*(N345:Y345-1)))</f>
        <v>0</v>
      </c>
      <c r="AV345" s="60" t="n">
        <f aca="false">-SUMPRODUCT($E$13:$P$13*(N345:Y345-1)^2/(1+AT345*(N345:Y345-1))^2)</f>
        <v>-0</v>
      </c>
      <c r="AW345" s="60" t="n">
        <f aca="false">IF(OR(NOT(AB345),AV345=0),AT345,IF(AT345-AU345/AV345&lt;=AC345,(AT345+AC345)/2,IF(AT345-AU345/AV345&gt;=AD345,(AT345+AD345)/2,AT345-AU345/AV345)))</f>
        <v>1</v>
      </c>
      <c r="AX345" s="60" t="n">
        <f aca="false">SUMPRODUCT($E$13:$P$13*(N345:Y345-1)/(1+AW345*(N345:Y345-1)))</f>
        <v>0</v>
      </c>
      <c r="AY345" s="60" t="n">
        <f aca="false">-SUMPRODUCT($E$13:$P$13*(N345:Y345-1)^2/(1+AW345*(N345:Y345-1))^2)</f>
        <v>-0</v>
      </c>
      <c r="AZ345" s="60" t="n">
        <f aca="false">IF(OR(NOT(AB345),AY345=0),AW345,IF(AW345-AX345/AY345&lt;=AC345,(AW345+AC345)/2,IF(AW345-AX345/AY345&gt;=AD345,(AW345+AD345)/2,AW345-AX345/AY345)))</f>
        <v>1</v>
      </c>
      <c r="BA345" s="60" t="n">
        <f aca="false">SUMPRODUCT($E$13:$P$13*(N345:Y345-1)/(1+AZ345*(N345:Y345-1)))</f>
        <v>0</v>
      </c>
      <c r="BB345" s="60" t="n">
        <f aca="false">-SUMPRODUCT($E$13:$P$13*(N345:Y345-1)^2/(1+AZ345*(N345:Y345-1))^2)</f>
        <v>-0</v>
      </c>
      <c r="BC345" s="60" t="n">
        <f aca="false">IF(OR(NOT(AB345),BB345=0),AZ345,IF(AZ345-BA345/BB345&lt;=AC345,(AZ345+AC345)/2,IF(AZ345-BA345/BB345&gt;=AD345,(AZ345+AD345)/2,AZ345-BA345/BB345)))</f>
        <v>1</v>
      </c>
      <c r="BD345" s="60" t="n">
        <f aca="false">SUMPRODUCT($E$13:$P$13*(N345:Y345-1)/(1+BC345*(N345:Y345-1)))</f>
        <v>0</v>
      </c>
      <c r="BE345" s="60" t="n">
        <f aca="false">-SUMPRODUCT($E$13:$P$13*(N345:Y345-1)^2/(1+BC345*(N345:Y345-1))^2)</f>
        <v>-0</v>
      </c>
      <c r="BF345" s="60" t="n">
        <f aca="false">IF(OR(NOT(AB345),BE345=0),BC345,IF(BC345-BD345/BE345&lt;=AC345,(BC345+AC345)/2,IF(BC345-BD345/BE345&gt;=AD345,(BC345+AD345)/2,BC345-BD345/BE345)))</f>
        <v>1</v>
      </c>
      <c r="BG345" s="60" t="n">
        <f aca="false">SUMPRODUCT($E$13:$P$13*(N345:Y345-1)/(1+BF345*(N345:Y345-1)))</f>
        <v>0</v>
      </c>
      <c r="BH345" s="60" t="n">
        <f aca="false">-SUMPRODUCT($E$13:$P$13*(N345:Y345-1)^2/(1+BF345*(N345:Y345-1))^2)</f>
        <v>-0</v>
      </c>
      <c r="BI345" s="60" t="n">
        <f aca="false">IF(OR(NOT(AB345),BH345=0),BF345,IF(BF345-BG345/BH345&lt;=AC345,(BF345+AC345)/2,IF(BF345-BG345/BH345&gt;=AD345,(BF345+AD345)/2,BF345-BG345/BH345)))</f>
        <v>1</v>
      </c>
      <c r="BJ345" s="60" t="n">
        <f aca="false">$E$13/(1+BI345*(N345-1))</f>
        <v>1</v>
      </c>
      <c r="BK345" s="60" t="n">
        <f aca="false">$F$13/(1+BI345*(O345-1))</f>
        <v>0</v>
      </c>
      <c r="BL345" s="60" t="n">
        <f aca="false">$G$13/(1+BI345*(P345-1))</f>
        <v>0</v>
      </c>
      <c r="BM345" s="60" t="n">
        <f aca="false">$H$13/(1+BI345*(Q345-1))</f>
        <v>0</v>
      </c>
      <c r="BN345" s="60" t="n">
        <f aca="false">$I$13/(1+BI345*(R345-1))</f>
        <v>0</v>
      </c>
      <c r="BO345" s="60" t="n">
        <f aca="false">$J$13/(1+BI345*(S345-1))</f>
        <v>0</v>
      </c>
      <c r="BP345" s="60" t="n">
        <f aca="false">$K$13/(1+BI345*(T345-1))</f>
        <v>0</v>
      </c>
      <c r="BQ345" s="60" t="n">
        <f aca="false">$L$13/(1+BI345*(U345-1))</f>
        <v>0</v>
      </c>
      <c r="BR345" s="60" t="n">
        <f aca="false">$M$13/(1+BI345*(V345-1))</f>
        <v>0</v>
      </c>
      <c r="BS345" s="60" t="n">
        <f aca="false">$N$13/(1+BI345*(W345-1))</f>
        <v>0</v>
      </c>
      <c r="BT345" s="60" t="n">
        <f aca="false">$O$13/(1+BI345*(X345-1))</f>
        <v>0</v>
      </c>
      <c r="BU345" s="60" t="n">
        <f aca="false">$P$13/(1+BI345*(Y345-1))</f>
        <v>0</v>
      </c>
      <c r="BV345" s="60" t="n">
        <f aca="false">SUM(BJ345:BU345)</f>
        <v>1</v>
      </c>
      <c r="BW345" s="60" t="n">
        <f aca="false">SUMPRODUCT(N345:Y345,BJ345:BU345)</f>
        <v>1</v>
      </c>
      <c r="BX345" s="60" t="n">
        <f aca="false">BJ345/BV345</f>
        <v>1</v>
      </c>
      <c r="BY345" s="60" t="n">
        <f aca="false">BK345/BV345</f>
        <v>0</v>
      </c>
      <c r="BZ345" s="60" t="n">
        <f aca="false">BL345/BV345</f>
        <v>0</v>
      </c>
      <c r="CA345" s="60" t="n">
        <f aca="false">BM345/BV345</f>
        <v>0</v>
      </c>
      <c r="CB345" s="60" t="n">
        <f aca="false">BN345/BV345</f>
        <v>0</v>
      </c>
      <c r="CC345" s="60" t="n">
        <f aca="false">BO345/BV345</f>
        <v>0</v>
      </c>
      <c r="CD345" s="60" t="n">
        <f aca="false">BP345/BV345</f>
        <v>0</v>
      </c>
      <c r="CE345" s="60" t="n">
        <f aca="false">BQ345/BV345</f>
        <v>0</v>
      </c>
      <c r="CF345" s="60" t="n">
        <f aca="false">BR345/BV345</f>
        <v>0</v>
      </c>
      <c r="CG345" s="60" t="n">
        <f aca="false">BS345/BV345</f>
        <v>0</v>
      </c>
      <c r="CH345" s="60" t="n">
        <f aca="false">BT345/BV345</f>
        <v>0</v>
      </c>
      <c r="CI345" s="60" t="n">
        <f aca="false">BU345/BV345</f>
        <v>0</v>
      </c>
      <c r="CJ345" s="60" t="n">
        <f aca="false">N345*BJ345/BW345</f>
        <v>1</v>
      </c>
      <c r="CK345" s="60" t="n">
        <f aca="false">O345*BK345/BW345</f>
        <v>0</v>
      </c>
      <c r="CL345" s="60" t="n">
        <f aca="false">P345*BL345/BW345</f>
        <v>0</v>
      </c>
      <c r="CM345" s="60" t="n">
        <f aca="false">Q345*BM345/BW345</f>
        <v>0</v>
      </c>
      <c r="CN345" s="60" t="n">
        <f aca="false">R345*BN345/BW345</f>
        <v>0</v>
      </c>
      <c r="CO345" s="60" t="n">
        <f aca="false">S345*BO345/BW345</f>
        <v>0</v>
      </c>
      <c r="CP345" s="60" t="n">
        <f aca="false">T345*BP345/BW345</f>
        <v>0</v>
      </c>
      <c r="CQ345" s="60" t="n">
        <f aca="false">U345*BQ345/BW345</f>
        <v>0</v>
      </c>
      <c r="CR345" s="60" t="n">
        <f aca="false">V345*BR345/BW345</f>
        <v>0</v>
      </c>
      <c r="CS345" s="60" t="n">
        <f aca="false">W345*BS345/BW345</f>
        <v>0</v>
      </c>
      <c r="CT345" s="60" t="n">
        <f aca="false">X345*BT345/BW345</f>
        <v>0</v>
      </c>
      <c r="CU345" s="60" t="n">
        <f aca="false">Y345*BU345/BW345</f>
        <v>0</v>
      </c>
      <c r="CV345" s="60" t="n">
        <f aca="false">$E$28*SUMPRODUCT($E$31:$P$31,BX345:CI345,$E$28:$P$28)</f>
        <v>0.184416866619846</v>
      </c>
      <c r="CW345" s="60" t="n">
        <f aca="false">$F$28*SUMPRODUCT($E$32:$P$32,BX345:CI345,$E$28:$P$28)</f>
        <v>0</v>
      </c>
      <c r="CX345" s="60" t="n">
        <f aca="false">$G$28*SUMPRODUCT($E$33:$P$33,BX345:CI345,$E$28:$P$28)</f>
        <v>0</v>
      </c>
      <c r="CY345" s="60" t="n">
        <f aca="false">$H$28*SUMPRODUCT($E$34:$P$34,BX345:CI345,$E$28:$P$28)</f>
        <v>0</v>
      </c>
      <c r="CZ345" s="60" t="n">
        <f aca="false">$I$28*SUMPRODUCT($E$35:$P$35,BX345:CI345,$E$28:$P$28)</f>
        <v>0</v>
      </c>
      <c r="DA345" s="60" t="n">
        <f aca="false">$J$28*SUMPRODUCT($E$36:$P$36,BX345:CI345,$E$28:$P$28)</f>
        <v>0</v>
      </c>
      <c r="DB345" s="60" t="n">
        <f aca="false">$K$28*SUMPRODUCT($E$37:$P$37,BX345:CI345,$E$28:$P$28)</f>
        <v>0</v>
      </c>
      <c r="DC345" s="60" t="n">
        <f aca="false">$L$28*SUMPRODUCT($E$38:$P$38,BX345:CI345,$E$28:$P$28)</f>
        <v>0</v>
      </c>
      <c r="DD345" s="60" t="n">
        <f aca="false">$M$28*SUMPRODUCT($E$39:$P$39,BX345:CI345,$E$28:$P$28)</f>
        <v>0</v>
      </c>
      <c r="DE345" s="60" t="n">
        <f aca="false">$N$28*SUMPRODUCT($E$40:$P$40,BX345:CI345,$E$28:$P$28)</f>
        <v>0</v>
      </c>
      <c r="DF345" s="60" t="n">
        <f aca="false">$O$28*SUMPRODUCT($E$41:$P$41,BX345:CI345,$E$28:$P$28)</f>
        <v>0</v>
      </c>
      <c r="DG345" s="60" t="n">
        <f aca="false">$P$28*SUMPRODUCT($E$42:$P$42,BX345:CI345,$E$28:$P$28)</f>
        <v>0</v>
      </c>
      <c r="DH345" s="60" t="n">
        <f aca="false">SUMPRODUCT(BX345:CI345,CV345:DG345)</f>
        <v>0.184416866619846</v>
      </c>
      <c r="DI345" s="60" t="n">
        <f aca="false">SUMPRODUCT(BX345:CI345,$E$27:$P$27)</f>
        <v>2.67389635063809E-005</v>
      </c>
      <c r="DJ345" s="60" t="n">
        <f aca="false">DH345*$C$9/($C$10*$C$8)^2</f>
        <v>0.21776909410545</v>
      </c>
      <c r="DK345" s="60" t="n">
        <f aca="false">DI345*$C$9/($C$10*$C$8)</f>
        <v>0.0918845243259994</v>
      </c>
      <c r="DL345" s="60" t="n">
        <f aca="false">CHOOSE($C$7,-(1+DK345),-1,-(1-DK345))</f>
        <v>-0.908115475674001</v>
      </c>
      <c r="DM345" s="60" t="n">
        <f aca="false">CHOOSE($C$7,DJ345,DJ345-DK345-DK345^2,DJ345-3*DK345^2-2*DK345)</f>
        <v>0.00867174802160559</v>
      </c>
      <c r="DN345" s="60" t="n">
        <f aca="false">CHOOSE($C$7,-DJ345*DK345,-DJ345*DK345,-(DJ345*DK345-DK345^2-DK345^3))</f>
        <v>-0.0107910842936637</v>
      </c>
      <c r="DO345" s="60" t="n">
        <f aca="false">DM345-DL345^2/3</f>
        <v>-0.266219491031267</v>
      </c>
      <c r="DP345" s="60" t="n">
        <f aca="false">2*DL345^3/27-DL345*DM345/3+DN345</f>
        <v>-0.0636400988362784</v>
      </c>
      <c r="DQ345" s="60" t="n">
        <f aca="false">DP345^2/4+DO345^3/27</f>
        <v>0.000313710901361829</v>
      </c>
      <c r="DR345" s="60" t="n">
        <f aca="false">-DP345/2-IF(DP345&gt;=0,1,-1)*SQRT(MAX(DQ345,0))</f>
        <v>0.0495319352963236</v>
      </c>
      <c r="DS345" s="60" t="n">
        <f aca="false">SIGN(DR345)*ABS(DR345)^(1/3)</f>
        <v>0.367249967174439</v>
      </c>
      <c r="DT345" s="60" t="n">
        <f aca="false">IF(DS345=0,0,DS345-DO345/(3*DS345))</f>
        <v>0.60888329127384</v>
      </c>
      <c r="DU345" s="60" t="n">
        <f aca="false">2*SQRT(MAX(-DO345,0)/3)</f>
        <v>0.595784626668918</v>
      </c>
      <c r="DV345" s="60" t="n">
        <f aca="false">ACOS(IF(DU345=0,0,MAX(-1,MIN(1,3*DP345/(DO345*DU345)))))</f>
        <v>0</v>
      </c>
      <c r="DW345" s="60" t="n">
        <f aca="false">DU345*COS(DV345/3)</f>
        <v>0.595784626668918</v>
      </c>
      <c r="DX345" s="60" t="n">
        <f aca="false">IF(DQ345&lt;0,DW345,DT345)-DL345/3</f>
        <v>0.91158844983184</v>
      </c>
      <c r="DY345" s="60" t="n">
        <f aca="false">IFERROR((((DX345+DL345)*DX345+DM345)*DX345+DN345)/((3*DX345+2*DL345)*DX345+DM345),0)</f>
        <v>0</v>
      </c>
      <c r="DZ345" s="60" t="n">
        <f aca="false">IF(ABS(DY345)&lt;0.1*ABS(DX345),DX345-DY345,DX345)</f>
        <v>0.91158844983184</v>
      </c>
      <c r="EA345" s="60" t="n">
        <f aca="false">IFERROR((((DZ345+DL345)*DZ345+DM345)*DZ345+DN345)/((3*DZ345+2*DL345)*DZ345+DM345),0)</f>
        <v>0</v>
      </c>
      <c r="EB345" s="60" t="n">
        <f aca="false">IF(ABS(EA345)&lt;0.1*ABS(DZ345),DZ345-EA345,DZ345)</f>
        <v>0.91158844983184</v>
      </c>
      <c r="EC345" s="60" t="n">
        <f aca="false">-DN345/EB345</f>
        <v>0.0118376711504565</v>
      </c>
      <c r="ED345" s="60" t="n">
        <f aca="false">(DM345-EC345)/EB345</f>
        <v>-0.00347297415783941</v>
      </c>
      <c r="EE345" s="60" t="n">
        <f aca="false">ED345^2-4*EC345</f>
        <v>-0.0473386230523248</v>
      </c>
      <c r="EF345" s="60" t="n">
        <f aca="false">IF(EE345&gt;=0,(ED345+IF(ED345&gt;=0,1,-1)*SQRT(EE345))/2,0)</f>
        <v>0</v>
      </c>
      <c r="EG345" s="60" t="n">
        <f aca="false">IF(AND(EE345&gt;=0,EF345&lt;&gt;0),MIN(EF345,EC345/EF345),-1)</f>
        <v>-1</v>
      </c>
      <c r="EH345" s="60" t="n">
        <f aca="false">AND(EE345&gt;=0,EG345&gt;DK345,ABS(EB345-EG345)&gt;=0.00005*MAX(EB345,EG345))</f>
        <v>0</v>
      </c>
      <c r="EI345" s="60" t="n">
        <f aca="false">IF(EH345,IFERROR((((EG345+DL345)*EG345+DM345)*EG345+DN345)/((3*EG345+2*DL345)*EG345+DM345),0),0)</f>
        <v>0</v>
      </c>
      <c r="EJ345" s="60" t="n">
        <f aca="false">IF(ABS(EI345)&lt;0.1*ABS(EG345),EG345-EI345,EG345)</f>
        <v>-1</v>
      </c>
      <c r="EK345" s="60" t="n">
        <f aca="false">IF(EH345,IFERROR((((EJ345+DL345)*EJ345+DM345)*EJ345+DN345)/((3*EJ345+2*DL345)*EJ345+DM345),0),0)</f>
        <v>0</v>
      </c>
      <c r="EL345" s="60" t="n">
        <f aca="false">IF(ABS(EK345)&lt;0.1*ABS(EJ345),EJ345-EK345,EJ345)</f>
        <v>-1</v>
      </c>
      <c r="EM345" s="60" t="n">
        <f aca="false">IF(EH345,MAX(EB345,EL345),EB345)</f>
        <v>0.91158844983184</v>
      </c>
      <c r="EN345" s="60" t="n">
        <f aca="false">IF(EH345,MIN(EB345,EL345),-1)</f>
        <v>-1</v>
      </c>
      <c r="EO345" s="60" t="n">
        <f aca="false">CHOOSE($C$7,DJ345/EM345,DJ345/DK345*LN(1+DK345/EM345),DJ345/(2*SQRT(2)*DK345)*LN((EM345+(1+SQRT(2))*DK345)/(EM345+(1-SQRT(2))*DK345)))</f>
        <v>0.218240791233887</v>
      </c>
      <c r="EP345" s="60" t="n">
        <f aca="false">EM345-1-LN(EM345-DK345)-EO345</f>
        <v>-0.107840271021729</v>
      </c>
      <c r="EQ345" s="60" t="n">
        <f aca="false">IF(EH345,CHOOSE($C$7,DJ345/EN345,DJ345/DK345*LN(1+DK345/EN345),DJ345/(2*SQRT(2)*DK345)*LN((EN345+(1+SQRT(2))*DK345)/(EN345+(1-SQRT(2))*DK345))),0)</f>
        <v>0</v>
      </c>
      <c r="ER345" s="60" t="n">
        <f aca="false">IF(EH345,EN345-1-LN(EN345-DK345)-EQ345,0)</f>
        <v>0</v>
      </c>
      <c r="ES345" s="60" t="n">
        <f aca="false">AND(EH345,ER345&lt;EP345)</f>
        <v>0</v>
      </c>
      <c r="ET345" s="60" t="n">
        <f aca="false">IF(ES345,EN345,EM345)</f>
        <v>0.91158844983184</v>
      </c>
      <c r="EU345" s="60" t="n">
        <f aca="false">IF(ES345,EQ345,EO345)</f>
        <v>0.218240791233887</v>
      </c>
      <c r="EV345" s="60" t="n">
        <f aca="false">LN(ET345-DK345)</f>
        <v>-0.198812070380318</v>
      </c>
      <c r="EW345" s="60" t="n">
        <f aca="false">$E$27/DI345*(ET345-1)-EV345-EU345*(2*CV345/DH345-$E$27/DI345)</f>
        <v>-0.107840271021729</v>
      </c>
      <c r="EX345" s="60" t="n">
        <f aca="false">$F$27/DI345*(ET345-1)-EV345-EU345*(2*CW345/DH345-$F$27/DI345)</f>
        <v>0.198812070380318</v>
      </c>
      <c r="EY345" s="60" t="n">
        <f aca="false">$G$27/DI345*(ET345-1)-EV345-EU345*(2*CX345/DH345-$G$27/DI345)</f>
        <v>0.198812070380318</v>
      </c>
      <c r="EZ345" s="60" t="n">
        <f aca="false">$H$27/DI345*(ET345-1)-EV345-EU345*(2*CY345/DH345-$H$27/DI345)</f>
        <v>0.198812070380318</v>
      </c>
      <c r="FA345" s="60" t="n">
        <f aca="false">$I$27/DI345*(ET345-1)-EV345-EU345*(2*CZ345/DH345-$I$27/DI345)</f>
        <v>0.198812070380318</v>
      </c>
      <c r="FB345" s="60" t="n">
        <f aca="false">$J$27/DI345*(ET345-1)-EV345-EU345*(2*DA345/DH345-$J$27/DI345)</f>
        <v>0.198812070380318</v>
      </c>
      <c r="FC345" s="60" t="n">
        <f aca="false">$K$27/DI345*(ET345-1)-EV345-EU345*(2*DB345/DH345-$K$27/DI345)</f>
        <v>0.198812070380318</v>
      </c>
      <c r="FD345" s="60" t="n">
        <f aca="false">$L$27/DI345*(ET345-1)-EV345-EU345*(2*DC345/DH345-$L$27/DI345)</f>
        <v>0.198812070380318</v>
      </c>
      <c r="FE345" s="60" t="n">
        <f aca="false">$M$27/DI345*(ET345-1)-EV345-EU345*(2*DD345/DH345-$M$27/DI345)</f>
        <v>0.198812070380318</v>
      </c>
      <c r="FF345" s="60" t="n">
        <f aca="false">$N$27/DI345*(ET345-1)-EV345-EU345*(2*DE345/DH345-$N$27/DI345)</f>
        <v>0.198812070380318</v>
      </c>
      <c r="FG345" s="60" t="n">
        <f aca="false">$O$27/DI345*(ET345-1)-EV345-EU345*(2*DF345/DH345-$O$27/DI345)</f>
        <v>0.198812070380318</v>
      </c>
      <c r="FH345" s="60" t="n">
        <f aca="false">$P$27/DI345*(ET345-1)-EV345-EU345*(2*DG345/DH345-$P$27/DI345)</f>
        <v>0.198812070380318</v>
      </c>
      <c r="FI345" s="60" t="n">
        <f aca="false">DK345/ET345&gt;$C$22</f>
        <v>0</v>
      </c>
      <c r="FJ345" s="60" t="n">
        <f aca="false">$E$28*SUMPRODUCT($E$31:$P$31,CJ345:CU345,$E$28:$P$28)</f>
        <v>0.184416866619846</v>
      </c>
      <c r="FK345" s="60" t="n">
        <f aca="false">$F$28*SUMPRODUCT($E$32:$P$32,CJ345:CU345,$E$28:$P$28)</f>
        <v>0</v>
      </c>
      <c r="FL345" s="60" t="n">
        <f aca="false">$G$28*SUMPRODUCT($E$33:$P$33,CJ345:CU345,$E$28:$P$28)</f>
        <v>0</v>
      </c>
      <c r="FM345" s="60" t="n">
        <f aca="false">$H$28*SUMPRODUCT($E$34:$P$34,CJ345:CU345,$E$28:$P$28)</f>
        <v>0</v>
      </c>
      <c r="FN345" s="60" t="n">
        <f aca="false">$I$28*SUMPRODUCT($E$35:$P$35,CJ345:CU345,$E$28:$P$28)</f>
        <v>0</v>
      </c>
      <c r="FO345" s="60" t="n">
        <f aca="false">$J$28*SUMPRODUCT($E$36:$P$36,CJ345:CU345,$E$28:$P$28)</f>
        <v>0</v>
      </c>
      <c r="FP345" s="60" t="n">
        <f aca="false">$K$28*SUMPRODUCT($E$37:$P$37,CJ345:CU345,$E$28:$P$28)</f>
        <v>0</v>
      </c>
      <c r="FQ345" s="60" t="n">
        <f aca="false">$L$28*SUMPRODUCT($E$38:$P$38,CJ345:CU345,$E$28:$P$28)</f>
        <v>0</v>
      </c>
      <c r="FR345" s="60" t="n">
        <f aca="false">$M$28*SUMPRODUCT($E$39:$P$39,CJ345:CU345,$E$28:$P$28)</f>
        <v>0</v>
      </c>
      <c r="FS345" s="60" t="n">
        <f aca="false">$N$28*SUMPRODUCT($E$40:$P$40,CJ345:CU345,$E$28:$P$28)</f>
        <v>0</v>
      </c>
      <c r="FT345" s="60" t="n">
        <f aca="false">$O$28*SUMPRODUCT($E$41:$P$41,CJ345:CU345,$E$28:$P$28)</f>
        <v>0</v>
      </c>
      <c r="FU345" s="60" t="n">
        <f aca="false">$P$28*SUMPRODUCT($E$42:$P$42,CJ345:CU345,$E$28:$P$28)</f>
        <v>0</v>
      </c>
      <c r="FV345" s="60" t="n">
        <f aca="false">SUMPRODUCT(CJ345:CU345,FJ345:FU345)</f>
        <v>0.184416866619846</v>
      </c>
      <c r="FW345" s="60" t="n">
        <f aca="false">SUMPRODUCT(CJ345:CU345,$E$27:$P$27)</f>
        <v>2.67389635063809E-005</v>
      </c>
      <c r="FX345" s="60" t="n">
        <f aca="false">FV345*$C$9/($C$10*$C$8)^2</f>
        <v>0.21776909410545</v>
      </c>
      <c r="FY345" s="60" t="n">
        <f aca="false">FW345*$C$9/($C$10*$C$8)</f>
        <v>0.0918845243259994</v>
      </c>
      <c r="FZ345" s="60" t="n">
        <f aca="false">CHOOSE($C$7,-(1+FY345),-1,-(1-FY345))</f>
        <v>-0.908115475674001</v>
      </c>
      <c r="GA345" s="60" t="n">
        <f aca="false">CHOOSE($C$7,FX345,FX345-FY345-FY345^2,FX345-3*FY345^2-2*FY345)</f>
        <v>0.00867174802160559</v>
      </c>
      <c r="GB345" s="60" t="n">
        <f aca="false">CHOOSE($C$7,-FX345*FY345,-FX345*FY345,-(FX345*FY345-FY345^2-FY345^3))</f>
        <v>-0.0107910842936637</v>
      </c>
      <c r="GC345" s="60" t="n">
        <f aca="false">GA345-FZ345^2/3</f>
        <v>-0.266219491031267</v>
      </c>
      <c r="GD345" s="60" t="n">
        <f aca="false">2*FZ345^3/27-FZ345*GA345/3+GB345</f>
        <v>-0.0636400988362784</v>
      </c>
      <c r="GE345" s="60" t="n">
        <f aca="false">GD345^2/4+GC345^3/27</f>
        <v>0.000313710901361829</v>
      </c>
      <c r="GF345" s="60" t="n">
        <f aca="false">-GD345/2-IF(GD345&gt;=0,1,-1)*SQRT(MAX(GE345,0))</f>
        <v>0.0495319352963236</v>
      </c>
      <c r="GG345" s="60" t="n">
        <f aca="false">SIGN(GF345)*ABS(GF345)^(1/3)</f>
        <v>0.367249967174439</v>
      </c>
      <c r="GH345" s="60" t="n">
        <f aca="false">IF(GG345=0,0,GG345-GC345/(3*GG345))</f>
        <v>0.60888329127384</v>
      </c>
      <c r="GI345" s="60" t="n">
        <f aca="false">2*SQRT(MAX(-GC345,0)/3)</f>
        <v>0.595784626668918</v>
      </c>
      <c r="GJ345" s="60" t="n">
        <f aca="false">ACOS(IF(GI345=0,0,MAX(-1,MIN(1,3*GD345/(GC345*GI345)))))</f>
        <v>0</v>
      </c>
      <c r="GK345" s="60" t="n">
        <f aca="false">GI345*COS(GJ345/3)</f>
        <v>0.595784626668918</v>
      </c>
      <c r="GL345" s="60" t="n">
        <f aca="false">IF(GE345&lt;0,GK345,GH345)-FZ345/3</f>
        <v>0.91158844983184</v>
      </c>
      <c r="GM345" s="60" t="n">
        <f aca="false">IFERROR((((GL345+FZ345)*GL345+GA345)*GL345+GB345)/((3*GL345+2*FZ345)*GL345+GA345),0)</f>
        <v>0</v>
      </c>
      <c r="GN345" s="60" t="n">
        <f aca="false">IF(ABS(GM345)&lt;0.1*ABS(GL345),GL345-GM345,GL345)</f>
        <v>0.91158844983184</v>
      </c>
      <c r="GO345" s="60" t="n">
        <f aca="false">IFERROR((((GN345+FZ345)*GN345+GA345)*GN345+GB345)/((3*GN345+2*FZ345)*GN345+GA345),0)</f>
        <v>0</v>
      </c>
      <c r="GP345" s="60" t="n">
        <f aca="false">IF(ABS(GO345)&lt;0.1*ABS(GN345),GN345-GO345,GN345)</f>
        <v>0.91158844983184</v>
      </c>
      <c r="GQ345" s="60" t="n">
        <f aca="false">-GB345/GP345</f>
        <v>0.0118376711504565</v>
      </c>
      <c r="GR345" s="60" t="n">
        <f aca="false">(GA345-GQ345)/GP345</f>
        <v>-0.00347297415783941</v>
      </c>
      <c r="GS345" s="60" t="n">
        <f aca="false">GR345^2-4*GQ345</f>
        <v>-0.0473386230523248</v>
      </c>
      <c r="GT345" s="60" t="n">
        <f aca="false">IF(GS345&gt;=0,(GR345+IF(GR345&gt;=0,1,-1)*SQRT(GS345))/2,0)</f>
        <v>0</v>
      </c>
      <c r="GU345" s="60" t="n">
        <f aca="false">IF(AND(GS345&gt;=0,GT345&lt;&gt;0),MIN(GT345,GQ345/GT345),-1)</f>
        <v>-1</v>
      </c>
      <c r="GV345" s="60" t="n">
        <f aca="false">AND(GS345&gt;=0,GU345&gt;FY345,ABS(GP345-GU345)&gt;=0.00005*MAX(GP345,GU345))</f>
        <v>0</v>
      </c>
      <c r="GW345" s="60" t="n">
        <f aca="false">IF(GV345,IFERROR((((GU345+FZ345)*GU345+GA345)*GU345+GB345)/((3*GU345+2*FZ345)*GU345+GA345),0),0)</f>
        <v>0</v>
      </c>
      <c r="GX345" s="60" t="n">
        <f aca="false">IF(ABS(GW345)&lt;0.1*ABS(GU345),GU345-GW345,GU345)</f>
        <v>-1</v>
      </c>
      <c r="GY345" s="60" t="n">
        <f aca="false">IF(GV345,IFERROR((((GX345+FZ345)*GX345+GA345)*GX345+GB345)/((3*GX345+2*FZ345)*GX345+GA345),0),0)</f>
        <v>0</v>
      </c>
      <c r="GZ345" s="60" t="n">
        <f aca="false">IF(ABS(GY345)&lt;0.1*ABS(GX345),GX345-GY345,GX345)</f>
        <v>-1</v>
      </c>
      <c r="HA345" s="60" t="n">
        <f aca="false">IF(GV345,MAX(GP345,GZ345),GP345)</f>
        <v>0.91158844983184</v>
      </c>
      <c r="HB345" s="60" t="n">
        <f aca="false">IF(GV345,MIN(GP345,GZ345),-1)</f>
        <v>-1</v>
      </c>
      <c r="HC345" s="60" t="n">
        <f aca="false">CHOOSE($C$7,FX345/HA345,FX345/FY345*LN(1+FY345/HA345),FX345/(2*SQRT(2)*FY345)*LN((HA345+(1+SQRT(2))*FY345)/(HA345+(1-SQRT(2))*FY345)))</f>
        <v>0.218240791233887</v>
      </c>
      <c r="HD345" s="60" t="n">
        <f aca="false">HA345-1-LN(HA345-FY345)-HC345</f>
        <v>-0.107840271021729</v>
      </c>
      <c r="HE345" s="60" t="n">
        <f aca="false">IF(GV345,CHOOSE($C$7,FX345/HB345,FX345/FY345*LN(1+FY345/HB345),FX345/(2*SQRT(2)*FY345)*LN((HB345+(1+SQRT(2))*FY345)/(HB345+(1-SQRT(2))*FY345))),0)</f>
        <v>0</v>
      </c>
      <c r="HF345" s="60" t="n">
        <f aca="false">IF(GV345,HB345-1-LN(HB345-FY345)-HE345,0)</f>
        <v>0</v>
      </c>
      <c r="HG345" s="60" t="n">
        <f aca="false">AND(GV345,HF345&lt;HD345)</f>
        <v>0</v>
      </c>
      <c r="HH345" s="60" t="n">
        <f aca="false">IF(HG345,HB345,HA345)</f>
        <v>0.91158844983184</v>
      </c>
      <c r="HI345" s="60" t="n">
        <f aca="false">IF(HG345,HE345,HC345)</f>
        <v>0.218240791233887</v>
      </c>
      <c r="HJ345" s="60" t="n">
        <f aca="false">LN(HH345-FY345)</f>
        <v>-0.198812070380318</v>
      </c>
      <c r="HK345" s="60" t="n">
        <f aca="false">$E$27/FW345*(HH345-1)-HJ345-HI345*(2*FJ345/FV345-$E$27/FW345)</f>
        <v>-0.107840271021729</v>
      </c>
      <c r="HL345" s="60" t="n">
        <f aca="false">$F$27/FW345*(HH345-1)-HJ345-HI345*(2*FK345/FV345-$F$27/FW345)</f>
        <v>0.198812070380318</v>
      </c>
      <c r="HM345" s="60" t="n">
        <f aca="false">$G$27/FW345*(HH345-1)-HJ345-HI345*(2*FL345/FV345-$G$27/FW345)</f>
        <v>0.198812070380318</v>
      </c>
      <c r="HN345" s="60" t="n">
        <f aca="false">$H$27/FW345*(HH345-1)-HJ345-HI345*(2*FM345/FV345-$H$27/FW345)</f>
        <v>0.198812070380318</v>
      </c>
      <c r="HO345" s="60" t="n">
        <f aca="false">$I$27/FW345*(HH345-1)-HJ345-HI345*(2*FN345/FV345-$I$27/FW345)</f>
        <v>0.198812070380318</v>
      </c>
      <c r="HP345" s="60" t="n">
        <f aca="false">$J$27/FW345*(HH345-1)-HJ345-HI345*(2*FO345/FV345-$J$27/FW345)</f>
        <v>0.198812070380318</v>
      </c>
      <c r="HQ345" s="60" t="n">
        <f aca="false">$K$27/FW345*(HH345-1)-HJ345-HI345*(2*FP345/FV345-$K$27/FW345)</f>
        <v>0.198812070380318</v>
      </c>
      <c r="HR345" s="60" t="n">
        <f aca="false">$L$27/FW345*(HH345-1)-HJ345-HI345*(2*FQ345/FV345-$L$27/FW345)</f>
        <v>0.198812070380318</v>
      </c>
      <c r="HS345" s="60" t="n">
        <f aca="false">$M$27/FW345*(HH345-1)-HJ345-HI345*(2*FR345/FV345-$M$27/FW345)</f>
        <v>0.198812070380318</v>
      </c>
      <c r="HT345" s="60" t="n">
        <f aca="false">$N$27/FW345*(HH345-1)-HJ345-HI345*(2*FS345/FV345-$N$27/FW345)</f>
        <v>0.198812070380318</v>
      </c>
      <c r="HU345" s="60" t="n">
        <f aca="false">$O$27/FW345*(HH345-1)-HJ345-HI345*(2*FT345/FV345-$O$27/FW345)</f>
        <v>0.198812070380318</v>
      </c>
      <c r="HV345" s="60" t="n">
        <f aca="false">$P$27/FW345*(HH345-1)-HJ345-HI345*(2*FU345/FV345-$P$27/FW345)</f>
        <v>0.198812070380318</v>
      </c>
      <c r="HW345" s="60" t="n">
        <f aca="false">FY345/HH345&gt;$C$22</f>
        <v>0</v>
      </c>
      <c r="HX345" s="60" t="n">
        <f aca="false">IF($E$13&gt;0,MAX(-300,MIN(300,EW345-HK345)),0)</f>
        <v>0</v>
      </c>
      <c r="HY345" s="60" t="n">
        <f aca="false">IF($F$13&gt;0,MAX(-300,MIN(300,EX345-HL345)),0)</f>
        <v>0</v>
      </c>
      <c r="HZ345" s="60" t="n">
        <f aca="false">IF($G$13&gt;0,MAX(-300,MIN(300,EY345-HM345)),0)</f>
        <v>0</v>
      </c>
      <c r="IA345" s="60" t="n">
        <f aca="false">IF($H$13&gt;0,MAX(-300,MIN(300,EZ345-HN345)),0)</f>
        <v>0</v>
      </c>
      <c r="IB345" s="60" t="n">
        <f aca="false">IF($I$13&gt;0,MAX(-300,MIN(300,FA345-HO345)),0)</f>
        <v>0</v>
      </c>
      <c r="IC345" s="60" t="n">
        <f aca="false">IF($J$13&gt;0,MAX(-300,MIN(300,FB345-HP345)),0)</f>
        <v>0</v>
      </c>
      <c r="ID345" s="60" t="n">
        <f aca="false">IF($K$13&gt;0,MAX(-300,MIN(300,FC345-HQ345)),0)</f>
        <v>0</v>
      </c>
      <c r="IE345" s="60" t="n">
        <f aca="false">IF($L$13&gt;0,MAX(-300,MIN(300,FD345-HR345)),0)</f>
        <v>0</v>
      </c>
      <c r="IF345" s="60" t="n">
        <f aca="false">IF($M$13&gt;0,MAX(-300,MIN(300,FE345-HS345)),0)</f>
        <v>0</v>
      </c>
      <c r="IG345" s="60" t="n">
        <f aca="false">IF($N$13&gt;0,MAX(-300,MIN(300,FF345-HT345)),0)</f>
        <v>0</v>
      </c>
      <c r="IH345" s="60" t="n">
        <f aca="false">IF($O$13&gt;0,MAX(-300,MIN(300,FG345-HU345)),0)</f>
        <v>0</v>
      </c>
      <c r="II345" s="60" t="n">
        <f aca="false">IF($P$13&gt;0,MAX(-300,MIN(300,FH345-HV345)),0)</f>
        <v>0</v>
      </c>
      <c r="IJ345" s="60" t="n">
        <f aca="false">SUMXMY2(HX345:II345,B345:M345)</f>
        <v>0</v>
      </c>
      <c r="IK345" s="60" t="n">
        <f aca="false">SUMSQ(B345:M345)</f>
        <v>0</v>
      </c>
    </row>
    <row r="346" customFormat="false" ht="15" hidden="false" customHeight="false" outlineLevel="0" collapsed="false">
      <c r="A346" s="59" t="n">
        <v>49</v>
      </c>
      <c r="B346" s="60" t="n">
        <f aca="false">HX345</f>
        <v>0</v>
      </c>
      <c r="C346" s="60" t="n">
        <f aca="false">HY345</f>
        <v>0</v>
      </c>
      <c r="D346" s="60" t="n">
        <f aca="false">HZ345</f>
        <v>0</v>
      </c>
      <c r="E346" s="60" t="n">
        <f aca="false">IA345</f>
        <v>0</v>
      </c>
      <c r="F346" s="60" t="n">
        <f aca="false">IB345</f>
        <v>0</v>
      </c>
      <c r="G346" s="60" t="n">
        <f aca="false">IC345</f>
        <v>0</v>
      </c>
      <c r="H346" s="60" t="n">
        <f aca="false">ID345</f>
        <v>0</v>
      </c>
      <c r="I346" s="60" t="n">
        <f aca="false">IE345</f>
        <v>0</v>
      </c>
      <c r="J346" s="60" t="n">
        <f aca="false">IF345</f>
        <v>0</v>
      </c>
      <c r="K346" s="60" t="n">
        <f aca="false">IG345</f>
        <v>0</v>
      </c>
      <c r="L346" s="60" t="n">
        <f aca="false">IH345</f>
        <v>0</v>
      </c>
      <c r="M346" s="60" t="n">
        <f aca="false">II345</f>
        <v>0</v>
      </c>
      <c r="N346" s="60" t="n">
        <f aca="false">EXP(B346)</f>
        <v>1</v>
      </c>
      <c r="O346" s="60" t="n">
        <f aca="false">EXP(C346)</f>
        <v>1</v>
      </c>
      <c r="P346" s="60" t="n">
        <f aca="false">EXP(D346)</f>
        <v>1</v>
      </c>
      <c r="Q346" s="60" t="n">
        <f aca="false">EXP(E346)</f>
        <v>1</v>
      </c>
      <c r="R346" s="60" t="n">
        <f aca="false">EXP(F346)</f>
        <v>1</v>
      </c>
      <c r="S346" s="60" t="n">
        <f aca="false">EXP(G346)</f>
        <v>1</v>
      </c>
      <c r="T346" s="60" t="n">
        <f aca="false">EXP(H346)</f>
        <v>1</v>
      </c>
      <c r="U346" s="60" t="n">
        <f aca="false">EXP(I346)</f>
        <v>1</v>
      </c>
      <c r="V346" s="60" t="n">
        <f aca="false">EXP(J346)</f>
        <v>1</v>
      </c>
      <c r="W346" s="60" t="n">
        <f aca="false">EXP(K346)</f>
        <v>1</v>
      </c>
      <c r="X346" s="60" t="n">
        <f aca="false">EXP(L346)</f>
        <v>1</v>
      </c>
      <c r="Y346" s="60" t="n">
        <f aca="false">EXP(M346)</f>
        <v>1</v>
      </c>
      <c r="Z346" s="60" t="n">
        <f aca="false">MAX(N346:Y346)</f>
        <v>1</v>
      </c>
      <c r="AA346" s="60" t="n">
        <f aca="false">MIN(N346:Y346)</f>
        <v>1</v>
      </c>
      <c r="AB346" s="60" t="n">
        <f aca="false">AND(Z346&gt;1,AA346&lt;1)</f>
        <v>0</v>
      </c>
      <c r="AC346" s="60" t="n">
        <f aca="false">IF(AB346,1/(1-Z346),0)</f>
        <v>0</v>
      </c>
      <c r="AD346" s="60" t="n">
        <f aca="false">IF(AB346,1/(1-AA346),1)</f>
        <v>1</v>
      </c>
      <c r="AE346" s="60" t="n">
        <f aca="false">IF(AB346,MIN(MAX(BI345,AC346+0.000000001*(AD346-AC346)),AD346-0.000000001*(AD346-AC346)),IF(AA346&gt;=1,1,0))</f>
        <v>1</v>
      </c>
      <c r="AF346" s="60" t="n">
        <f aca="false">SUMPRODUCT($E$13:$P$13*(N346:Y346-1)/(1+AE346*(N346:Y346-1)))</f>
        <v>0</v>
      </c>
      <c r="AG346" s="60" t="n">
        <f aca="false">-SUMPRODUCT($E$13:$P$13*(N346:Y346-1)^2/(1+AE346*(N346:Y346-1))^2)</f>
        <v>-0</v>
      </c>
      <c r="AH346" s="60" t="n">
        <f aca="false">IF(OR(NOT(AB346),AG346=0),AE346,IF(AE346-AF346/AG346&lt;=AC346,(AE346+AC346)/2,IF(AE346-AF346/AG346&gt;=AD346,(AE346+AD346)/2,AE346-AF346/AG346)))</f>
        <v>1</v>
      </c>
      <c r="AI346" s="60" t="n">
        <f aca="false">SUMPRODUCT($E$13:$P$13*(N346:Y346-1)/(1+AH346*(N346:Y346-1)))</f>
        <v>0</v>
      </c>
      <c r="AJ346" s="60" t="n">
        <f aca="false">-SUMPRODUCT($E$13:$P$13*(N346:Y346-1)^2/(1+AH346*(N346:Y346-1))^2)</f>
        <v>-0</v>
      </c>
      <c r="AK346" s="60" t="n">
        <f aca="false">IF(OR(NOT(AB346),AJ346=0),AH346,IF(AH346-AI346/AJ346&lt;=AC346,(AH346+AC346)/2,IF(AH346-AI346/AJ346&gt;=AD346,(AH346+AD346)/2,AH346-AI346/AJ346)))</f>
        <v>1</v>
      </c>
      <c r="AL346" s="60" t="n">
        <f aca="false">SUMPRODUCT($E$13:$P$13*(N346:Y346-1)/(1+AK346*(N346:Y346-1)))</f>
        <v>0</v>
      </c>
      <c r="AM346" s="60" t="n">
        <f aca="false">-SUMPRODUCT($E$13:$P$13*(N346:Y346-1)^2/(1+AK346*(N346:Y346-1))^2)</f>
        <v>-0</v>
      </c>
      <c r="AN346" s="60" t="n">
        <f aca="false">IF(OR(NOT(AB346),AM346=0),AK346,IF(AK346-AL346/AM346&lt;=AC346,(AK346+AC346)/2,IF(AK346-AL346/AM346&gt;=AD346,(AK346+AD346)/2,AK346-AL346/AM346)))</f>
        <v>1</v>
      </c>
      <c r="AO346" s="60" t="n">
        <f aca="false">SUMPRODUCT($E$13:$P$13*(N346:Y346-1)/(1+AN346*(N346:Y346-1)))</f>
        <v>0</v>
      </c>
      <c r="AP346" s="60" t="n">
        <f aca="false">-SUMPRODUCT($E$13:$P$13*(N346:Y346-1)^2/(1+AN346*(N346:Y346-1))^2)</f>
        <v>-0</v>
      </c>
      <c r="AQ346" s="60" t="n">
        <f aca="false">IF(OR(NOT(AB346),AP346=0),AN346,IF(AN346-AO346/AP346&lt;=AC346,(AN346+AC346)/2,IF(AN346-AO346/AP346&gt;=AD346,(AN346+AD346)/2,AN346-AO346/AP346)))</f>
        <v>1</v>
      </c>
      <c r="AR346" s="60" t="n">
        <f aca="false">SUMPRODUCT($E$13:$P$13*(N346:Y346-1)/(1+AQ346*(N346:Y346-1)))</f>
        <v>0</v>
      </c>
      <c r="AS346" s="60" t="n">
        <f aca="false">-SUMPRODUCT($E$13:$P$13*(N346:Y346-1)^2/(1+AQ346*(N346:Y346-1))^2)</f>
        <v>-0</v>
      </c>
      <c r="AT346" s="60" t="n">
        <f aca="false">IF(OR(NOT(AB346),AS346=0),AQ346,IF(AQ346-AR346/AS346&lt;=AC346,(AQ346+AC346)/2,IF(AQ346-AR346/AS346&gt;=AD346,(AQ346+AD346)/2,AQ346-AR346/AS346)))</f>
        <v>1</v>
      </c>
      <c r="AU346" s="60" t="n">
        <f aca="false">SUMPRODUCT($E$13:$P$13*(N346:Y346-1)/(1+AT346*(N346:Y346-1)))</f>
        <v>0</v>
      </c>
      <c r="AV346" s="60" t="n">
        <f aca="false">-SUMPRODUCT($E$13:$P$13*(N346:Y346-1)^2/(1+AT346*(N346:Y346-1))^2)</f>
        <v>-0</v>
      </c>
      <c r="AW346" s="60" t="n">
        <f aca="false">IF(OR(NOT(AB346),AV346=0),AT346,IF(AT346-AU346/AV346&lt;=AC346,(AT346+AC346)/2,IF(AT346-AU346/AV346&gt;=AD346,(AT346+AD346)/2,AT346-AU346/AV346)))</f>
        <v>1</v>
      </c>
      <c r="AX346" s="60" t="n">
        <f aca="false">SUMPRODUCT($E$13:$P$13*(N346:Y346-1)/(1+AW346*(N346:Y346-1)))</f>
        <v>0</v>
      </c>
      <c r="AY346" s="60" t="n">
        <f aca="false">-SUMPRODUCT($E$13:$P$13*(N346:Y346-1)^2/(1+AW346*(N346:Y346-1))^2)</f>
        <v>-0</v>
      </c>
      <c r="AZ346" s="60" t="n">
        <f aca="false">IF(OR(NOT(AB346),AY346=0),AW346,IF(AW346-AX346/AY346&lt;=AC346,(AW346+AC346)/2,IF(AW346-AX346/AY346&gt;=AD346,(AW346+AD346)/2,AW346-AX346/AY346)))</f>
        <v>1</v>
      </c>
      <c r="BA346" s="60" t="n">
        <f aca="false">SUMPRODUCT($E$13:$P$13*(N346:Y346-1)/(1+AZ346*(N346:Y346-1)))</f>
        <v>0</v>
      </c>
      <c r="BB346" s="60" t="n">
        <f aca="false">-SUMPRODUCT($E$13:$P$13*(N346:Y346-1)^2/(1+AZ346*(N346:Y346-1))^2)</f>
        <v>-0</v>
      </c>
      <c r="BC346" s="60" t="n">
        <f aca="false">IF(OR(NOT(AB346),BB346=0),AZ346,IF(AZ346-BA346/BB346&lt;=AC346,(AZ346+AC346)/2,IF(AZ346-BA346/BB346&gt;=AD346,(AZ346+AD346)/2,AZ346-BA346/BB346)))</f>
        <v>1</v>
      </c>
      <c r="BD346" s="60" t="n">
        <f aca="false">SUMPRODUCT($E$13:$P$13*(N346:Y346-1)/(1+BC346*(N346:Y346-1)))</f>
        <v>0</v>
      </c>
      <c r="BE346" s="60" t="n">
        <f aca="false">-SUMPRODUCT($E$13:$P$13*(N346:Y346-1)^2/(1+BC346*(N346:Y346-1))^2)</f>
        <v>-0</v>
      </c>
      <c r="BF346" s="60" t="n">
        <f aca="false">IF(OR(NOT(AB346),BE346=0),BC346,IF(BC346-BD346/BE346&lt;=AC346,(BC346+AC346)/2,IF(BC346-BD346/BE346&gt;=AD346,(BC346+AD346)/2,BC346-BD346/BE346)))</f>
        <v>1</v>
      </c>
      <c r="BG346" s="60" t="n">
        <f aca="false">SUMPRODUCT($E$13:$P$13*(N346:Y346-1)/(1+BF346*(N346:Y346-1)))</f>
        <v>0</v>
      </c>
      <c r="BH346" s="60" t="n">
        <f aca="false">-SUMPRODUCT($E$13:$P$13*(N346:Y346-1)^2/(1+BF346*(N346:Y346-1))^2)</f>
        <v>-0</v>
      </c>
      <c r="BI346" s="60" t="n">
        <f aca="false">IF(OR(NOT(AB346),BH346=0),BF346,IF(BF346-BG346/BH346&lt;=AC346,(BF346+AC346)/2,IF(BF346-BG346/BH346&gt;=AD346,(BF346+AD346)/2,BF346-BG346/BH346)))</f>
        <v>1</v>
      </c>
      <c r="BJ346" s="60" t="n">
        <f aca="false">$E$13/(1+BI346*(N346-1))</f>
        <v>1</v>
      </c>
      <c r="BK346" s="60" t="n">
        <f aca="false">$F$13/(1+BI346*(O346-1))</f>
        <v>0</v>
      </c>
      <c r="BL346" s="60" t="n">
        <f aca="false">$G$13/(1+BI346*(P346-1))</f>
        <v>0</v>
      </c>
      <c r="BM346" s="60" t="n">
        <f aca="false">$H$13/(1+BI346*(Q346-1))</f>
        <v>0</v>
      </c>
      <c r="BN346" s="60" t="n">
        <f aca="false">$I$13/(1+BI346*(R346-1))</f>
        <v>0</v>
      </c>
      <c r="BO346" s="60" t="n">
        <f aca="false">$J$13/(1+BI346*(S346-1))</f>
        <v>0</v>
      </c>
      <c r="BP346" s="60" t="n">
        <f aca="false">$K$13/(1+BI346*(T346-1))</f>
        <v>0</v>
      </c>
      <c r="BQ346" s="60" t="n">
        <f aca="false">$L$13/(1+BI346*(U346-1))</f>
        <v>0</v>
      </c>
      <c r="BR346" s="60" t="n">
        <f aca="false">$M$13/(1+BI346*(V346-1))</f>
        <v>0</v>
      </c>
      <c r="BS346" s="60" t="n">
        <f aca="false">$N$13/(1+BI346*(W346-1))</f>
        <v>0</v>
      </c>
      <c r="BT346" s="60" t="n">
        <f aca="false">$O$13/(1+BI346*(X346-1))</f>
        <v>0</v>
      </c>
      <c r="BU346" s="60" t="n">
        <f aca="false">$P$13/(1+BI346*(Y346-1))</f>
        <v>0</v>
      </c>
      <c r="BV346" s="60" t="n">
        <f aca="false">SUM(BJ346:BU346)</f>
        <v>1</v>
      </c>
      <c r="BW346" s="60" t="n">
        <f aca="false">SUMPRODUCT(N346:Y346,BJ346:BU346)</f>
        <v>1</v>
      </c>
      <c r="BX346" s="60" t="n">
        <f aca="false">BJ346/BV346</f>
        <v>1</v>
      </c>
      <c r="BY346" s="60" t="n">
        <f aca="false">BK346/BV346</f>
        <v>0</v>
      </c>
      <c r="BZ346" s="60" t="n">
        <f aca="false">BL346/BV346</f>
        <v>0</v>
      </c>
      <c r="CA346" s="60" t="n">
        <f aca="false">BM346/BV346</f>
        <v>0</v>
      </c>
      <c r="CB346" s="60" t="n">
        <f aca="false">BN346/BV346</f>
        <v>0</v>
      </c>
      <c r="CC346" s="60" t="n">
        <f aca="false">BO346/BV346</f>
        <v>0</v>
      </c>
      <c r="CD346" s="60" t="n">
        <f aca="false">BP346/BV346</f>
        <v>0</v>
      </c>
      <c r="CE346" s="60" t="n">
        <f aca="false">BQ346/BV346</f>
        <v>0</v>
      </c>
      <c r="CF346" s="60" t="n">
        <f aca="false">BR346/BV346</f>
        <v>0</v>
      </c>
      <c r="CG346" s="60" t="n">
        <f aca="false">BS346/BV346</f>
        <v>0</v>
      </c>
      <c r="CH346" s="60" t="n">
        <f aca="false">BT346/BV346</f>
        <v>0</v>
      </c>
      <c r="CI346" s="60" t="n">
        <f aca="false">BU346/BV346</f>
        <v>0</v>
      </c>
      <c r="CJ346" s="60" t="n">
        <f aca="false">N346*BJ346/BW346</f>
        <v>1</v>
      </c>
      <c r="CK346" s="60" t="n">
        <f aca="false">O346*BK346/BW346</f>
        <v>0</v>
      </c>
      <c r="CL346" s="60" t="n">
        <f aca="false">P346*BL346/BW346</f>
        <v>0</v>
      </c>
      <c r="CM346" s="60" t="n">
        <f aca="false">Q346*BM346/BW346</f>
        <v>0</v>
      </c>
      <c r="CN346" s="60" t="n">
        <f aca="false">R346*BN346/BW346</f>
        <v>0</v>
      </c>
      <c r="CO346" s="60" t="n">
        <f aca="false">S346*BO346/BW346</f>
        <v>0</v>
      </c>
      <c r="CP346" s="60" t="n">
        <f aca="false">T346*BP346/BW346</f>
        <v>0</v>
      </c>
      <c r="CQ346" s="60" t="n">
        <f aca="false">U346*BQ346/BW346</f>
        <v>0</v>
      </c>
      <c r="CR346" s="60" t="n">
        <f aca="false">V346*BR346/BW346</f>
        <v>0</v>
      </c>
      <c r="CS346" s="60" t="n">
        <f aca="false">W346*BS346/BW346</f>
        <v>0</v>
      </c>
      <c r="CT346" s="60" t="n">
        <f aca="false">X346*BT346/BW346</f>
        <v>0</v>
      </c>
      <c r="CU346" s="60" t="n">
        <f aca="false">Y346*BU346/BW346</f>
        <v>0</v>
      </c>
      <c r="CV346" s="60" t="n">
        <f aca="false">$E$28*SUMPRODUCT($E$31:$P$31,BX346:CI346,$E$28:$P$28)</f>
        <v>0.184416866619846</v>
      </c>
      <c r="CW346" s="60" t="n">
        <f aca="false">$F$28*SUMPRODUCT($E$32:$P$32,BX346:CI346,$E$28:$P$28)</f>
        <v>0</v>
      </c>
      <c r="CX346" s="60" t="n">
        <f aca="false">$G$28*SUMPRODUCT($E$33:$P$33,BX346:CI346,$E$28:$P$28)</f>
        <v>0</v>
      </c>
      <c r="CY346" s="60" t="n">
        <f aca="false">$H$28*SUMPRODUCT($E$34:$P$34,BX346:CI346,$E$28:$P$28)</f>
        <v>0</v>
      </c>
      <c r="CZ346" s="60" t="n">
        <f aca="false">$I$28*SUMPRODUCT($E$35:$P$35,BX346:CI346,$E$28:$P$28)</f>
        <v>0</v>
      </c>
      <c r="DA346" s="60" t="n">
        <f aca="false">$J$28*SUMPRODUCT($E$36:$P$36,BX346:CI346,$E$28:$P$28)</f>
        <v>0</v>
      </c>
      <c r="DB346" s="60" t="n">
        <f aca="false">$K$28*SUMPRODUCT($E$37:$P$37,BX346:CI346,$E$28:$P$28)</f>
        <v>0</v>
      </c>
      <c r="DC346" s="60" t="n">
        <f aca="false">$L$28*SUMPRODUCT($E$38:$P$38,BX346:CI346,$E$28:$P$28)</f>
        <v>0</v>
      </c>
      <c r="DD346" s="60" t="n">
        <f aca="false">$M$28*SUMPRODUCT($E$39:$P$39,BX346:CI346,$E$28:$P$28)</f>
        <v>0</v>
      </c>
      <c r="DE346" s="60" t="n">
        <f aca="false">$N$28*SUMPRODUCT($E$40:$P$40,BX346:CI346,$E$28:$P$28)</f>
        <v>0</v>
      </c>
      <c r="DF346" s="60" t="n">
        <f aca="false">$O$28*SUMPRODUCT($E$41:$P$41,BX346:CI346,$E$28:$P$28)</f>
        <v>0</v>
      </c>
      <c r="DG346" s="60" t="n">
        <f aca="false">$P$28*SUMPRODUCT($E$42:$P$42,BX346:CI346,$E$28:$P$28)</f>
        <v>0</v>
      </c>
      <c r="DH346" s="60" t="n">
        <f aca="false">SUMPRODUCT(BX346:CI346,CV346:DG346)</f>
        <v>0.184416866619846</v>
      </c>
      <c r="DI346" s="60" t="n">
        <f aca="false">SUMPRODUCT(BX346:CI346,$E$27:$P$27)</f>
        <v>2.67389635063809E-005</v>
      </c>
      <c r="DJ346" s="60" t="n">
        <f aca="false">DH346*$C$9/($C$10*$C$8)^2</f>
        <v>0.21776909410545</v>
      </c>
      <c r="DK346" s="60" t="n">
        <f aca="false">DI346*$C$9/($C$10*$C$8)</f>
        <v>0.0918845243259994</v>
      </c>
      <c r="DL346" s="60" t="n">
        <f aca="false">CHOOSE($C$7,-(1+DK346),-1,-(1-DK346))</f>
        <v>-0.908115475674001</v>
      </c>
      <c r="DM346" s="60" t="n">
        <f aca="false">CHOOSE($C$7,DJ346,DJ346-DK346-DK346^2,DJ346-3*DK346^2-2*DK346)</f>
        <v>0.00867174802160559</v>
      </c>
      <c r="DN346" s="60" t="n">
        <f aca="false">CHOOSE($C$7,-DJ346*DK346,-DJ346*DK346,-(DJ346*DK346-DK346^2-DK346^3))</f>
        <v>-0.0107910842936637</v>
      </c>
      <c r="DO346" s="60" t="n">
        <f aca="false">DM346-DL346^2/3</f>
        <v>-0.266219491031267</v>
      </c>
      <c r="DP346" s="60" t="n">
        <f aca="false">2*DL346^3/27-DL346*DM346/3+DN346</f>
        <v>-0.0636400988362784</v>
      </c>
      <c r="DQ346" s="60" t="n">
        <f aca="false">DP346^2/4+DO346^3/27</f>
        <v>0.000313710901361829</v>
      </c>
      <c r="DR346" s="60" t="n">
        <f aca="false">-DP346/2-IF(DP346&gt;=0,1,-1)*SQRT(MAX(DQ346,0))</f>
        <v>0.0495319352963236</v>
      </c>
      <c r="DS346" s="60" t="n">
        <f aca="false">SIGN(DR346)*ABS(DR346)^(1/3)</f>
        <v>0.367249967174439</v>
      </c>
      <c r="DT346" s="60" t="n">
        <f aca="false">IF(DS346=0,0,DS346-DO346/(3*DS346))</f>
        <v>0.60888329127384</v>
      </c>
      <c r="DU346" s="60" t="n">
        <f aca="false">2*SQRT(MAX(-DO346,0)/3)</f>
        <v>0.595784626668918</v>
      </c>
      <c r="DV346" s="60" t="n">
        <f aca="false">ACOS(IF(DU346=0,0,MAX(-1,MIN(1,3*DP346/(DO346*DU346)))))</f>
        <v>0</v>
      </c>
      <c r="DW346" s="60" t="n">
        <f aca="false">DU346*COS(DV346/3)</f>
        <v>0.595784626668918</v>
      </c>
      <c r="DX346" s="60" t="n">
        <f aca="false">IF(DQ346&lt;0,DW346,DT346)-DL346/3</f>
        <v>0.91158844983184</v>
      </c>
      <c r="DY346" s="60" t="n">
        <f aca="false">IFERROR((((DX346+DL346)*DX346+DM346)*DX346+DN346)/((3*DX346+2*DL346)*DX346+DM346),0)</f>
        <v>0</v>
      </c>
      <c r="DZ346" s="60" t="n">
        <f aca="false">IF(ABS(DY346)&lt;0.1*ABS(DX346),DX346-DY346,DX346)</f>
        <v>0.91158844983184</v>
      </c>
      <c r="EA346" s="60" t="n">
        <f aca="false">IFERROR((((DZ346+DL346)*DZ346+DM346)*DZ346+DN346)/((3*DZ346+2*DL346)*DZ346+DM346),0)</f>
        <v>0</v>
      </c>
      <c r="EB346" s="60" t="n">
        <f aca="false">IF(ABS(EA346)&lt;0.1*ABS(DZ346),DZ346-EA346,DZ346)</f>
        <v>0.91158844983184</v>
      </c>
      <c r="EC346" s="60" t="n">
        <f aca="false">-DN346/EB346</f>
        <v>0.0118376711504565</v>
      </c>
      <c r="ED346" s="60" t="n">
        <f aca="false">(DM346-EC346)/EB346</f>
        <v>-0.00347297415783941</v>
      </c>
      <c r="EE346" s="60" t="n">
        <f aca="false">ED346^2-4*EC346</f>
        <v>-0.0473386230523248</v>
      </c>
      <c r="EF346" s="60" t="n">
        <f aca="false">IF(EE346&gt;=0,(ED346+IF(ED346&gt;=0,1,-1)*SQRT(EE346))/2,0)</f>
        <v>0</v>
      </c>
      <c r="EG346" s="60" t="n">
        <f aca="false">IF(AND(EE346&gt;=0,EF346&lt;&gt;0),MIN(EF346,EC346/EF346),-1)</f>
        <v>-1</v>
      </c>
      <c r="EH346" s="60" t="n">
        <f aca="false">AND(EE346&gt;=0,EG346&gt;DK346,ABS(EB346-EG346)&gt;=0.00005*MAX(EB346,EG346))</f>
        <v>0</v>
      </c>
      <c r="EI346" s="60" t="n">
        <f aca="false">IF(EH346,IFERROR((((EG346+DL346)*EG346+DM346)*EG346+DN346)/((3*EG346+2*DL346)*EG346+DM346),0),0)</f>
        <v>0</v>
      </c>
      <c r="EJ346" s="60" t="n">
        <f aca="false">IF(ABS(EI346)&lt;0.1*ABS(EG346),EG346-EI346,EG346)</f>
        <v>-1</v>
      </c>
      <c r="EK346" s="60" t="n">
        <f aca="false">IF(EH346,IFERROR((((EJ346+DL346)*EJ346+DM346)*EJ346+DN346)/((3*EJ346+2*DL346)*EJ346+DM346),0),0)</f>
        <v>0</v>
      </c>
      <c r="EL346" s="60" t="n">
        <f aca="false">IF(ABS(EK346)&lt;0.1*ABS(EJ346),EJ346-EK346,EJ346)</f>
        <v>-1</v>
      </c>
      <c r="EM346" s="60" t="n">
        <f aca="false">IF(EH346,MAX(EB346,EL346),EB346)</f>
        <v>0.91158844983184</v>
      </c>
      <c r="EN346" s="60" t="n">
        <f aca="false">IF(EH346,MIN(EB346,EL346),-1)</f>
        <v>-1</v>
      </c>
      <c r="EO346" s="60" t="n">
        <f aca="false">CHOOSE($C$7,DJ346/EM346,DJ346/DK346*LN(1+DK346/EM346),DJ346/(2*SQRT(2)*DK346)*LN((EM346+(1+SQRT(2))*DK346)/(EM346+(1-SQRT(2))*DK346)))</f>
        <v>0.218240791233887</v>
      </c>
      <c r="EP346" s="60" t="n">
        <f aca="false">EM346-1-LN(EM346-DK346)-EO346</f>
        <v>-0.107840271021729</v>
      </c>
      <c r="EQ346" s="60" t="n">
        <f aca="false">IF(EH346,CHOOSE($C$7,DJ346/EN346,DJ346/DK346*LN(1+DK346/EN346),DJ346/(2*SQRT(2)*DK346)*LN((EN346+(1+SQRT(2))*DK346)/(EN346+(1-SQRT(2))*DK346))),0)</f>
        <v>0</v>
      </c>
      <c r="ER346" s="60" t="n">
        <f aca="false">IF(EH346,EN346-1-LN(EN346-DK346)-EQ346,0)</f>
        <v>0</v>
      </c>
      <c r="ES346" s="60" t="n">
        <f aca="false">AND(EH346,ER346&lt;EP346)</f>
        <v>0</v>
      </c>
      <c r="ET346" s="60" t="n">
        <f aca="false">IF(ES346,EN346,EM346)</f>
        <v>0.91158844983184</v>
      </c>
      <c r="EU346" s="60" t="n">
        <f aca="false">IF(ES346,EQ346,EO346)</f>
        <v>0.218240791233887</v>
      </c>
      <c r="EV346" s="60" t="n">
        <f aca="false">LN(ET346-DK346)</f>
        <v>-0.198812070380318</v>
      </c>
      <c r="EW346" s="60" t="n">
        <f aca="false">$E$27/DI346*(ET346-1)-EV346-EU346*(2*CV346/DH346-$E$27/DI346)</f>
        <v>-0.107840271021729</v>
      </c>
      <c r="EX346" s="60" t="n">
        <f aca="false">$F$27/DI346*(ET346-1)-EV346-EU346*(2*CW346/DH346-$F$27/DI346)</f>
        <v>0.198812070380318</v>
      </c>
      <c r="EY346" s="60" t="n">
        <f aca="false">$G$27/DI346*(ET346-1)-EV346-EU346*(2*CX346/DH346-$G$27/DI346)</f>
        <v>0.198812070380318</v>
      </c>
      <c r="EZ346" s="60" t="n">
        <f aca="false">$H$27/DI346*(ET346-1)-EV346-EU346*(2*CY346/DH346-$H$27/DI346)</f>
        <v>0.198812070380318</v>
      </c>
      <c r="FA346" s="60" t="n">
        <f aca="false">$I$27/DI346*(ET346-1)-EV346-EU346*(2*CZ346/DH346-$I$27/DI346)</f>
        <v>0.198812070380318</v>
      </c>
      <c r="FB346" s="60" t="n">
        <f aca="false">$J$27/DI346*(ET346-1)-EV346-EU346*(2*DA346/DH346-$J$27/DI346)</f>
        <v>0.198812070380318</v>
      </c>
      <c r="FC346" s="60" t="n">
        <f aca="false">$K$27/DI346*(ET346-1)-EV346-EU346*(2*DB346/DH346-$K$27/DI346)</f>
        <v>0.198812070380318</v>
      </c>
      <c r="FD346" s="60" t="n">
        <f aca="false">$L$27/DI346*(ET346-1)-EV346-EU346*(2*DC346/DH346-$L$27/DI346)</f>
        <v>0.198812070380318</v>
      </c>
      <c r="FE346" s="60" t="n">
        <f aca="false">$M$27/DI346*(ET346-1)-EV346-EU346*(2*DD346/DH346-$M$27/DI346)</f>
        <v>0.198812070380318</v>
      </c>
      <c r="FF346" s="60" t="n">
        <f aca="false">$N$27/DI346*(ET346-1)-EV346-EU346*(2*DE346/DH346-$N$27/DI346)</f>
        <v>0.198812070380318</v>
      </c>
      <c r="FG346" s="60" t="n">
        <f aca="false">$O$27/DI346*(ET346-1)-EV346-EU346*(2*DF346/DH346-$O$27/DI346)</f>
        <v>0.198812070380318</v>
      </c>
      <c r="FH346" s="60" t="n">
        <f aca="false">$P$27/DI346*(ET346-1)-EV346-EU346*(2*DG346/DH346-$P$27/DI346)</f>
        <v>0.198812070380318</v>
      </c>
      <c r="FI346" s="60" t="n">
        <f aca="false">DK346/ET346&gt;$C$22</f>
        <v>0</v>
      </c>
      <c r="FJ346" s="60" t="n">
        <f aca="false">$E$28*SUMPRODUCT($E$31:$P$31,CJ346:CU346,$E$28:$P$28)</f>
        <v>0.184416866619846</v>
      </c>
      <c r="FK346" s="60" t="n">
        <f aca="false">$F$28*SUMPRODUCT($E$32:$P$32,CJ346:CU346,$E$28:$P$28)</f>
        <v>0</v>
      </c>
      <c r="FL346" s="60" t="n">
        <f aca="false">$G$28*SUMPRODUCT($E$33:$P$33,CJ346:CU346,$E$28:$P$28)</f>
        <v>0</v>
      </c>
      <c r="FM346" s="60" t="n">
        <f aca="false">$H$28*SUMPRODUCT($E$34:$P$34,CJ346:CU346,$E$28:$P$28)</f>
        <v>0</v>
      </c>
      <c r="FN346" s="60" t="n">
        <f aca="false">$I$28*SUMPRODUCT($E$35:$P$35,CJ346:CU346,$E$28:$P$28)</f>
        <v>0</v>
      </c>
      <c r="FO346" s="60" t="n">
        <f aca="false">$J$28*SUMPRODUCT($E$36:$P$36,CJ346:CU346,$E$28:$P$28)</f>
        <v>0</v>
      </c>
      <c r="FP346" s="60" t="n">
        <f aca="false">$K$28*SUMPRODUCT($E$37:$P$37,CJ346:CU346,$E$28:$P$28)</f>
        <v>0</v>
      </c>
      <c r="FQ346" s="60" t="n">
        <f aca="false">$L$28*SUMPRODUCT($E$38:$P$38,CJ346:CU346,$E$28:$P$28)</f>
        <v>0</v>
      </c>
      <c r="FR346" s="60" t="n">
        <f aca="false">$M$28*SUMPRODUCT($E$39:$P$39,CJ346:CU346,$E$28:$P$28)</f>
        <v>0</v>
      </c>
      <c r="FS346" s="60" t="n">
        <f aca="false">$N$28*SUMPRODUCT($E$40:$P$40,CJ346:CU346,$E$28:$P$28)</f>
        <v>0</v>
      </c>
      <c r="FT346" s="60" t="n">
        <f aca="false">$O$28*SUMPRODUCT($E$41:$P$41,CJ346:CU346,$E$28:$P$28)</f>
        <v>0</v>
      </c>
      <c r="FU346" s="60" t="n">
        <f aca="false">$P$28*SUMPRODUCT($E$42:$P$42,CJ346:CU346,$E$28:$P$28)</f>
        <v>0</v>
      </c>
      <c r="FV346" s="60" t="n">
        <f aca="false">SUMPRODUCT(CJ346:CU346,FJ346:FU346)</f>
        <v>0.184416866619846</v>
      </c>
      <c r="FW346" s="60" t="n">
        <f aca="false">SUMPRODUCT(CJ346:CU346,$E$27:$P$27)</f>
        <v>2.67389635063809E-005</v>
      </c>
      <c r="FX346" s="60" t="n">
        <f aca="false">FV346*$C$9/($C$10*$C$8)^2</f>
        <v>0.21776909410545</v>
      </c>
      <c r="FY346" s="60" t="n">
        <f aca="false">FW346*$C$9/($C$10*$C$8)</f>
        <v>0.0918845243259994</v>
      </c>
      <c r="FZ346" s="60" t="n">
        <f aca="false">CHOOSE($C$7,-(1+FY346),-1,-(1-FY346))</f>
        <v>-0.908115475674001</v>
      </c>
      <c r="GA346" s="60" t="n">
        <f aca="false">CHOOSE($C$7,FX346,FX346-FY346-FY346^2,FX346-3*FY346^2-2*FY346)</f>
        <v>0.00867174802160559</v>
      </c>
      <c r="GB346" s="60" t="n">
        <f aca="false">CHOOSE($C$7,-FX346*FY346,-FX346*FY346,-(FX346*FY346-FY346^2-FY346^3))</f>
        <v>-0.0107910842936637</v>
      </c>
      <c r="GC346" s="60" t="n">
        <f aca="false">GA346-FZ346^2/3</f>
        <v>-0.266219491031267</v>
      </c>
      <c r="GD346" s="60" t="n">
        <f aca="false">2*FZ346^3/27-FZ346*GA346/3+GB346</f>
        <v>-0.0636400988362784</v>
      </c>
      <c r="GE346" s="60" t="n">
        <f aca="false">GD346^2/4+GC346^3/27</f>
        <v>0.000313710901361829</v>
      </c>
      <c r="GF346" s="60" t="n">
        <f aca="false">-GD346/2-IF(GD346&gt;=0,1,-1)*SQRT(MAX(GE346,0))</f>
        <v>0.0495319352963236</v>
      </c>
      <c r="GG346" s="60" t="n">
        <f aca="false">SIGN(GF346)*ABS(GF346)^(1/3)</f>
        <v>0.367249967174439</v>
      </c>
      <c r="GH346" s="60" t="n">
        <f aca="false">IF(GG346=0,0,GG346-GC346/(3*GG346))</f>
        <v>0.60888329127384</v>
      </c>
      <c r="GI346" s="60" t="n">
        <f aca="false">2*SQRT(MAX(-GC346,0)/3)</f>
        <v>0.595784626668918</v>
      </c>
      <c r="GJ346" s="60" t="n">
        <f aca="false">ACOS(IF(GI346=0,0,MAX(-1,MIN(1,3*GD346/(GC346*GI346)))))</f>
        <v>0</v>
      </c>
      <c r="GK346" s="60" t="n">
        <f aca="false">GI346*COS(GJ346/3)</f>
        <v>0.595784626668918</v>
      </c>
      <c r="GL346" s="60" t="n">
        <f aca="false">IF(GE346&lt;0,GK346,GH346)-FZ346/3</f>
        <v>0.91158844983184</v>
      </c>
      <c r="GM346" s="60" t="n">
        <f aca="false">IFERROR((((GL346+FZ346)*GL346+GA346)*GL346+GB346)/((3*GL346+2*FZ346)*GL346+GA346),0)</f>
        <v>0</v>
      </c>
      <c r="GN346" s="60" t="n">
        <f aca="false">IF(ABS(GM346)&lt;0.1*ABS(GL346),GL346-GM346,GL346)</f>
        <v>0.91158844983184</v>
      </c>
      <c r="GO346" s="60" t="n">
        <f aca="false">IFERROR((((GN346+FZ346)*GN346+GA346)*GN346+GB346)/((3*GN346+2*FZ346)*GN346+GA346),0)</f>
        <v>0</v>
      </c>
      <c r="GP346" s="60" t="n">
        <f aca="false">IF(ABS(GO346)&lt;0.1*ABS(GN346),GN346-GO346,GN346)</f>
        <v>0.91158844983184</v>
      </c>
      <c r="GQ346" s="60" t="n">
        <f aca="false">-GB346/GP346</f>
        <v>0.0118376711504565</v>
      </c>
      <c r="GR346" s="60" t="n">
        <f aca="false">(GA346-GQ346)/GP346</f>
        <v>-0.00347297415783941</v>
      </c>
      <c r="GS346" s="60" t="n">
        <f aca="false">GR346^2-4*GQ346</f>
        <v>-0.0473386230523248</v>
      </c>
      <c r="GT346" s="60" t="n">
        <f aca="false">IF(GS346&gt;=0,(GR346+IF(GR346&gt;=0,1,-1)*SQRT(GS346))/2,0)</f>
        <v>0</v>
      </c>
      <c r="GU346" s="60" t="n">
        <f aca="false">IF(AND(GS346&gt;=0,GT346&lt;&gt;0),MIN(GT346,GQ346/GT346),-1)</f>
        <v>-1</v>
      </c>
      <c r="GV346" s="60" t="n">
        <f aca="false">AND(GS346&gt;=0,GU346&gt;FY346,ABS(GP346-GU346)&gt;=0.00005*MAX(GP346,GU346))</f>
        <v>0</v>
      </c>
      <c r="GW346" s="60" t="n">
        <f aca="false">IF(GV346,IFERROR((((GU346+FZ346)*GU346+GA346)*GU346+GB346)/((3*GU346+2*FZ346)*GU346+GA346),0),0)</f>
        <v>0</v>
      </c>
      <c r="GX346" s="60" t="n">
        <f aca="false">IF(ABS(GW346)&lt;0.1*ABS(GU346),GU346-GW346,GU346)</f>
        <v>-1</v>
      </c>
      <c r="GY346" s="60" t="n">
        <f aca="false">IF(GV346,IFERROR((((GX346+FZ346)*GX346+GA346)*GX346+GB346)/((3*GX346+2*FZ346)*GX346+GA346),0),0)</f>
        <v>0</v>
      </c>
      <c r="GZ346" s="60" t="n">
        <f aca="false">IF(ABS(GY346)&lt;0.1*ABS(GX346),GX346-GY346,GX346)</f>
        <v>-1</v>
      </c>
      <c r="HA346" s="60" t="n">
        <f aca="false">IF(GV346,MAX(GP346,GZ346),GP346)</f>
        <v>0.91158844983184</v>
      </c>
      <c r="HB346" s="60" t="n">
        <f aca="false">IF(GV346,MIN(GP346,GZ346),-1)</f>
        <v>-1</v>
      </c>
      <c r="HC346" s="60" t="n">
        <f aca="false">CHOOSE($C$7,FX346/HA346,FX346/FY346*LN(1+FY346/HA346),FX346/(2*SQRT(2)*FY346)*LN((HA346+(1+SQRT(2))*FY346)/(HA346+(1-SQRT(2))*FY346)))</f>
        <v>0.218240791233887</v>
      </c>
      <c r="HD346" s="60" t="n">
        <f aca="false">HA346-1-LN(HA346-FY346)-HC346</f>
        <v>-0.107840271021729</v>
      </c>
      <c r="HE346" s="60" t="n">
        <f aca="false">IF(GV346,CHOOSE($C$7,FX346/HB346,FX346/FY346*LN(1+FY346/HB346),FX346/(2*SQRT(2)*FY346)*LN((HB346+(1+SQRT(2))*FY346)/(HB346+(1-SQRT(2))*FY346))),0)</f>
        <v>0</v>
      </c>
      <c r="HF346" s="60" t="n">
        <f aca="false">IF(GV346,HB346-1-LN(HB346-FY346)-HE346,0)</f>
        <v>0</v>
      </c>
      <c r="HG346" s="60" t="n">
        <f aca="false">AND(GV346,HF346&lt;HD346)</f>
        <v>0</v>
      </c>
      <c r="HH346" s="60" t="n">
        <f aca="false">IF(HG346,HB346,HA346)</f>
        <v>0.91158844983184</v>
      </c>
      <c r="HI346" s="60" t="n">
        <f aca="false">IF(HG346,HE346,HC346)</f>
        <v>0.218240791233887</v>
      </c>
      <c r="HJ346" s="60" t="n">
        <f aca="false">LN(HH346-FY346)</f>
        <v>-0.198812070380318</v>
      </c>
      <c r="HK346" s="60" t="n">
        <f aca="false">$E$27/FW346*(HH346-1)-HJ346-HI346*(2*FJ346/FV346-$E$27/FW346)</f>
        <v>-0.107840271021729</v>
      </c>
      <c r="HL346" s="60" t="n">
        <f aca="false">$F$27/FW346*(HH346-1)-HJ346-HI346*(2*FK346/FV346-$F$27/FW346)</f>
        <v>0.198812070380318</v>
      </c>
      <c r="HM346" s="60" t="n">
        <f aca="false">$G$27/FW346*(HH346-1)-HJ346-HI346*(2*FL346/FV346-$G$27/FW346)</f>
        <v>0.198812070380318</v>
      </c>
      <c r="HN346" s="60" t="n">
        <f aca="false">$H$27/FW346*(HH346-1)-HJ346-HI346*(2*FM346/FV346-$H$27/FW346)</f>
        <v>0.198812070380318</v>
      </c>
      <c r="HO346" s="60" t="n">
        <f aca="false">$I$27/FW346*(HH346-1)-HJ346-HI346*(2*FN346/FV346-$I$27/FW346)</f>
        <v>0.198812070380318</v>
      </c>
      <c r="HP346" s="60" t="n">
        <f aca="false">$J$27/FW346*(HH346-1)-HJ346-HI346*(2*FO346/FV346-$J$27/FW346)</f>
        <v>0.198812070380318</v>
      </c>
      <c r="HQ346" s="60" t="n">
        <f aca="false">$K$27/FW346*(HH346-1)-HJ346-HI346*(2*FP346/FV346-$K$27/FW346)</f>
        <v>0.198812070380318</v>
      </c>
      <c r="HR346" s="60" t="n">
        <f aca="false">$L$27/FW346*(HH346-1)-HJ346-HI346*(2*FQ346/FV346-$L$27/FW346)</f>
        <v>0.198812070380318</v>
      </c>
      <c r="HS346" s="60" t="n">
        <f aca="false">$M$27/FW346*(HH346-1)-HJ346-HI346*(2*FR346/FV346-$M$27/FW346)</f>
        <v>0.198812070380318</v>
      </c>
      <c r="HT346" s="60" t="n">
        <f aca="false">$N$27/FW346*(HH346-1)-HJ346-HI346*(2*FS346/FV346-$N$27/FW346)</f>
        <v>0.198812070380318</v>
      </c>
      <c r="HU346" s="60" t="n">
        <f aca="false">$O$27/FW346*(HH346-1)-HJ346-HI346*(2*FT346/FV346-$O$27/FW346)</f>
        <v>0.198812070380318</v>
      </c>
      <c r="HV346" s="60" t="n">
        <f aca="false">$P$27/FW346*(HH346-1)-HJ346-HI346*(2*FU346/FV346-$P$27/FW346)</f>
        <v>0.198812070380318</v>
      </c>
      <c r="HW346" s="60" t="n">
        <f aca="false">FY346/HH346&gt;$C$22</f>
        <v>0</v>
      </c>
      <c r="HX346" s="60" t="n">
        <f aca="false">IF($E$13&gt;0,MAX(-300,MIN(300,EW346-HK346)),0)</f>
        <v>0</v>
      </c>
      <c r="HY346" s="60" t="n">
        <f aca="false">IF($F$13&gt;0,MAX(-300,MIN(300,EX346-HL346)),0)</f>
        <v>0</v>
      </c>
      <c r="HZ346" s="60" t="n">
        <f aca="false">IF($G$13&gt;0,MAX(-300,MIN(300,EY346-HM346)),0)</f>
        <v>0</v>
      </c>
      <c r="IA346" s="60" t="n">
        <f aca="false">IF($H$13&gt;0,MAX(-300,MIN(300,EZ346-HN346)),0)</f>
        <v>0</v>
      </c>
      <c r="IB346" s="60" t="n">
        <f aca="false">IF($I$13&gt;0,MAX(-300,MIN(300,FA346-HO346)),0)</f>
        <v>0</v>
      </c>
      <c r="IC346" s="60" t="n">
        <f aca="false">IF($J$13&gt;0,MAX(-300,MIN(300,FB346-HP346)),0)</f>
        <v>0</v>
      </c>
      <c r="ID346" s="60" t="n">
        <f aca="false">IF($K$13&gt;0,MAX(-300,MIN(300,FC346-HQ346)),0)</f>
        <v>0</v>
      </c>
      <c r="IE346" s="60" t="n">
        <f aca="false">IF($L$13&gt;0,MAX(-300,MIN(300,FD346-HR346)),0)</f>
        <v>0</v>
      </c>
      <c r="IF346" s="60" t="n">
        <f aca="false">IF($M$13&gt;0,MAX(-300,MIN(300,FE346-HS346)),0)</f>
        <v>0</v>
      </c>
      <c r="IG346" s="60" t="n">
        <f aca="false">IF($N$13&gt;0,MAX(-300,MIN(300,FF346-HT346)),0)</f>
        <v>0</v>
      </c>
      <c r="IH346" s="60" t="n">
        <f aca="false">IF($O$13&gt;0,MAX(-300,MIN(300,FG346-HU346)),0)</f>
        <v>0</v>
      </c>
      <c r="II346" s="60" t="n">
        <f aca="false">IF($P$13&gt;0,MAX(-300,MIN(300,FH346-HV346)),0)</f>
        <v>0</v>
      </c>
      <c r="IJ346" s="60" t="n">
        <f aca="false">SUMXMY2(HX346:II346,B346:M346)</f>
        <v>0</v>
      </c>
      <c r="IK346" s="60" t="n">
        <f aca="false">SUMSQ(B346:M346)</f>
        <v>0</v>
      </c>
    </row>
    <row r="347" customFormat="false" ht="15" hidden="false" customHeight="false" outlineLevel="0" collapsed="false">
      <c r="A347" s="59" t="n">
        <v>50</v>
      </c>
      <c r="B347" s="60" t="n">
        <f aca="false">HX346</f>
        <v>0</v>
      </c>
      <c r="C347" s="60" t="n">
        <f aca="false">HY346</f>
        <v>0</v>
      </c>
      <c r="D347" s="60" t="n">
        <f aca="false">HZ346</f>
        <v>0</v>
      </c>
      <c r="E347" s="60" t="n">
        <f aca="false">IA346</f>
        <v>0</v>
      </c>
      <c r="F347" s="60" t="n">
        <f aca="false">IB346</f>
        <v>0</v>
      </c>
      <c r="G347" s="60" t="n">
        <f aca="false">IC346</f>
        <v>0</v>
      </c>
      <c r="H347" s="60" t="n">
        <f aca="false">ID346</f>
        <v>0</v>
      </c>
      <c r="I347" s="60" t="n">
        <f aca="false">IE346</f>
        <v>0</v>
      </c>
      <c r="J347" s="60" t="n">
        <f aca="false">IF346</f>
        <v>0</v>
      </c>
      <c r="K347" s="60" t="n">
        <f aca="false">IG346</f>
        <v>0</v>
      </c>
      <c r="L347" s="60" t="n">
        <f aca="false">IH346</f>
        <v>0</v>
      </c>
      <c r="M347" s="60" t="n">
        <f aca="false">II346</f>
        <v>0</v>
      </c>
      <c r="N347" s="60" t="n">
        <f aca="false">EXP(B347)</f>
        <v>1</v>
      </c>
      <c r="O347" s="60" t="n">
        <f aca="false">EXP(C347)</f>
        <v>1</v>
      </c>
      <c r="P347" s="60" t="n">
        <f aca="false">EXP(D347)</f>
        <v>1</v>
      </c>
      <c r="Q347" s="60" t="n">
        <f aca="false">EXP(E347)</f>
        <v>1</v>
      </c>
      <c r="R347" s="60" t="n">
        <f aca="false">EXP(F347)</f>
        <v>1</v>
      </c>
      <c r="S347" s="60" t="n">
        <f aca="false">EXP(G347)</f>
        <v>1</v>
      </c>
      <c r="T347" s="60" t="n">
        <f aca="false">EXP(H347)</f>
        <v>1</v>
      </c>
      <c r="U347" s="60" t="n">
        <f aca="false">EXP(I347)</f>
        <v>1</v>
      </c>
      <c r="V347" s="60" t="n">
        <f aca="false">EXP(J347)</f>
        <v>1</v>
      </c>
      <c r="W347" s="60" t="n">
        <f aca="false">EXP(K347)</f>
        <v>1</v>
      </c>
      <c r="X347" s="60" t="n">
        <f aca="false">EXP(L347)</f>
        <v>1</v>
      </c>
      <c r="Y347" s="60" t="n">
        <f aca="false">EXP(M347)</f>
        <v>1</v>
      </c>
      <c r="Z347" s="60" t="n">
        <f aca="false">MAX(N347:Y347)</f>
        <v>1</v>
      </c>
      <c r="AA347" s="60" t="n">
        <f aca="false">MIN(N347:Y347)</f>
        <v>1</v>
      </c>
      <c r="AB347" s="60" t="n">
        <f aca="false">AND(Z347&gt;1,AA347&lt;1)</f>
        <v>0</v>
      </c>
      <c r="AC347" s="60" t="n">
        <f aca="false">IF(AB347,1/(1-Z347),0)</f>
        <v>0</v>
      </c>
      <c r="AD347" s="60" t="n">
        <f aca="false">IF(AB347,1/(1-AA347),1)</f>
        <v>1</v>
      </c>
      <c r="AE347" s="60" t="n">
        <f aca="false">IF(AB347,MIN(MAX(BI346,AC347+0.000000001*(AD347-AC347)),AD347-0.000000001*(AD347-AC347)),IF(AA347&gt;=1,1,0))</f>
        <v>1</v>
      </c>
      <c r="AF347" s="60" t="n">
        <f aca="false">SUMPRODUCT($E$13:$P$13*(N347:Y347-1)/(1+AE347*(N347:Y347-1)))</f>
        <v>0</v>
      </c>
      <c r="AG347" s="60" t="n">
        <f aca="false">-SUMPRODUCT($E$13:$P$13*(N347:Y347-1)^2/(1+AE347*(N347:Y347-1))^2)</f>
        <v>-0</v>
      </c>
      <c r="AH347" s="60" t="n">
        <f aca="false">IF(OR(NOT(AB347),AG347=0),AE347,IF(AE347-AF347/AG347&lt;=AC347,(AE347+AC347)/2,IF(AE347-AF347/AG347&gt;=AD347,(AE347+AD347)/2,AE347-AF347/AG347)))</f>
        <v>1</v>
      </c>
      <c r="AI347" s="60" t="n">
        <f aca="false">SUMPRODUCT($E$13:$P$13*(N347:Y347-1)/(1+AH347*(N347:Y347-1)))</f>
        <v>0</v>
      </c>
      <c r="AJ347" s="60" t="n">
        <f aca="false">-SUMPRODUCT($E$13:$P$13*(N347:Y347-1)^2/(1+AH347*(N347:Y347-1))^2)</f>
        <v>-0</v>
      </c>
      <c r="AK347" s="60" t="n">
        <f aca="false">IF(OR(NOT(AB347),AJ347=0),AH347,IF(AH347-AI347/AJ347&lt;=AC347,(AH347+AC347)/2,IF(AH347-AI347/AJ347&gt;=AD347,(AH347+AD347)/2,AH347-AI347/AJ347)))</f>
        <v>1</v>
      </c>
      <c r="AL347" s="60" t="n">
        <f aca="false">SUMPRODUCT($E$13:$P$13*(N347:Y347-1)/(1+AK347*(N347:Y347-1)))</f>
        <v>0</v>
      </c>
      <c r="AM347" s="60" t="n">
        <f aca="false">-SUMPRODUCT($E$13:$P$13*(N347:Y347-1)^2/(1+AK347*(N347:Y347-1))^2)</f>
        <v>-0</v>
      </c>
      <c r="AN347" s="60" t="n">
        <f aca="false">IF(OR(NOT(AB347),AM347=0),AK347,IF(AK347-AL347/AM347&lt;=AC347,(AK347+AC347)/2,IF(AK347-AL347/AM347&gt;=AD347,(AK347+AD347)/2,AK347-AL347/AM347)))</f>
        <v>1</v>
      </c>
      <c r="AO347" s="60" t="n">
        <f aca="false">SUMPRODUCT($E$13:$P$13*(N347:Y347-1)/(1+AN347*(N347:Y347-1)))</f>
        <v>0</v>
      </c>
      <c r="AP347" s="60" t="n">
        <f aca="false">-SUMPRODUCT($E$13:$P$13*(N347:Y347-1)^2/(1+AN347*(N347:Y347-1))^2)</f>
        <v>-0</v>
      </c>
      <c r="AQ347" s="60" t="n">
        <f aca="false">IF(OR(NOT(AB347),AP347=0),AN347,IF(AN347-AO347/AP347&lt;=AC347,(AN347+AC347)/2,IF(AN347-AO347/AP347&gt;=AD347,(AN347+AD347)/2,AN347-AO347/AP347)))</f>
        <v>1</v>
      </c>
      <c r="AR347" s="60" t="n">
        <f aca="false">SUMPRODUCT($E$13:$P$13*(N347:Y347-1)/(1+AQ347*(N347:Y347-1)))</f>
        <v>0</v>
      </c>
      <c r="AS347" s="60" t="n">
        <f aca="false">-SUMPRODUCT($E$13:$P$13*(N347:Y347-1)^2/(1+AQ347*(N347:Y347-1))^2)</f>
        <v>-0</v>
      </c>
      <c r="AT347" s="60" t="n">
        <f aca="false">IF(OR(NOT(AB347),AS347=0),AQ347,IF(AQ347-AR347/AS347&lt;=AC347,(AQ347+AC347)/2,IF(AQ347-AR347/AS347&gt;=AD347,(AQ347+AD347)/2,AQ347-AR347/AS347)))</f>
        <v>1</v>
      </c>
      <c r="AU347" s="60" t="n">
        <f aca="false">SUMPRODUCT($E$13:$P$13*(N347:Y347-1)/(1+AT347*(N347:Y347-1)))</f>
        <v>0</v>
      </c>
      <c r="AV347" s="60" t="n">
        <f aca="false">-SUMPRODUCT($E$13:$P$13*(N347:Y347-1)^2/(1+AT347*(N347:Y347-1))^2)</f>
        <v>-0</v>
      </c>
      <c r="AW347" s="60" t="n">
        <f aca="false">IF(OR(NOT(AB347),AV347=0),AT347,IF(AT347-AU347/AV347&lt;=AC347,(AT347+AC347)/2,IF(AT347-AU347/AV347&gt;=AD347,(AT347+AD347)/2,AT347-AU347/AV347)))</f>
        <v>1</v>
      </c>
      <c r="AX347" s="60" t="n">
        <f aca="false">SUMPRODUCT($E$13:$P$13*(N347:Y347-1)/(1+AW347*(N347:Y347-1)))</f>
        <v>0</v>
      </c>
      <c r="AY347" s="60" t="n">
        <f aca="false">-SUMPRODUCT($E$13:$P$13*(N347:Y347-1)^2/(1+AW347*(N347:Y347-1))^2)</f>
        <v>-0</v>
      </c>
      <c r="AZ347" s="60" t="n">
        <f aca="false">IF(OR(NOT(AB347),AY347=0),AW347,IF(AW347-AX347/AY347&lt;=AC347,(AW347+AC347)/2,IF(AW347-AX347/AY347&gt;=AD347,(AW347+AD347)/2,AW347-AX347/AY347)))</f>
        <v>1</v>
      </c>
      <c r="BA347" s="60" t="n">
        <f aca="false">SUMPRODUCT($E$13:$P$13*(N347:Y347-1)/(1+AZ347*(N347:Y347-1)))</f>
        <v>0</v>
      </c>
      <c r="BB347" s="60" t="n">
        <f aca="false">-SUMPRODUCT($E$13:$P$13*(N347:Y347-1)^2/(1+AZ347*(N347:Y347-1))^2)</f>
        <v>-0</v>
      </c>
      <c r="BC347" s="60" t="n">
        <f aca="false">IF(OR(NOT(AB347),BB347=0),AZ347,IF(AZ347-BA347/BB347&lt;=AC347,(AZ347+AC347)/2,IF(AZ347-BA347/BB347&gt;=AD347,(AZ347+AD347)/2,AZ347-BA347/BB347)))</f>
        <v>1</v>
      </c>
      <c r="BD347" s="60" t="n">
        <f aca="false">SUMPRODUCT($E$13:$P$13*(N347:Y347-1)/(1+BC347*(N347:Y347-1)))</f>
        <v>0</v>
      </c>
      <c r="BE347" s="60" t="n">
        <f aca="false">-SUMPRODUCT($E$13:$P$13*(N347:Y347-1)^2/(1+BC347*(N347:Y347-1))^2)</f>
        <v>-0</v>
      </c>
      <c r="BF347" s="60" t="n">
        <f aca="false">IF(OR(NOT(AB347),BE347=0),BC347,IF(BC347-BD347/BE347&lt;=AC347,(BC347+AC347)/2,IF(BC347-BD347/BE347&gt;=AD347,(BC347+AD347)/2,BC347-BD347/BE347)))</f>
        <v>1</v>
      </c>
      <c r="BG347" s="60" t="n">
        <f aca="false">SUMPRODUCT($E$13:$P$13*(N347:Y347-1)/(1+BF347*(N347:Y347-1)))</f>
        <v>0</v>
      </c>
      <c r="BH347" s="60" t="n">
        <f aca="false">-SUMPRODUCT($E$13:$P$13*(N347:Y347-1)^2/(1+BF347*(N347:Y347-1))^2)</f>
        <v>-0</v>
      </c>
      <c r="BI347" s="60" t="n">
        <f aca="false">IF(OR(NOT(AB347),BH347=0),BF347,IF(BF347-BG347/BH347&lt;=AC347,(BF347+AC347)/2,IF(BF347-BG347/BH347&gt;=AD347,(BF347+AD347)/2,BF347-BG347/BH347)))</f>
        <v>1</v>
      </c>
      <c r="BJ347" s="60" t="n">
        <f aca="false">$E$13/(1+BI347*(N347-1))</f>
        <v>1</v>
      </c>
      <c r="BK347" s="60" t="n">
        <f aca="false">$F$13/(1+BI347*(O347-1))</f>
        <v>0</v>
      </c>
      <c r="BL347" s="60" t="n">
        <f aca="false">$G$13/(1+BI347*(P347-1))</f>
        <v>0</v>
      </c>
      <c r="BM347" s="60" t="n">
        <f aca="false">$H$13/(1+BI347*(Q347-1))</f>
        <v>0</v>
      </c>
      <c r="BN347" s="60" t="n">
        <f aca="false">$I$13/(1+BI347*(R347-1))</f>
        <v>0</v>
      </c>
      <c r="BO347" s="60" t="n">
        <f aca="false">$J$13/(1+BI347*(S347-1))</f>
        <v>0</v>
      </c>
      <c r="BP347" s="60" t="n">
        <f aca="false">$K$13/(1+BI347*(T347-1))</f>
        <v>0</v>
      </c>
      <c r="BQ347" s="60" t="n">
        <f aca="false">$L$13/(1+BI347*(U347-1))</f>
        <v>0</v>
      </c>
      <c r="BR347" s="60" t="n">
        <f aca="false">$M$13/(1+BI347*(V347-1))</f>
        <v>0</v>
      </c>
      <c r="BS347" s="60" t="n">
        <f aca="false">$N$13/(1+BI347*(W347-1))</f>
        <v>0</v>
      </c>
      <c r="BT347" s="60" t="n">
        <f aca="false">$O$13/(1+BI347*(X347-1))</f>
        <v>0</v>
      </c>
      <c r="BU347" s="60" t="n">
        <f aca="false">$P$13/(1+BI347*(Y347-1))</f>
        <v>0</v>
      </c>
      <c r="BV347" s="60" t="n">
        <f aca="false">SUM(BJ347:BU347)</f>
        <v>1</v>
      </c>
      <c r="BW347" s="60" t="n">
        <f aca="false">SUMPRODUCT(N347:Y347,BJ347:BU347)</f>
        <v>1</v>
      </c>
      <c r="BX347" s="60" t="n">
        <f aca="false">BJ347/BV347</f>
        <v>1</v>
      </c>
      <c r="BY347" s="60" t="n">
        <f aca="false">BK347/BV347</f>
        <v>0</v>
      </c>
      <c r="BZ347" s="60" t="n">
        <f aca="false">BL347/BV347</f>
        <v>0</v>
      </c>
      <c r="CA347" s="60" t="n">
        <f aca="false">BM347/BV347</f>
        <v>0</v>
      </c>
      <c r="CB347" s="60" t="n">
        <f aca="false">BN347/BV347</f>
        <v>0</v>
      </c>
      <c r="CC347" s="60" t="n">
        <f aca="false">BO347/BV347</f>
        <v>0</v>
      </c>
      <c r="CD347" s="60" t="n">
        <f aca="false">BP347/BV347</f>
        <v>0</v>
      </c>
      <c r="CE347" s="60" t="n">
        <f aca="false">BQ347/BV347</f>
        <v>0</v>
      </c>
      <c r="CF347" s="60" t="n">
        <f aca="false">BR347/BV347</f>
        <v>0</v>
      </c>
      <c r="CG347" s="60" t="n">
        <f aca="false">BS347/BV347</f>
        <v>0</v>
      </c>
      <c r="CH347" s="60" t="n">
        <f aca="false">BT347/BV347</f>
        <v>0</v>
      </c>
      <c r="CI347" s="60" t="n">
        <f aca="false">BU347/BV347</f>
        <v>0</v>
      </c>
      <c r="CJ347" s="60" t="n">
        <f aca="false">N347*BJ347/BW347</f>
        <v>1</v>
      </c>
      <c r="CK347" s="60" t="n">
        <f aca="false">O347*BK347/BW347</f>
        <v>0</v>
      </c>
      <c r="CL347" s="60" t="n">
        <f aca="false">P347*BL347/BW347</f>
        <v>0</v>
      </c>
      <c r="CM347" s="60" t="n">
        <f aca="false">Q347*BM347/BW347</f>
        <v>0</v>
      </c>
      <c r="CN347" s="60" t="n">
        <f aca="false">R347*BN347/BW347</f>
        <v>0</v>
      </c>
      <c r="CO347" s="60" t="n">
        <f aca="false">S347*BO347/BW347</f>
        <v>0</v>
      </c>
      <c r="CP347" s="60" t="n">
        <f aca="false">T347*BP347/BW347</f>
        <v>0</v>
      </c>
      <c r="CQ347" s="60" t="n">
        <f aca="false">U347*BQ347/BW347</f>
        <v>0</v>
      </c>
      <c r="CR347" s="60" t="n">
        <f aca="false">V347*BR347/BW347</f>
        <v>0</v>
      </c>
      <c r="CS347" s="60" t="n">
        <f aca="false">W347*BS347/BW347</f>
        <v>0</v>
      </c>
      <c r="CT347" s="60" t="n">
        <f aca="false">X347*BT347/BW347</f>
        <v>0</v>
      </c>
      <c r="CU347" s="60" t="n">
        <f aca="false">Y347*BU347/BW347</f>
        <v>0</v>
      </c>
      <c r="CV347" s="60" t="n">
        <f aca="false">$E$28*SUMPRODUCT($E$31:$P$31,BX347:CI347,$E$28:$P$28)</f>
        <v>0.184416866619846</v>
      </c>
      <c r="CW347" s="60" t="n">
        <f aca="false">$F$28*SUMPRODUCT($E$32:$P$32,BX347:CI347,$E$28:$P$28)</f>
        <v>0</v>
      </c>
      <c r="CX347" s="60" t="n">
        <f aca="false">$G$28*SUMPRODUCT($E$33:$P$33,BX347:CI347,$E$28:$P$28)</f>
        <v>0</v>
      </c>
      <c r="CY347" s="60" t="n">
        <f aca="false">$H$28*SUMPRODUCT($E$34:$P$34,BX347:CI347,$E$28:$P$28)</f>
        <v>0</v>
      </c>
      <c r="CZ347" s="60" t="n">
        <f aca="false">$I$28*SUMPRODUCT($E$35:$P$35,BX347:CI347,$E$28:$P$28)</f>
        <v>0</v>
      </c>
      <c r="DA347" s="60" t="n">
        <f aca="false">$J$28*SUMPRODUCT($E$36:$P$36,BX347:CI347,$E$28:$P$28)</f>
        <v>0</v>
      </c>
      <c r="DB347" s="60" t="n">
        <f aca="false">$K$28*SUMPRODUCT($E$37:$P$37,BX347:CI347,$E$28:$P$28)</f>
        <v>0</v>
      </c>
      <c r="DC347" s="60" t="n">
        <f aca="false">$L$28*SUMPRODUCT($E$38:$P$38,BX347:CI347,$E$28:$P$28)</f>
        <v>0</v>
      </c>
      <c r="DD347" s="60" t="n">
        <f aca="false">$M$28*SUMPRODUCT($E$39:$P$39,BX347:CI347,$E$28:$P$28)</f>
        <v>0</v>
      </c>
      <c r="DE347" s="60" t="n">
        <f aca="false">$N$28*SUMPRODUCT($E$40:$P$40,BX347:CI347,$E$28:$P$28)</f>
        <v>0</v>
      </c>
      <c r="DF347" s="60" t="n">
        <f aca="false">$O$28*SUMPRODUCT($E$41:$P$41,BX347:CI347,$E$28:$P$28)</f>
        <v>0</v>
      </c>
      <c r="DG347" s="60" t="n">
        <f aca="false">$P$28*SUMPRODUCT($E$42:$P$42,BX347:CI347,$E$28:$P$28)</f>
        <v>0</v>
      </c>
      <c r="DH347" s="60" t="n">
        <f aca="false">SUMPRODUCT(BX347:CI347,CV347:DG347)</f>
        <v>0.184416866619846</v>
      </c>
      <c r="DI347" s="60" t="n">
        <f aca="false">SUMPRODUCT(BX347:CI347,$E$27:$P$27)</f>
        <v>2.67389635063809E-005</v>
      </c>
      <c r="DJ347" s="60" t="n">
        <f aca="false">DH347*$C$9/($C$10*$C$8)^2</f>
        <v>0.21776909410545</v>
      </c>
      <c r="DK347" s="60" t="n">
        <f aca="false">DI347*$C$9/($C$10*$C$8)</f>
        <v>0.0918845243259994</v>
      </c>
      <c r="DL347" s="60" t="n">
        <f aca="false">CHOOSE($C$7,-(1+DK347),-1,-(1-DK347))</f>
        <v>-0.908115475674001</v>
      </c>
      <c r="DM347" s="60" t="n">
        <f aca="false">CHOOSE($C$7,DJ347,DJ347-DK347-DK347^2,DJ347-3*DK347^2-2*DK347)</f>
        <v>0.00867174802160559</v>
      </c>
      <c r="DN347" s="60" t="n">
        <f aca="false">CHOOSE($C$7,-DJ347*DK347,-DJ347*DK347,-(DJ347*DK347-DK347^2-DK347^3))</f>
        <v>-0.0107910842936637</v>
      </c>
      <c r="DO347" s="60" t="n">
        <f aca="false">DM347-DL347^2/3</f>
        <v>-0.266219491031267</v>
      </c>
      <c r="DP347" s="60" t="n">
        <f aca="false">2*DL347^3/27-DL347*DM347/3+DN347</f>
        <v>-0.0636400988362784</v>
      </c>
      <c r="DQ347" s="60" t="n">
        <f aca="false">DP347^2/4+DO347^3/27</f>
        <v>0.000313710901361829</v>
      </c>
      <c r="DR347" s="60" t="n">
        <f aca="false">-DP347/2-IF(DP347&gt;=0,1,-1)*SQRT(MAX(DQ347,0))</f>
        <v>0.0495319352963236</v>
      </c>
      <c r="DS347" s="60" t="n">
        <f aca="false">SIGN(DR347)*ABS(DR347)^(1/3)</f>
        <v>0.367249967174439</v>
      </c>
      <c r="DT347" s="60" t="n">
        <f aca="false">IF(DS347=0,0,DS347-DO347/(3*DS347))</f>
        <v>0.60888329127384</v>
      </c>
      <c r="DU347" s="60" t="n">
        <f aca="false">2*SQRT(MAX(-DO347,0)/3)</f>
        <v>0.595784626668918</v>
      </c>
      <c r="DV347" s="60" t="n">
        <f aca="false">ACOS(IF(DU347=0,0,MAX(-1,MIN(1,3*DP347/(DO347*DU347)))))</f>
        <v>0</v>
      </c>
      <c r="DW347" s="60" t="n">
        <f aca="false">DU347*COS(DV347/3)</f>
        <v>0.595784626668918</v>
      </c>
      <c r="DX347" s="60" t="n">
        <f aca="false">IF(DQ347&lt;0,DW347,DT347)-DL347/3</f>
        <v>0.91158844983184</v>
      </c>
      <c r="DY347" s="60" t="n">
        <f aca="false">IFERROR((((DX347+DL347)*DX347+DM347)*DX347+DN347)/((3*DX347+2*DL347)*DX347+DM347),0)</f>
        <v>0</v>
      </c>
      <c r="DZ347" s="60" t="n">
        <f aca="false">IF(ABS(DY347)&lt;0.1*ABS(DX347),DX347-DY347,DX347)</f>
        <v>0.91158844983184</v>
      </c>
      <c r="EA347" s="60" t="n">
        <f aca="false">IFERROR((((DZ347+DL347)*DZ347+DM347)*DZ347+DN347)/((3*DZ347+2*DL347)*DZ347+DM347),0)</f>
        <v>0</v>
      </c>
      <c r="EB347" s="60" t="n">
        <f aca="false">IF(ABS(EA347)&lt;0.1*ABS(DZ347),DZ347-EA347,DZ347)</f>
        <v>0.91158844983184</v>
      </c>
      <c r="EC347" s="60" t="n">
        <f aca="false">-DN347/EB347</f>
        <v>0.0118376711504565</v>
      </c>
      <c r="ED347" s="60" t="n">
        <f aca="false">(DM347-EC347)/EB347</f>
        <v>-0.00347297415783941</v>
      </c>
      <c r="EE347" s="60" t="n">
        <f aca="false">ED347^2-4*EC347</f>
        <v>-0.0473386230523248</v>
      </c>
      <c r="EF347" s="60" t="n">
        <f aca="false">IF(EE347&gt;=0,(ED347+IF(ED347&gt;=0,1,-1)*SQRT(EE347))/2,0)</f>
        <v>0</v>
      </c>
      <c r="EG347" s="60" t="n">
        <f aca="false">IF(AND(EE347&gt;=0,EF347&lt;&gt;0),MIN(EF347,EC347/EF347),-1)</f>
        <v>-1</v>
      </c>
      <c r="EH347" s="60" t="n">
        <f aca="false">AND(EE347&gt;=0,EG347&gt;DK347,ABS(EB347-EG347)&gt;=0.00005*MAX(EB347,EG347))</f>
        <v>0</v>
      </c>
      <c r="EI347" s="60" t="n">
        <f aca="false">IF(EH347,IFERROR((((EG347+DL347)*EG347+DM347)*EG347+DN347)/((3*EG347+2*DL347)*EG347+DM347),0),0)</f>
        <v>0</v>
      </c>
      <c r="EJ347" s="60" t="n">
        <f aca="false">IF(ABS(EI347)&lt;0.1*ABS(EG347),EG347-EI347,EG347)</f>
        <v>-1</v>
      </c>
      <c r="EK347" s="60" t="n">
        <f aca="false">IF(EH347,IFERROR((((EJ347+DL347)*EJ347+DM347)*EJ347+DN347)/((3*EJ347+2*DL347)*EJ347+DM347),0),0)</f>
        <v>0</v>
      </c>
      <c r="EL347" s="60" t="n">
        <f aca="false">IF(ABS(EK347)&lt;0.1*ABS(EJ347),EJ347-EK347,EJ347)</f>
        <v>-1</v>
      </c>
      <c r="EM347" s="60" t="n">
        <f aca="false">IF(EH347,MAX(EB347,EL347),EB347)</f>
        <v>0.91158844983184</v>
      </c>
      <c r="EN347" s="60" t="n">
        <f aca="false">IF(EH347,MIN(EB347,EL347),-1)</f>
        <v>-1</v>
      </c>
      <c r="EO347" s="60" t="n">
        <f aca="false">CHOOSE($C$7,DJ347/EM347,DJ347/DK347*LN(1+DK347/EM347),DJ347/(2*SQRT(2)*DK347)*LN((EM347+(1+SQRT(2))*DK347)/(EM347+(1-SQRT(2))*DK347)))</f>
        <v>0.218240791233887</v>
      </c>
      <c r="EP347" s="60" t="n">
        <f aca="false">EM347-1-LN(EM347-DK347)-EO347</f>
        <v>-0.107840271021729</v>
      </c>
      <c r="EQ347" s="60" t="n">
        <f aca="false">IF(EH347,CHOOSE($C$7,DJ347/EN347,DJ347/DK347*LN(1+DK347/EN347),DJ347/(2*SQRT(2)*DK347)*LN((EN347+(1+SQRT(2))*DK347)/(EN347+(1-SQRT(2))*DK347))),0)</f>
        <v>0</v>
      </c>
      <c r="ER347" s="60" t="n">
        <f aca="false">IF(EH347,EN347-1-LN(EN347-DK347)-EQ347,0)</f>
        <v>0</v>
      </c>
      <c r="ES347" s="60" t="n">
        <f aca="false">AND(EH347,ER347&lt;EP347)</f>
        <v>0</v>
      </c>
      <c r="ET347" s="60" t="n">
        <f aca="false">IF(ES347,EN347,EM347)</f>
        <v>0.91158844983184</v>
      </c>
      <c r="EU347" s="60" t="n">
        <f aca="false">IF(ES347,EQ347,EO347)</f>
        <v>0.218240791233887</v>
      </c>
      <c r="EV347" s="60" t="n">
        <f aca="false">LN(ET347-DK347)</f>
        <v>-0.198812070380318</v>
      </c>
      <c r="EW347" s="60" t="n">
        <f aca="false">$E$27/DI347*(ET347-1)-EV347-EU347*(2*CV347/DH347-$E$27/DI347)</f>
        <v>-0.107840271021729</v>
      </c>
      <c r="EX347" s="60" t="n">
        <f aca="false">$F$27/DI347*(ET347-1)-EV347-EU347*(2*CW347/DH347-$F$27/DI347)</f>
        <v>0.198812070380318</v>
      </c>
      <c r="EY347" s="60" t="n">
        <f aca="false">$G$27/DI347*(ET347-1)-EV347-EU347*(2*CX347/DH347-$G$27/DI347)</f>
        <v>0.198812070380318</v>
      </c>
      <c r="EZ347" s="60" t="n">
        <f aca="false">$H$27/DI347*(ET347-1)-EV347-EU347*(2*CY347/DH347-$H$27/DI347)</f>
        <v>0.198812070380318</v>
      </c>
      <c r="FA347" s="60" t="n">
        <f aca="false">$I$27/DI347*(ET347-1)-EV347-EU347*(2*CZ347/DH347-$I$27/DI347)</f>
        <v>0.198812070380318</v>
      </c>
      <c r="FB347" s="60" t="n">
        <f aca="false">$J$27/DI347*(ET347-1)-EV347-EU347*(2*DA347/DH347-$J$27/DI347)</f>
        <v>0.198812070380318</v>
      </c>
      <c r="FC347" s="60" t="n">
        <f aca="false">$K$27/DI347*(ET347-1)-EV347-EU347*(2*DB347/DH347-$K$27/DI347)</f>
        <v>0.198812070380318</v>
      </c>
      <c r="FD347" s="60" t="n">
        <f aca="false">$L$27/DI347*(ET347-1)-EV347-EU347*(2*DC347/DH347-$L$27/DI347)</f>
        <v>0.198812070380318</v>
      </c>
      <c r="FE347" s="60" t="n">
        <f aca="false">$M$27/DI347*(ET347-1)-EV347-EU347*(2*DD347/DH347-$M$27/DI347)</f>
        <v>0.198812070380318</v>
      </c>
      <c r="FF347" s="60" t="n">
        <f aca="false">$N$27/DI347*(ET347-1)-EV347-EU347*(2*DE347/DH347-$N$27/DI347)</f>
        <v>0.198812070380318</v>
      </c>
      <c r="FG347" s="60" t="n">
        <f aca="false">$O$27/DI347*(ET347-1)-EV347-EU347*(2*DF347/DH347-$O$27/DI347)</f>
        <v>0.198812070380318</v>
      </c>
      <c r="FH347" s="60" t="n">
        <f aca="false">$P$27/DI347*(ET347-1)-EV347-EU347*(2*DG347/DH347-$P$27/DI347)</f>
        <v>0.198812070380318</v>
      </c>
      <c r="FI347" s="60" t="n">
        <f aca="false">DK347/ET347&gt;$C$22</f>
        <v>0</v>
      </c>
      <c r="FJ347" s="60" t="n">
        <f aca="false">$E$28*SUMPRODUCT($E$31:$P$31,CJ347:CU347,$E$28:$P$28)</f>
        <v>0.184416866619846</v>
      </c>
      <c r="FK347" s="60" t="n">
        <f aca="false">$F$28*SUMPRODUCT($E$32:$P$32,CJ347:CU347,$E$28:$P$28)</f>
        <v>0</v>
      </c>
      <c r="FL347" s="60" t="n">
        <f aca="false">$G$28*SUMPRODUCT($E$33:$P$33,CJ347:CU347,$E$28:$P$28)</f>
        <v>0</v>
      </c>
      <c r="FM347" s="60" t="n">
        <f aca="false">$H$28*SUMPRODUCT($E$34:$P$34,CJ347:CU347,$E$28:$P$28)</f>
        <v>0</v>
      </c>
      <c r="FN347" s="60" t="n">
        <f aca="false">$I$28*SUMPRODUCT($E$35:$P$35,CJ347:CU347,$E$28:$P$28)</f>
        <v>0</v>
      </c>
      <c r="FO347" s="60" t="n">
        <f aca="false">$J$28*SUMPRODUCT($E$36:$P$36,CJ347:CU347,$E$28:$P$28)</f>
        <v>0</v>
      </c>
      <c r="FP347" s="60" t="n">
        <f aca="false">$K$28*SUMPRODUCT($E$37:$P$37,CJ347:CU347,$E$28:$P$28)</f>
        <v>0</v>
      </c>
      <c r="FQ347" s="60" t="n">
        <f aca="false">$L$28*SUMPRODUCT($E$38:$P$38,CJ347:CU347,$E$28:$P$28)</f>
        <v>0</v>
      </c>
      <c r="FR347" s="60" t="n">
        <f aca="false">$M$28*SUMPRODUCT($E$39:$P$39,CJ347:CU347,$E$28:$P$28)</f>
        <v>0</v>
      </c>
      <c r="FS347" s="60" t="n">
        <f aca="false">$N$28*SUMPRODUCT($E$40:$P$40,CJ347:CU347,$E$28:$P$28)</f>
        <v>0</v>
      </c>
      <c r="FT347" s="60" t="n">
        <f aca="false">$O$28*SUMPRODUCT($E$41:$P$41,CJ347:CU347,$E$28:$P$28)</f>
        <v>0</v>
      </c>
      <c r="FU347" s="60" t="n">
        <f aca="false">$P$28*SUMPRODUCT($E$42:$P$42,CJ347:CU347,$E$28:$P$28)</f>
        <v>0</v>
      </c>
      <c r="FV347" s="60" t="n">
        <f aca="false">SUMPRODUCT(CJ347:CU347,FJ347:FU347)</f>
        <v>0.184416866619846</v>
      </c>
      <c r="FW347" s="60" t="n">
        <f aca="false">SUMPRODUCT(CJ347:CU347,$E$27:$P$27)</f>
        <v>2.67389635063809E-005</v>
      </c>
      <c r="FX347" s="60" t="n">
        <f aca="false">FV347*$C$9/($C$10*$C$8)^2</f>
        <v>0.21776909410545</v>
      </c>
      <c r="FY347" s="60" t="n">
        <f aca="false">FW347*$C$9/($C$10*$C$8)</f>
        <v>0.0918845243259994</v>
      </c>
      <c r="FZ347" s="60" t="n">
        <f aca="false">CHOOSE($C$7,-(1+FY347),-1,-(1-FY347))</f>
        <v>-0.908115475674001</v>
      </c>
      <c r="GA347" s="60" t="n">
        <f aca="false">CHOOSE($C$7,FX347,FX347-FY347-FY347^2,FX347-3*FY347^2-2*FY347)</f>
        <v>0.00867174802160559</v>
      </c>
      <c r="GB347" s="60" t="n">
        <f aca="false">CHOOSE($C$7,-FX347*FY347,-FX347*FY347,-(FX347*FY347-FY347^2-FY347^3))</f>
        <v>-0.0107910842936637</v>
      </c>
      <c r="GC347" s="60" t="n">
        <f aca="false">GA347-FZ347^2/3</f>
        <v>-0.266219491031267</v>
      </c>
      <c r="GD347" s="60" t="n">
        <f aca="false">2*FZ347^3/27-FZ347*GA347/3+GB347</f>
        <v>-0.0636400988362784</v>
      </c>
      <c r="GE347" s="60" t="n">
        <f aca="false">GD347^2/4+GC347^3/27</f>
        <v>0.000313710901361829</v>
      </c>
      <c r="GF347" s="60" t="n">
        <f aca="false">-GD347/2-IF(GD347&gt;=0,1,-1)*SQRT(MAX(GE347,0))</f>
        <v>0.0495319352963236</v>
      </c>
      <c r="GG347" s="60" t="n">
        <f aca="false">SIGN(GF347)*ABS(GF347)^(1/3)</f>
        <v>0.367249967174439</v>
      </c>
      <c r="GH347" s="60" t="n">
        <f aca="false">IF(GG347=0,0,GG347-GC347/(3*GG347))</f>
        <v>0.60888329127384</v>
      </c>
      <c r="GI347" s="60" t="n">
        <f aca="false">2*SQRT(MAX(-GC347,0)/3)</f>
        <v>0.595784626668918</v>
      </c>
      <c r="GJ347" s="60" t="n">
        <f aca="false">ACOS(IF(GI347=0,0,MAX(-1,MIN(1,3*GD347/(GC347*GI347)))))</f>
        <v>0</v>
      </c>
      <c r="GK347" s="60" t="n">
        <f aca="false">GI347*COS(GJ347/3)</f>
        <v>0.595784626668918</v>
      </c>
      <c r="GL347" s="60" t="n">
        <f aca="false">IF(GE347&lt;0,GK347,GH347)-FZ347/3</f>
        <v>0.91158844983184</v>
      </c>
      <c r="GM347" s="60" t="n">
        <f aca="false">IFERROR((((GL347+FZ347)*GL347+GA347)*GL347+GB347)/((3*GL347+2*FZ347)*GL347+GA347),0)</f>
        <v>0</v>
      </c>
      <c r="GN347" s="60" t="n">
        <f aca="false">IF(ABS(GM347)&lt;0.1*ABS(GL347),GL347-GM347,GL347)</f>
        <v>0.91158844983184</v>
      </c>
      <c r="GO347" s="60" t="n">
        <f aca="false">IFERROR((((GN347+FZ347)*GN347+GA347)*GN347+GB347)/((3*GN347+2*FZ347)*GN347+GA347),0)</f>
        <v>0</v>
      </c>
      <c r="GP347" s="60" t="n">
        <f aca="false">IF(ABS(GO347)&lt;0.1*ABS(GN347),GN347-GO347,GN347)</f>
        <v>0.91158844983184</v>
      </c>
      <c r="GQ347" s="60" t="n">
        <f aca="false">-GB347/GP347</f>
        <v>0.0118376711504565</v>
      </c>
      <c r="GR347" s="60" t="n">
        <f aca="false">(GA347-GQ347)/GP347</f>
        <v>-0.00347297415783941</v>
      </c>
      <c r="GS347" s="60" t="n">
        <f aca="false">GR347^2-4*GQ347</f>
        <v>-0.0473386230523248</v>
      </c>
      <c r="GT347" s="60" t="n">
        <f aca="false">IF(GS347&gt;=0,(GR347+IF(GR347&gt;=0,1,-1)*SQRT(GS347))/2,0)</f>
        <v>0</v>
      </c>
      <c r="GU347" s="60" t="n">
        <f aca="false">IF(AND(GS347&gt;=0,GT347&lt;&gt;0),MIN(GT347,GQ347/GT347),-1)</f>
        <v>-1</v>
      </c>
      <c r="GV347" s="60" t="n">
        <f aca="false">AND(GS347&gt;=0,GU347&gt;FY347,ABS(GP347-GU347)&gt;=0.00005*MAX(GP347,GU347))</f>
        <v>0</v>
      </c>
      <c r="GW347" s="60" t="n">
        <f aca="false">IF(GV347,IFERROR((((GU347+FZ347)*GU347+GA347)*GU347+GB347)/((3*GU347+2*FZ347)*GU347+GA347),0),0)</f>
        <v>0</v>
      </c>
      <c r="GX347" s="60" t="n">
        <f aca="false">IF(ABS(GW347)&lt;0.1*ABS(GU347),GU347-GW347,GU347)</f>
        <v>-1</v>
      </c>
      <c r="GY347" s="60" t="n">
        <f aca="false">IF(GV347,IFERROR((((GX347+FZ347)*GX347+GA347)*GX347+GB347)/((3*GX347+2*FZ347)*GX347+GA347),0),0)</f>
        <v>0</v>
      </c>
      <c r="GZ347" s="60" t="n">
        <f aca="false">IF(ABS(GY347)&lt;0.1*ABS(GX347),GX347-GY347,GX347)</f>
        <v>-1</v>
      </c>
      <c r="HA347" s="60" t="n">
        <f aca="false">IF(GV347,MAX(GP347,GZ347),GP347)</f>
        <v>0.91158844983184</v>
      </c>
      <c r="HB347" s="60" t="n">
        <f aca="false">IF(GV347,MIN(GP347,GZ347),-1)</f>
        <v>-1</v>
      </c>
      <c r="HC347" s="60" t="n">
        <f aca="false">CHOOSE($C$7,FX347/HA347,FX347/FY347*LN(1+FY347/HA347),FX347/(2*SQRT(2)*FY347)*LN((HA347+(1+SQRT(2))*FY347)/(HA347+(1-SQRT(2))*FY347)))</f>
        <v>0.218240791233887</v>
      </c>
      <c r="HD347" s="60" t="n">
        <f aca="false">HA347-1-LN(HA347-FY347)-HC347</f>
        <v>-0.107840271021729</v>
      </c>
      <c r="HE347" s="60" t="n">
        <f aca="false">IF(GV347,CHOOSE($C$7,FX347/HB347,FX347/FY347*LN(1+FY347/HB347),FX347/(2*SQRT(2)*FY347)*LN((HB347+(1+SQRT(2))*FY347)/(HB347+(1-SQRT(2))*FY347))),0)</f>
        <v>0</v>
      </c>
      <c r="HF347" s="60" t="n">
        <f aca="false">IF(GV347,HB347-1-LN(HB347-FY347)-HE347,0)</f>
        <v>0</v>
      </c>
      <c r="HG347" s="60" t="n">
        <f aca="false">AND(GV347,HF347&lt;HD347)</f>
        <v>0</v>
      </c>
      <c r="HH347" s="60" t="n">
        <f aca="false">IF(HG347,HB347,HA347)</f>
        <v>0.91158844983184</v>
      </c>
      <c r="HI347" s="60" t="n">
        <f aca="false">IF(HG347,HE347,HC347)</f>
        <v>0.218240791233887</v>
      </c>
      <c r="HJ347" s="60" t="n">
        <f aca="false">LN(HH347-FY347)</f>
        <v>-0.198812070380318</v>
      </c>
      <c r="HK347" s="60" t="n">
        <f aca="false">$E$27/FW347*(HH347-1)-HJ347-HI347*(2*FJ347/FV347-$E$27/FW347)</f>
        <v>-0.107840271021729</v>
      </c>
      <c r="HL347" s="60" t="n">
        <f aca="false">$F$27/FW347*(HH347-1)-HJ347-HI347*(2*FK347/FV347-$F$27/FW347)</f>
        <v>0.198812070380318</v>
      </c>
      <c r="HM347" s="60" t="n">
        <f aca="false">$G$27/FW347*(HH347-1)-HJ347-HI347*(2*FL347/FV347-$G$27/FW347)</f>
        <v>0.198812070380318</v>
      </c>
      <c r="HN347" s="60" t="n">
        <f aca="false">$H$27/FW347*(HH347-1)-HJ347-HI347*(2*FM347/FV347-$H$27/FW347)</f>
        <v>0.198812070380318</v>
      </c>
      <c r="HO347" s="60" t="n">
        <f aca="false">$I$27/FW347*(HH347-1)-HJ347-HI347*(2*FN347/FV347-$I$27/FW347)</f>
        <v>0.198812070380318</v>
      </c>
      <c r="HP347" s="60" t="n">
        <f aca="false">$J$27/FW347*(HH347-1)-HJ347-HI347*(2*FO347/FV347-$J$27/FW347)</f>
        <v>0.198812070380318</v>
      </c>
      <c r="HQ347" s="60" t="n">
        <f aca="false">$K$27/FW347*(HH347-1)-HJ347-HI347*(2*FP347/FV347-$K$27/FW347)</f>
        <v>0.198812070380318</v>
      </c>
      <c r="HR347" s="60" t="n">
        <f aca="false">$L$27/FW347*(HH347-1)-HJ347-HI347*(2*FQ347/FV347-$L$27/FW347)</f>
        <v>0.198812070380318</v>
      </c>
      <c r="HS347" s="60" t="n">
        <f aca="false">$M$27/FW347*(HH347-1)-HJ347-HI347*(2*FR347/FV347-$M$27/FW347)</f>
        <v>0.198812070380318</v>
      </c>
      <c r="HT347" s="60" t="n">
        <f aca="false">$N$27/FW347*(HH347-1)-HJ347-HI347*(2*FS347/FV347-$N$27/FW347)</f>
        <v>0.198812070380318</v>
      </c>
      <c r="HU347" s="60" t="n">
        <f aca="false">$O$27/FW347*(HH347-1)-HJ347-HI347*(2*FT347/FV347-$O$27/FW347)</f>
        <v>0.198812070380318</v>
      </c>
      <c r="HV347" s="60" t="n">
        <f aca="false">$P$27/FW347*(HH347-1)-HJ347-HI347*(2*FU347/FV347-$P$27/FW347)</f>
        <v>0.198812070380318</v>
      </c>
      <c r="HW347" s="60" t="n">
        <f aca="false">FY347/HH347&gt;$C$22</f>
        <v>0</v>
      </c>
      <c r="HX347" s="60" t="n">
        <f aca="false">IF($E$13&gt;0,MAX(-300,MIN(300,EW347-HK347)),0)</f>
        <v>0</v>
      </c>
      <c r="HY347" s="60" t="n">
        <f aca="false">IF($F$13&gt;0,MAX(-300,MIN(300,EX347-HL347)),0)</f>
        <v>0</v>
      </c>
      <c r="HZ347" s="60" t="n">
        <f aca="false">IF($G$13&gt;0,MAX(-300,MIN(300,EY347-HM347)),0)</f>
        <v>0</v>
      </c>
      <c r="IA347" s="60" t="n">
        <f aca="false">IF($H$13&gt;0,MAX(-300,MIN(300,EZ347-HN347)),0)</f>
        <v>0</v>
      </c>
      <c r="IB347" s="60" t="n">
        <f aca="false">IF($I$13&gt;0,MAX(-300,MIN(300,FA347-HO347)),0)</f>
        <v>0</v>
      </c>
      <c r="IC347" s="60" t="n">
        <f aca="false">IF($J$13&gt;0,MAX(-300,MIN(300,FB347-HP347)),0)</f>
        <v>0</v>
      </c>
      <c r="ID347" s="60" t="n">
        <f aca="false">IF($K$13&gt;0,MAX(-300,MIN(300,FC347-HQ347)),0)</f>
        <v>0</v>
      </c>
      <c r="IE347" s="60" t="n">
        <f aca="false">IF($L$13&gt;0,MAX(-300,MIN(300,FD347-HR347)),0)</f>
        <v>0</v>
      </c>
      <c r="IF347" s="60" t="n">
        <f aca="false">IF($M$13&gt;0,MAX(-300,MIN(300,FE347-HS347)),0)</f>
        <v>0</v>
      </c>
      <c r="IG347" s="60" t="n">
        <f aca="false">IF($N$13&gt;0,MAX(-300,MIN(300,FF347-HT347)),0)</f>
        <v>0</v>
      </c>
      <c r="IH347" s="60" t="n">
        <f aca="false">IF($O$13&gt;0,MAX(-300,MIN(300,FG347-HU347)),0)</f>
        <v>0</v>
      </c>
      <c r="II347" s="60" t="n">
        <f aca="false">IF($P$13&gt;0,MAX(-300,MIN(300,FH347-HV347)),0)</f>
        <v>0</v>
      </c>
      <c r="IJ347" s="60" t="n">
        <f aca="false">SUMXMY2(HX347:II347,B347:M347)</f>
        <v>0</v>
      </c>
      <c r="IK347" s="60" t="n">
        <f aca="false">SUMSQ(B347:M347)</f>
        <v>0</v>
      </c>
    </row>
    <row r="348" customFormat="false" ht="15" hidden="false" customHeight="false" outlineLevel="0" collapsed="false">
      <c r="A348" s="59" t="n">
        <v>51</v>
      </c>
      <c r="B348" s="60" t="n">
        <f aca="false">HX347</f>
        <v>0</v>
      </c>
      <c r="C348" s="60" t="n">
        <f aca="false">HY347</f>
        <v>0</v>
      </c>
      <c r="D348" s="60" t="n">
        <f aca="false">HZ347</f>
        <v>0</v>
      </c>
      <c r="E348" s="60" t="n">
        <f aca="false">IA347</f>
        <v>0</v>
      </c>
      <c r="F348" s="60" t="n">
        <f aca="false">IB347</f>
        <v>0</v>
      </c>
      <c r="G348" s="60" t="n">
        <f aca="false">IC347</f>
        <v>0</v>
      </c>
      <c r="H348" s="60" t="n">
        <f aca="false">ID347</f>
        <v>0</v>
      </c>
      <c r="I348" s="60" t="n">
        <f aca="false">IE347</f>
        <v>0</v>
      </c>
      <c r="J348" s="60" t="n">
        <f aca="false">IF347</f>
        <v>0</v>
      </c>
      <c r="K348" s="60" t="n">
        <f aca="false">IG347</f>
        <v>0</v>
      </c>
      <c r="L348" s="60" t="n">
        <f aca="false">IH347</f>
        <v>0</v>
      </c>
      <c r="M348" s="60" t="n">
        <f aca="false">II347</f>
        <v>0</v>
      </c>
      <c r="N348" s="60" t="n">
        <f aca="false">EXP(B348)</f>
        <v>1</v>
      </c>
      <c r="O348" s="60" t="n">
        <f aca="false">EXP(C348)</f>
        <v>1</v>
      </c>
      <c r="P348" s="60" t="n">
        <f aca="false">EXP(D348)</f>
        <v>1</v>
      </c>
      <c r="Q348" s="60" t="n">
        <f aca="false">EXP(E348)</f>
        <v>1</v>
      </c>
      <c r="R348" s="60" t="n">
        <f aca="false">EXP(F348)</f>
        <v>1</v>
      </c>
      <c r="S348" s="60" t="n">
        <f aca="false">EXP(G348)</f>
        <v>1</v>
      </c>
      <c r="T348" s="60" t="n">
        <f aca="false">EXP(H348)</f>
        <v>1</v>
      </c>
      <c r="U348" s="60" t="n">
        <f aca="false">EXP(I348)</f>
        <v>1</v>
      </c>
      <c r="V348" s="60" t="n">
        <f aca="false">EXP(J348)</f>
        <v>1</v>
      </c>
      <c r="W348" s="60" t="n">
        <f aca="false">EXP(K348)</f>
        <v>1</v>
      </c>
      <c r="X348" s="60" t="n">
        <f aca="false">EXP(L348)</f>
        <v>1</v>
      </c>
      <c r="Y348" s="60" t="n">
        <f aca="false">EXP(M348)</f>
        <v>1</v>
      </c>
      <c r="Z348" s="60" t="n">
        <f aca="false">MAX(N348:Y348)</f>
        <v>1</v>
      </c>
      <c r="AA348" s="60" t="n">
        <f aca="false">MIN(N348:Y348)</f>
        <v>1</v>
      </c>
      <c r="AB348" s="60" t="n">
        <f aca="false">AND(Z348&gt;1,AA348&lt;1)</f>
        <v>0</v>
      </c>
      <c r="AC348" s="60" t="n">
        <f aca="false">IF(AB348,1/(1-Z348),0)</f>
        <v>0</v>
      </c>
      <c r="AD348" s="60" t="n">
        <f aca="false">IF(AB348,1/(1-AA348),1)</f>
        <v>1</v>
      </c>
      <c r="AE348" s="60" t="n">
        <f aca="false">IF(AB348,MIN(MAX(BI347,AC348+0.000000001*(AD348-AC348)),AD348-0.000000001*(AD348-AC348)),IF(AA348&gt;=1,1,0))</f>
        <v>1</v>
      </c>
      <c r="AF348" s="60" t="n">
        <f aca="false">SUMPRODUCT($E$13:$P$13*(N348:Y348-1)/(1+AE348*(N348:Y348-1)))</f>
        <v>0</v>
      </c>
      <c r="AG348" s="60" t="n">
        <f aca="false">-SUMPRODUCT($E$13:$P$13*(N348:Y348-1)^2/(1+AE348*(N348:Y348-1))^2)</f>
        <v>-0</v>
      </c>
      <c r="AH348" s="60" t="n">
        <f aca="false">IF(OR(NOT(AB348),AG348=0),AE348,IF(AE348-AF348/AG348&lt;=AC348,(AE348+AC348)/2,IF(AE348-AF348/AG348&gt;=AD348,(AE348+AD348)/2,AE348-AF348/AG348)))</f>
        <v>1</v>
      </c>
      <c r="AI348" s="60" t="n">
        <f aca="false">SUMPRODUCT($E$13:$P$13*(N348:Y348-1)/(1+AH348*(N348:Y348-1)))</f>
        <v>0</v>
      </c>
      <c r="AJ348" s="60" t="n">
        <f aca="false">-SUMPRODUCT($E$13:$P$13*(N348:Y348-1)^2/(1+AH348*(N348:Y348-1))^2)</f>
        <v>-0</v>
      </c>
      <c r="AK348" s="60" t="n">
        <f aca="false">IF(OR(NOT(AB348),AJ348=0),AH348,IF(AH348-AI348/AJ348&lt;=AC348,(AH348+AC348)/2,IF(AH348-AI348/AJ348&gt;=AD348,(AH348+AD348)/2,AH348-AI348/AJ348)))</f>
        <v>1</v>
      </c>
      <c r="AL348" s="60" t="n">
        <f aca="false">SUMPRODUCT($E$13:$P$13*(N348:Y348-1)/(1+AK348*(N348:Y348-1)))</f>
        <v>0</v>
      </c>
      <c r="AM348" s="60" t="n">
        <f aca="false">-SUMPRODUCT($E$13:$P$13*(N348:Y348-1)^2/(1+AK348*(N348:Y348-1))^2)</f>
        <v>-0</v>
      </c>
      <c r="AN348" s="60" t="n">
        <f aca="false">IF(OR(NOT(AB348),AM348=0),AK348,IF(AK348-AL348/AM348&lt;=AC348,(AK348+AC348)/2,IF(AK348-AL348/AM348&gt;=AD348,(AK348+AD348)/2,AK348-AL348/AM348)))</f>
        <v>1</v>
      </c>
      <c r="AO348" s="60" t="n">
        <f aca="false">SUMPRODUCT($E$13:$P$13*(N348:Y348-1)/(1+AN348*(N348:Y348-1)))</f>
        <v>0</v>
      </c>
      <c r="AP348" s="60" t="n">
        <f aca="false">-SUMPRODUCT($E$13:$P$13*(N348:Y348-1)^2/(1+AN348*(N348:Y348-1))^2)</f>
        <v>-0</v>
      </c>
      <c r="AQ348" s="60" t="n">
        <f aca="false">IF(OR(NOT(AB348),AP348=0),AN348,IF(AN348-AO348/AP348&lt;=AC348,(AN348+AC348)/2,IF(AN348-AO348/AP348&gt;=AD348,(AN348+AD348)/2,AN348-AO348/AP348)))</f>
        <v>1</v>
      </c>
      <c r="AR348" s="60" t="n">
        <f aca="false">SUMPRODUCT($E$13:$P$13*(N348:Y348-1)/(1+AQ348*(N348:Y348-1)))</f>
        <v>0</v>
      </c>
      <c r="AS348" s="60" t="n">
        <f aca="false">-SUMPRODUCT($E$13:$P$13*(N348:Y348-1)^2/(1+AQ348*(N348:Y348-1))^2)</f>
        <v>-0</v>
      </c>
      <c r="AT348" s="60" t="n">
        <f aca="false">IF(OR(NOT(AB348),AS348=0),AQ348,IF(AQ348-AR348/AS348&lt;=AC348,(AQ348+AC348)/2,IF(AQ348-AR348/AS348&gt;=AD348,(AQ348+AD348)/2,AQ348-AR348/AS348)))</f>
        <v>1</v>
      </c>
      <c r="AU348" s="60" t="n">
        <f aca="false">SUMPRODUCT($E$13:$P$13*(N348:Y348-1)/(1+AT348*(N348:Y348-1)))</f>
        <v>0</v>
      </c>
      <c r="AV348" s="60" t="n">
        <f aca="false">-SUMPRODUCT($E$13:$P$13*(N348:Y348-1)^2/(1+AT348*(N348:Y348-1))^2)</f>
        <v>-0</v>
      </c>
      <c r="AW348" s="60" t="n">
        <f aca="false">IF(OR(NOT(AB348),AV348=0),AT348,IF(AT348-AU348/AV348&lt;=AC348,(AT348+AC348)/2,IF(AT348-AU348/AV348&gt;=AD348,(AT348+AD348)/2,AT348-AU348/AV348)))</f>
        <v>1</v>
      </c>
      <c r="AX348" s="60" t="n">
        <f aca="false">SUMPRODUCT($E$13:$P$13*(N348:Y348-1)/(1+AW348*(N348:Y348-1)))</f>
        <v>0</v>
      </c>
      <c r="AY348" s="60" t="n">
        <f aca="false">-SUMPRODUCT($E$13:$P$13*(N348:Y348-1)^2/(1+AW348*(N348:Y348-1))^2)</f>
        <v>-0</v>
      </c>
      <c r="AZ348" s="60" t="n">
        <f aca="false">IF(OR(NOT(AB348),AY348=0),AW348,IF(AW348-AX348/AY348&lt;=AC348,(AW348+AC348)/2,IF(AW348-AX348/AY348&gt;=AD348,(AW348+AD348)/2,AW348-AX348/AY348)))</f>
        <v>1</v>
      </c>
      <c r="BA348" s="60" t="n">
        <f aca="false">SUMPRODUCT($E$13:$P$13*(N348:Y348-1)/(1+AZ348*(N348:Y348-1)))</f>
        <v>0</v>
      </c>
      <c r="BB348" s="60" t="n">
        <f aca="false">-SUMPRODUCT($E$13:$P$13*(N348:Y348-1)^2/(1+AZ348*(N348:Y348-1))^2)</f>
        <v>-0</v>
      </c>
      <c r="BC348" s="60" t="n">
        <f aca="false">IF(OR(NOT(AB348),BB348=0),AZ348,IF(AZ348-BA348/BB348&lt;=AC348,(AZ348+AC348)/2,IF(AZ348-BA348/BB348&gt;=AD348,(AZ348+AD348)/2,AZ348-BA348/BB348)))</f>
        <v>1</v>
      </c>
      <c r="BD348" s="60" t="n">
        <f aca="false">SUMPRODUCT($E$13:$P$13*(N348:Y348-1)/(1+BC348*(N348:Y348-1)))</f>
        <v>0</v>
      </c>
      <c r="BE348" s="60" t="n">
        <f aca="false">-SUMPRODUCT($E$13:$P$13*(N348:Y348-1)^2/(1+BC348*(N348:Y348-1))^2)</f>
        <v>-0</v>
      </c>
      <c r="BF348" s="60" t="n">
        <f aca="false">IF(OR(NOT(AB348),BE348=0),BC348,IF(BC348-BD348/BE348&lt;=AC348,(BC348+AC348)/2,IF(BC348-BD348/BE348&gt;=AD348,(BC348+AD348)/2,BC348-BD348/BE348)))</f>
        <v>1</v>
      </c>
      <c r="BG348" s="60" t="n">
        <f aca="false">SUMPRODUCT($E$13:$P$13*(N348:Y348-1)/(1+BF348*(N348:Y348-1)))</f>
        <v>0</v>
      </c>
      <c r="BH348" s="60" t="n">
        <f aca="false">-SUMPRODUCT($E$13:$P$13*(N348:Y348-1)^2/(1+BF348*(N348:Y348-1))^2)</f>
        <v>-0</v>
      </c>
      <c r="BI348" s="60" t="n">
        <f aca="false">IF(OR(NOT(AB348),BH348=0),BF348,IF(BF348-BG348/BH348&lt;=AC348,(BF348+AC348)/2,IF(BF348-BG348/BH348&gt;=AD348,(BF348+AD348)/2,BF348-BG348/BH348)))</f>
        <v>1</v>
      </c>
      <c r="BJ348" s="60" t="n">
        <f aca="false">$E$13/(1+BI348*(N348-1))</f>
        <v>1</v>
      </c>
      <c r="BK348" s="60" t="n">
        <f aca="false">$F$13/(1+BI348*(O348-1))</f>
        <v>0</v>
      </c>
      <c r="BL348" s="60" t="n">
        <f aca="false">$G$13/(1+BI348*(P348-1))</f>
        <v>0</v>
      </c>
      <c r="BM348" s="60" t="n">
        <f aca="false">$H$13/(1+BI348*(Q348-1))</f>
        <v>0</v>
      </c>
      <c r="BN348" s="60" t="n">
        <f aca="false">$I$13/(1+BI348*(R348-1))</f>
        <v>0</v>
      </c>
      <c r="BO348" s="60" t="n">
        <f aca="false">$J$13/(1+BI348*(S348-1))</f>
        <v>0</v>
      </c>
      <c r="BP348" s="60" t="n">
        <f aca="false">$K$13/(1+BI348*(T348-1))</f>
        <v>0</v>
      </c>
      <c r="BQ348" s="60" t="n">
        <f aca="false">$L$13/(1+BI348*(U348-1))</f>
        <v>0</v>
      </c>
      <c r="BR348" s="60" t="n">
        <f aca="false">$M$13/(1+BI348*(V348-1))</f>
        <v>0</v>
      </c>
      <c r="BS348" s="60" t="n">
        <f aca="false">$N$13/(1+BI348*(W348-1))</f>
        <v>0</v>
      </c>
      <c r="BT348" s="60" t="n">
        <f aca="false">$O$13/(1+BI348*(X348-1))</f>
        <v>0</v>
      </c>
      <c r="BU348" s="60" t="n">
        <f aca="false">$P$13/(1+BI348*(Y348-1))</f>
        <v>0</v>
      </c>
      <c r="BV348" s="60" t="n">
        <f aca="false">SUM(BJ348:BU348)</f>
        <v>1</v>
      </c>
      <c r="BW348" s="60" t="n">
        <f aca="false">SUMPRODUCT(N348:Y348,BJ348:BU348)</f>
        <v>1</v>
      </c>
      <c r="BX348" s="60" t="n">
        <f aca="false">BJ348/BV348</f>
        <v>1</v>
      </c>
      <c r="BY348" s="60" t="n">
        <f aca="false">BK348/BV348</f>
        <v>0</v>
      </c>
      <c r="BZ348" s="60" t="n">
        <f aca="false">BL348/BV348</f>
        <v>0</v>
      </c>
      <c r="CA348" s="60" t="n">
        <f aca="false">BM348/BV348</f>
        <v>0</v>
      </c>
      <c r="CB348" s="60" t="n">
        <f aca="false">BN348/BV348</f>
        <v>0</v>
      </c>
      <c r="CC348" s="60" t="n">
        <f aca="false">BO348/BV348</f>
        <v>0</v>
      </c>
      <c r="CD348" s="60" t="n">
        <f aca="false">BP348/BV348</f>
        <v>0</v>
      </c>
      <c r="CE348" s="60" t="n">
        <f aca="false">BQ348/BV348</f>
        <v>0</v>
      </c>
      <c r="CF348" s="60" t="n">
        <f aca="false">BR348/BV348</f>
        <v>0</v>
      </c>
      <c r="CG348" s="60" t="n">
        <f aca="false">BS348/BV348</f>
        <v>0</v>
      </c>
      <c r="CH348" s="60" t="n">
        <f aca="false">BT348/BV348</f>
        <v>0</v>
      </c>
      <c r="CI348" s="60" t="n">
        <f aca="false">BU348/BV348</f>
        <v>0</v>
      </c>
      <c r="CJ348" s="60" t="n">
        <f aca="false">N348*BJ348/BW348</f>
        <v>1</v>
      </c>
      <c r="CK348" s="60" t="n">
        <f aca="false">O348*BK348/BW348</f>
        <v>0</v>
      </c>
      <c r="CL348" s="60" t="n">
        <f aca="false">P348*BL348/BW348</f>
        <v>0</v>
      </c>
      <c r="CM348" s="60" t="n">
        <f aca="false">Q348*BM348/BW348</f>
        <v>0</v>
      </c>
      <c r="CN348" s="60" t="n">
        <f aca="false">R348*BN348/BW348</f>
        <v>0</v>
      </c>
      <c r="CO348" s="60" t="n">
        <f aca="false">S348*BO348/BW348</f>
        <v>0</v>
      </c>
      <c r="CP348" s="60" t="n">
        <f aca="false">T348*BP348/BW348</f>
        <v>0</v>
      </c>
      <c r="CQ348" s="60" t="n">
        <f aca="false">U348*BQ348/BW348</f>
        <v>0</v>
      </c>
      <c r="CR348" s="60" t="n">
        <f aca="false">V348*BR348/BW348</f>
        <v>0</v>
      </c>
      <c r="CS348" s="60" t="n">
        <f aca="false">W348*BS348/BW348</f>
        <v>0</v>
      </c>
      <c r="CT348" s="60" t="n">
        <f aca="false">X348*BT348/BW348</f>
        <v>0</v>
      </c>
      <c r="CU348" s="60" t="n">
        <f aca="false">Y348*BU348/BW348</f>
        <v>0</v>
      </c>
      <c r="CV348" s="60" t="n">
        <f aca="false">$E$28*SUMPRODUCT($E$31:$P$31,BX348:CI348,$E$28:$P$28)</f>
        <v>0.184416866619846</v>
      </c>
      <c r="CW348" s="60" t="n">
        <f aca="false">$F$28*SUMPRODUCT($E$32:$P$32,BX348:CI348,$E$28:$P$28)</f>
        <v>0</v>
      </c>
      <c r="CX348" s="60" t="n">
        <f aca="false">$G$28*SUMPRODUCT($E$33:$P$33,BX348:CI348,$E$28:$P$28)</f>
        <v>0</v>
      </c>
      <c r="CY348" s="60" t="n">
        <f aca="false">$H$28*SUMPRODUCT($E$34:$P$34,BX348:CI348,$E$28:$P$28)</f>
        <v>0</v>
      </c>
      <c r="CZ348" s="60" t="n">
        <f aca="false">$I$28*SUMPRODUCT($E$35:$P$35,BX348:CI348,$E$28:$P$28)</f>
        <v>0</v>
      </c>
      <c r="DA348" s="60" t="n">
        <f aca="false">$J$28*SUMPRODUCT($E$36:$P$36,BX348:CI348,$E$28:$P$28)</f>
        <v>0</v>
      </c>
      <c r="DB348" s="60" t="n">
        <f aca="false">$K$28*SUMPRODUCT($E$37:$P$37,BX348:CI348,$E$28:$P$28)</f>
        <v>0</v>
      </c>
      <c r="DC348" s="60" t="n">
        <f aca="false">$L$28*SUMPRODUCT($E$38:$P$38,BX348:CI348,$E$28:$P$28)</f>
        <v>0</v>
      </c>
      <c r="DD348" s="60" t="n">
        <f aca="false">$M$28*SUMPRODUCT($E$39:$P$39,BX348:CI348,$E$28:$P$28)</f>
        <v>0</v>
      </c>
      <c r="DE348" s="60" t="n">
        <f aca="false">$N$28*SUMPRODUCT($E$40:$P$40,BX348:CI348,$E$28:$P$28)</f>
        <v>0</v>
      </c>
      <c r="DF348" s="60" t="n">
        <f aca="false">$O$28*SUMPRODUCT($E$41:$P$41,BX348:CI348,$E$28:$P$28)</f>
        <v>0</v>
      </c>
      <c r="DG348" s="60" t="n">
        <f aca="false">$P$28*SUMPRODUCT($E$42:$P$42,BX348:CI348,$E$28:$P$28)</f>
        <v>0</v>
      </c>
      <c r="DH348" s="60" t="n">
        <f aca="false">SUMPRODUCT(BX348:CI348,CV348:DG348)</f>
        <v>0.184416866619846</v>
      </c>
      <c r="DI348" s="60" t="n">
        <f aca="false">SUMPRODUCT(BX348:CI348,$E$27:$P$27)</f>
        <v>2.67389635063809E-005</v>
      </c>
      <c r="DJ348" s="60" t="n">
        <f aca="false">DH348*$C$9/($C$10*$C$8)^2</f>
        <v>0.21776909410545</v>
      </c>
      <c r="DK348" s="60" t="n">
        <f aca="false">DI348*$C$9/($C$10*$C$8)</f>
        <v>0.0918845243259994</v>
      </c>
      <c r="DL348" s="60" t="n">
        <f aca="false">CHOOSE($C$7,-(1+DK348),-1,-(1-DK348))</f>
        <v>-0.908115475674001</v>
      </c>
      <c r="DM348" s="60" t="n">
        <f aca="false">CHOOSE($C$7,DJ348,DJ348-DK348-DK348^2,DJ348-3*DK348^2-2*DK348)</f>
        <v>0.00867174802160559</v>
      </c>
      <c r="DN348" s="60" t="n">
        <f aca="false">CHOOSE($C$7,-DJ348*DK348,-DJ348*DK348,-(DJ348*DK348-DK348^2-DK348^3))</f>
        <v>-0.0107910842936637</v>
      </c>
      <c r="DO348" s="60" t="n">
        <f aca="false">DM348-DL348^2/3</f>
        <v>-0.266219491031267</v>
      </c>
      <c r="DP348" s="60" t="n">
        <f aca="false">2*DL348^3/27-DL348*DM348/3+DN348</f>
        <v>-0.0636400988362784</v>
      </c>
      <c r="DQ348" s="60" t="n">
        <f aca="false">DP348^2/4+DO348^3/27</f>
        <v>0.000313710901361829</v>
      </c>
      <c r="DR348" s="60" t="n">
        <f aca="false">-DP348/2-IF(DP348&gt;=0,1,-1)*SQRT(MAX(DQ348,0))</f>
        <v>0.0495319352963236</v>
      </c>
      <c r="DS348" s="60" t="n">
        <f aca="false">SIGN(DR348)*ABS(DR348)^(1/3)</f>
        <v>0.367249967174439</v>
      </c>
      <c r="DT348" s="60" t="n">
        <f aca="false">IF(DS348=0,0,DS348-DO348/(3*DS348))</f>
        <v>0.60888329127384</v>
      </c>
      <c r="DU348" s="60" t="n">
        <f aca="false">2*SQRT(MAX(-DO348,0)/3)</f>
        <v>0.595784626668918</v>
      </c>
      <c r="DV348" s="60" t="n">
        <f aca="false">ACOS(IF(DU348=0,0,MAX(-1,MIN(1,3*DP348/(DO348*DU348)))))</f>
        <v>0</v>
      </c>
      <c r="DW348" s="60" t="n">
        <f aca="false">DU348*COS(DV348/3)</f>
        <v>0.595784626668918</v>
      </c>
      <c r="DX348" s="60" t="n">
        <f aca="false">IF(DQ348&lt;0,DW348,DT348)-DL348/3</f>
        <v>0.91158844983184</v>
      </c>
      <c r="DY348" s="60" t="n">
        <f aca="false">IFERROR((((DX348+DL348)*DX348+DM348)*DX348+DN348)/((3*DX348+2*DL348)*DX348+DM348),0)</f>
        <v>0</v>
      </c>
      <c r="DZ348" s="60" t="n">
        <f aca="false">IF(ABS(DY348)&lt;0.1*ABS(DX348),DX348-DY348,DX348)</f>
        <v>0.91158844983184</v>
      </c>
      <c r="EA348" s="60" t="n">
        <f aca="false">IFERROR((((DZ348+DL348)*DZ348+DM348)*DZ348+DN348)/((3*DZ348+2*DL348)*DZ348+DM348),0)</f>
        <v>0</v>
      </c>
      <c r="EB348" s="60" t="n">
        <f aca="false">IF(ABS(EA348)&lt;0.1*ABS(DZ348),DZ348-EA348,DZ348)</f>
        <v>0.91158844983184</v>
      </c>
      <c r="EC348" s="60" t="n">
        <f aca="false">-DN348/EB348</f>
        <v>0.0118376711504565</v>
      </c>
      <c r="ED348" s="60" t="n">
        <f aca="false">(DM348-EC348)/EB348</f>
        <v>-0.00347297415783941</v>
      </c>
      <c r="EE348" s="60" t="n">
        <f aca="false">ED348^2-4*EC348</f>
        <v>-0.0473386230523248</v>
      </c>
      <c r="EF348" s="60" t="n">
        <f aca="false">IF(EE348&gt;=0,(ED348+IF(ED348&gt;=0,1,-1)*SQRT(EE348))/2,0)</f>
        <v>0</v>
      </c>
      <c r="EG348" s="60" t="n">
        <f aca="false">IF(AND(EE348&gt;=0,EF348&lt;&gt;0),MIN(EF348,EC348/EF348),-1)</f>
        <v>-1</v>
      </c>
      <c r="EH348" s="60" t="n">
        <f aca="false">AND(EE348&gt;=0,EG348&gt;DK348,ABS(EB348-EG348)&gt;=0.00005*MAX(EB348,EG348))</f>
        <v>0</v>
      </c>
      <c r="EI348" s="60" t="n">
        <f aca="false">IF(EH348,IFERROR((((EG348+DL348)*EG348+DM348)*EG348+DN348)/((3*EG348+2*DL348)*EG348+DM348),0),0)</f>
        <v>0</v>
      </c>
      <c r="EJ348" s="60" t="n">
        <f aca="false">IF(ABS(EI348)&lt;0.1*ABS(EG348),EG348-EI348,EG348)</f>
        <v>-1</v>
      </c>
      <c r="EK348" s="60" t="n">
        <f aca="false">IF(EH348,IFERROR((((EJ348+DL348)*EJ348+DM348)*EJ348+DN348)/((3*EJ348+2*DL348)*EJ348+DM348),0),0)</f>
        <v>0</v>
      </c>
      <c r="EL348" s="60" t="n">
        <f aca="false">IF(ABS(EK348)&lt;0.1*ABS(EJ348),EJ348-EK348,EJ348)</f>
        <v>-1</v>
      </c>
      <c r="EM348" s="60" t="n">
        <f aca="false">IF(EH348,MAX(EB348,EL348),EB348)</f>
        <v>0.91158844983184</v>
      </c>
      <c r="EN348" s="60" t="n">
        <f aca="false">IF(EH348,MIN(EB348,EL348),-1)</f>
        <v>-1</v>
      </c>
      <c r="EO348" s="60" t="n">
        <f aca="false">CHOOSE($C$7,DJ348/EM348,DJ348/DK348*LN(1+DK348/EM348),DJ348/(2*SQRT(2)*DK348)*LN((EM348+(1+SQRT(2))*DK348)/(EM348+(1-SQRT(2))*DK348)))</f>
        <v>0.218240791233887</v>
      </c>
      <c r="EP348" s="60" t="n">
        <f aca="false">EM348-1-LN(EM348-DK348)-EO348</f>
        <v>-0.107840271021729</v>
      </c>
      <c r="EQ348" s="60" t="n">
        <f aca="false">IF(EH348,CHOOSE($C$7,DJ348/EN348,DJ348/DK348*LN(1+DK348/EN348),DJ348/(2*SQRT(2)*DK348)*LN((EN348+(1+SQRT(2))*DK348)/(EN348+(1-SQRT(2))*DK348))),0)</f>
        <v>0</v>
      </c>
      <c r="ER348" s="60" t="n">
        <f aca="false">IF(EH348,EN348-1-LN(EN348-DK348)-EQ348,0)</f>
        <v>0</v>
      </c>
      <c r="ES348" s="60" t="n">
        <f aca="false">AND(EH348,ER348&lt;EP348)</f>
        <v>0</v>
      </c>
      <c r="ET348" s="60" t="n">
        <f aca="false">IF(ES348,EN348,EM348)</f>
        <v>0.91158844983184</v>
      </c>
      <c r="EU348" s="60" t="n">
        <f aca="false">IF(ES348,EQ348,EO348)</f>
        <v>0.218240791233887</v>
      </c>
      <c r="EV348" s="60" t="n">
        <f aca="false">LN(ET348-DK348)</f>
        <v>-0.198812070380318</v>
      </c>
      <c r="EW348" s="60" t="n">
        <f aca="false">$E$27/DI348*(ET348-1)-EV348-EU348*(2*CV348/DH348-$E$27/DI348)</f>
        <v>-0.107840271021729</v>
      </c>
      <c r="EX348" s="60" t="n">
        <f aca="false">$F$27/DI348*(ET348-1)-EV348-EU348*(2*CW348/DH348-$F$27/DI348)</f>
        <v>0.198812070380318</v>
      </c>
      <c r="EY348" s="60" t="n">
        <f aca="false">$G$27/DI348*(ET348-1)-EV348-EU348*(2*CX348/DH348-$G$27/DI348)</f>
        <v>0.198812070380318</v>
      </c>
      <c r="EZ348" s="60" t="n">
        <f aca="false">$H$27/DI348*(ET348-1)-EV348-EU348*(2*CY348/DH348-$H$27/DI348)</f>
        <v>0.198812070380318</v>
      </c>
      <c r="FA348" s="60" t="n">
        <f aca="false">$I$27/DI348*(ET348-1)-EV348-EU348*(2*CZ348/DH348-$I$27/DI348)</f>
        <v>0.198812070380318</v>
      </c>
      <c r="FB348" s="60" t="n">
        <f aca="false">$J$27/DI348*(ET348-1)-EV348-EU348*(2*DA348/DH348-$J$27/DI348)</f>
        <v>0.198812070380318</v>
      </c>
      <c r="FC348" s="60" t="n">
        <f aca="false">$K$27/DI348*(ET348-1)-EV348-EU348*(2*DB348/DH348-$K$27/DI348)</f>
        <v>0.198812070380318</v>
      </c>
      <c r="FD348" s="60" t="n">
        <f aca="false">$L$27/DI348*(ET348-1)-EV348-EU348*(2*DC348/DH348-$L$27/DI348)</f>
        <v>0.198812070380318</v>
      </c>
      <c r="FE348" s="60" t="n">
        <f aca="false">$M$27/DI348*(ET348-1)-EV348-EU348*(2*DD348/DH348-$M$27/DI348)</f>
        <v>0.198812070380318</v>
      </c>
      <c r="FF348" s="60" t="n">
        <f aca="false">$N$27/DI348*(ET348-1)-EV348-EU348*(2*DE348/DH348-$N$27/DI348)</f>
        <v>0.198812070380318</v>
      </c>
      <c r="FG348" s="60" t="n">
        <f aca="false">$O$27/DI348*(ET348-1)-EV348-EU348*(2*DF348/DH348-$O$27/DI348)</f>
        <v>0.198812070380318</v>
      </c>
      <c r="FH348" s="60" t="n">
        <f aca="false">$P$27/DI348*(ET348-1)-EV348-EU348*(2*DG348/DH348-$P$27/DI348)</f>
        <v>0.198812070380318</v>
      </c>
      <c r="FI348" s="60" t="n">
        <f aca="false">DK348/ET348&gt;$C$22</f>
        <v>0</v>
      </c>
      <c r="FJ348" s="60" t="n">
        <f aca="false">$E$28*SUMPRODUCT($E$31:$P$31,CJ348:CU348,$E$28:$P$28)</f>
        <v>0.184416866619846</v>
      </c>
      <c r="FK348" s="60" t="n">
        <f aca="false">$F$28*SUMPRODUCT($E$32:$P$32,CJ348:CU348,$E$28:$P$28)</f>
        <v>0</v>
      </c>
      <c r="FL348" s="60" t="n">
        <f aca="false">$G$28*SUMPRODUCT($E$33:$P$33,CJ348:CU348,$E$28:$P$28)</f>
        <v>0</v>
      </c>
      <c r="FM348" s="60" t="n">
        <f aca="false">$H$28*SUMPRODUCT($E$34:$P$34,CJ348:CU348,$E$28:$P$28)</f>
        <v>0</v>
      </c>
      <c r="FN348" s="60" t="n">
        <f aca="false">$I$28*SUMPRODUCT($E$35:$P$35,CJ348:CU348,$E$28:$P$28)</f>
        <v>0</v>
      </c>
      <c r="FO348" s="60" t="n">
        <f aca="false">$J$28*SUMPRODUCT($E$36:$P$36,CJ348:CU348,$E$28:$P$28)</f>
        <v>0</v>
      </c>
      <c r="FP348" s="60" t="n">
        <f aca="false">$K$28*SUMPRODUCT($E$37:$P$37,CJ348:CU348,$E$28:$P$28)</f>
        <v>0</v>
      </c>
      <c r="FQ348" s="60" t="n">
        <f aca="false">$L$28*SUMPRODUCT($E$38:$P$38,CJ348:CU348,$E$28:$P$28)</f>
        <v>0</v>
      </c>
      <c r="FR348" s="60" t="n">
        <f aca="false">$M$28*SUMPRODUCT($E$39:$P$39,CJ348:CU348,$E$28:$P$28)</f>
        <v>0</v>
      </c>
      <c r="FS348" s="60" t="n">
        <f aca="false">$N$28*SUMPRODUCT($E$40:$P$40,CJ348:CU348,$E$28:$P$28)</f>
        <v>0</v>
      </c>
      <c r="FT348" s="60" t="n">
        <f aca="false">$O$28*SUMPRODUCT($E$41:$P$41,CJ348:CU348,$E$28:$P$28)</f>
        <v>0</v>
      </c>
      <c r="FU348" s="60" t="n">
        <f aca="false">$P$28*SUMPRODUCT($E$42:$P$42,CJ348:CU348,$E$28:$P$28)</f>
        <v>0</v>
      </c>
      <c r="FV348" s="60" t="n">
        <f aca="false">SUMPRODUCT(CJ348:CU348,FJ348:FU348)</f>
        <v>0.184416866619846</v>
      </c>
      <c r="FW348" s="60" t="n">
        <f aca="false">SUMPRODUCT(CJ348:CU348,$E$27:$P$27)</f>
        <v>2.67389635063809E-005</v>
      </c>
      <c r="FX348" s="60" t="n">
        <f aca="false">FV348*$C$9/($C$10*$C$8)^2</f>
        <v>0.21776909410545</v>
      </c>
      <c r="FY348" s="60" t="n">
        <f aca="false">FW348*$C$9/($C$10*$C$8)</f>
        <v>0.0918845243259994</v>
      </c>
      <c r="FZ348" s="60" t="n">
        <f aca="false">CHOOSE($C$7,-(1+FY348),-1,-(1-FY348))</f>
        <v>-0.908115475674001</v>
      </c>
      <c r="GA348" s="60" t="n">
        <f aca="false">CHOOSE($C$7,FX348,FX348-FY348-FY348^2,FX348-3*FY348^2-2*FY348)</f>
        <v>0.00867174802160559</v>
      </c>
      <c r="GB348" s="60" t="n">
        <f aca="false">CHOOSE($C$7,-FX348*FY348,-FX348*FY348,-(FX348*FY348-FY348^2-FY348^3))</f>
        <v>-0.0107910842936637</v>
      </c>
      <c r="GC348" s="60" t="n">
        <f aca="false">GA348-FZ348^2/3</f>
        <v>-0.266219491031267</v>
      </c>
      <c r="GD348" s="60" t="n">
        <f aca="false">2*FZ348^3/27-FZ348*GA348/3+GB348</f>
        <v>-0.0636400988362784</v>
      </c>
      <c r="GE348" s="60" t="n">
        <f aca="false">GD348^2/4+GC348^3/27</f>
        <v>0.000313710901361829</v>
      </c>
      <c r="GF348" s="60" t="n">
        <f aca="false">-GD348/2-IF(GD348&gt;=0,1,-1)*SQRT(MAX(GE348,0))</f>
        <v>0.0495319352963236</v>
      </c>
      <c r="GG348" s="60" t="n">
        <f aca="false">SIGN(GF348)*ABS(GF348)^(1/3)</f>
        <v>0.367249967174439</v>
      </c>
      <c r="GH348" s="60" t="n">
        <f aca="false">IF(GG348=0,0,GG348-GC348/(3*GG348))</f>
        <v>0.60888329127384</v>
      </c>
      <c r="GI348" s="60" t="n">
        <f aca="false">2*SQRT(MAX(-GC348,0)/3)</f>
        <v>0.595784626668918</v>
      </c>
      <c r="GJ348" s="60" t="n">
        <f aca="false">ACOS(IF(GI348=0,0,MAX(-1,MIN(1,3*GD348/(GC348*GI348)))))</f>
        <v>0</v>
      </c>
      <c r="GK348" s="60" t="n">
        <f aca="false">GI348*COS(GJ348/3)</f>
        <v>0.595784626668918</v>
      </c>
      <c r="GL348" s="60" t="n">
        <f aca="false">IF(GE348&lt;0,GK348,GH348)-FZ348/3</f>
        <v>0.91158844983184</v>
      </c>
      <c r="GM348" s="60" t="n">
        <f aca="false">IFERROR((((GL348+FZ348)*GL348+GA348)*GL348+GB348)/((3*GL348+2*FZ348)*GL348+GA348),0)</f>
        <v>0</v>
      </c>
      <c r="GN348" s="60" t="n">
        <f aca="false">IF(ABS(GM348)&lt;0.1*ABS(GL348),GL348-GM348,GL348)</f>
        <v>0.91158844983184</v>
      </c>
      <c r="GO348" s="60" t="n">
        <f aca="false">IFERROR((((GN348+FZ348)*GN348+GA348)*GN348+GB348)/((3*GN348+2*FZ348)*GN348+GA348),0)</f>
        <v>0</v>
      </c>
      <c r="GP348" s="60" t="n">
        <f aca="false">IF(ABS(GO348)&lt;0.1*ABS(GN348),GN348-GO348,GN348)</f>
        <v>0.91158844983184</v>
      </c>
      <c r="GQ348" s="60" t="n">
        <f aca="false">-GB348/GP348</f>
        <v>0.0118376711504565</v>
      </c>
      <c r="GR348" s="60" t="n">
        <f aca="false">(GA348-GQ348)/GP348</f>
        <v>-0.00347297415783941</v>
      </c>
      <c r="GS348" s="60" t="n">
        <f aca="false">GR348^2-4*GQ348</f>
        <v>-0.0473386230523248</v>
      </c>
      <c r="GT348" s="60" t="n">
        <f aca="false">IF(GS348&gt;=0,(GR348+IF(GR348&gt;=0,1,-1)*SQRT(GS348))/2,0)</f>
        <v>0</v>
      </c>
      <c r="GU348" s="60" t="n">
        <f aca="false">IF(AND(GS348&gt;=0,GT348&lt;&gt;0),MIN(GT348,GQ348/GT348),-1)</f>
        <v>-1</v>
      </c>
      <c r="GV348" s="60" t="n">
        <f aca="false">AND(GS348&gt;=0,GU348&gt;FY348,ABS(GP348-GU348)&gt;=0.00005*MAX(GP348,GU348))</f>
        <v>0</v>
      </c>
      <c r="GW348" s="60" t="n">
        <f aca="false">IF(GV348,IFERROR((((GU348+FZ348)*GU348+GA348)*GU348+GB348)/((3*GU348+2*FZ348)*GU348+GA348),0),0)</f>
        <v>0</v>
      </c>
      <c r="GX348" s="60" t="n">
        <f aca="false">IF(ABS(GW348)&lt;0.1*ABS(GU348),GU348-GW348,GU348)</f>
        <v>-1</v>
      </c>
      <c r="GY348" s="60" t="n">
        <f aca="false">IF(GV348,IFERROR((((GX348+FZ348)*GX348+GA348)*GX348+GB348)/((3*GX348+2*FZ348)*GX348+GA348),0),0)</f>
        <v>0</v>
      </c>
      <c r="GZ348" s="60" t="n">
        <f aca="false">IF(ABS(GY348)&lt;0.1*ABS(GX348),GX348-GY348,GX348)</f>
        <v>-1</v>
      </c>
      <c r="HA348" s="60" t="n">
        <f aca="false">IF(GV348,MAX(GP348,GZ348),GP348)</f>
        <v>0.91158844983184</v>
      </c>
      <c r="HB348" s="60" t="n">
        <f aca="false">IF(GV348,MIN(GP348,GZ348),-1)</f>
        <v>-1</v>
      </c>
      <c r="HC348" s="60" t="n">
        <f aca="false">CHOOSE($C$7,FX348/HA348,FX348/FY348*LN(1+FY348/HA348),FX348/(2*SQRT(2)*FY348)*LN((HA348+(1+SQRT(2))*FY348)/(HA348+(1-SQRT(2))*FY348)))</f>
        <v>0.218240791233887</v>
      </c>
      <c r="HD348" s="60" t="n">
        <f aca="false">HA348-1-LN(HA348-FY348)-HC348</f>
        <v>-0.107840271021729</v>
      </c>
      <c r="HE348" s="60" t="n">
        <f aca="false">IF(GV348,CHOOSE($C$7,FX348/HB348,FX348/FY348*LN(1+FY348/HB348),FX348/(2*SQRT(2)*FY348)*LN((HB348+(1+SQRT(2))*FY348)/(HB348+(1-SQRT(2))*FY348))),0)</f>
        <v>0</v>
      </c>
      <c r="HF348" s="60" t="n">
        <f aca="false">IF(GV348,HB348-1-LN(HB348-FY348)-HE348,0)</f>
        <v>0</v>
      </c>
      <c r="HG348" s="60" t="n">
        <f aca="false">AND(GV348,HF348&lt;HD348)</f>
        <v>0</v>
      </c>
      <c r="HH348" s="60" t="n">
        <f aca="false">IF(HG348,HB348,HA348)</f>
        <v>0.91158844983184</v>
      </c>
      <c r="HI348" s="60" t="n">
        <f aca="false">IF(HG348,HE348,HC348)</f>
        <v>0.218240791233887</v>
      </c>
      <c r="HJ348" s="60" t="n">
        <f aca="false">LN(HH348-FY348)</f>
        <v>-0.198812070380318</v>
      </c>
      <c r="HK348" s="60" t="n">
        <f aca="false">$E$27/FW348*(HH348-1)-HJ348-HI348*(2*FJ348/FV348-$E$27/FW348)</f>
        <v>-0.107840271021729</v>
      </c>
      <c r="HL348" s="60" t="n">
        <f aca="false">$F$27/FW348*(HH348-1)-HJ348-HI348*(2*FK348/FV348-$F$27/FW348)</f>
        <v>0.198812070380318</v>
      </c>
      <c r="HM348" s="60" t="n">
        <f aca="false">$G$27/FW348*(HH348-1)-HJ348-HI348*(2*FL348/FV348-$G$27/FW348)</f>
        <v>0.198812070380318</v>
      </c>
      <c r="HN348" s="60" t="n">
        <f aca="false">$H$27/FW348*(HH348-1)-HJ348-HI348*(2*FM348/FV348-$H$27/FW348)</f>
        <v>0.198812070380318</v>
      </c>
      <c r="HO348" s="60" t="n">
        <f aca="false">$I$27/FW348*(HH348-1)-HJ348-HI348*(2*FN348/FV348-$I$27/FW348)</f>
        <v>0.198812070380318</v>
      </c>
      <c r="HP348" s="60" t="n">
        <f aca="false">$J$27/FW348*(HH348-1)-HJ348-HI348*(2*FO348/FV348-$J$27/FW348)</f>
        <v>0.198812070380318</v>
      </c>
      <c r="HQ348" s="60" t="n">
        <f aca="false">$K$27/FW348*(HH348-1)-HJ348-HI348*(2*FP348/FV348-$K$27/FW348)</f>
        <v>0.198812070380318</v>
      </c>
      <c r="HR348" s="60" t="n">
        <f aca="false">$L$27/FW348*(HH348-1)-HJ348-HI348*(2*FQ348/FV348-$L$27/FW348)</f>
        <v>0.198812070380318</v>
      </c>
      <c r="HS348" s="60" t="n">
        <f aca="false">$M$27/FW348*(HH348-1)-HJ348-HI348*(2*FR348/FV348-$M$27/FW348)</f>
        <v>0.198812070380318</v>
      </c>
      <c r="HT348" s="60" t="n">
        <f aca="false">$N$27/FW348*(HH348-1)-HJ348-HI348*(2*FS348/FV348-$N$27/FW348)</f>
        <v>0.198812070380318</v>
      </c>
      <c r="HU348" s="60" t="n">
        <f aca="false">$O$27/FW348*(HH348-1)-HJ348-HI348*(2*FT348/FV348-$O$27/FW348)</f>
        <v>0.198812070380318</v>
      </c>
      <c r="HV348" s="60" t="n">
        <f aca="false">$P$27/FW348*(HH348-1)-HJ348-HI348*(2*FU348/FV348-$P$27/FW348)</f>
        <v>0.198812070380318</v>
      </c>
      <c r="HW348" s="60" t="n">
        <f aca="false">FY348/HH348&gt;$C$22</f>
        <v>0</v>
      </c>
      <c r="HX348" s="60" t="n">
        <f aca="false">IF($E$13&gt;0,MAX(-300,MIN(300,EW348-HK348)),0)</f>
        <v>0</v>
      </c>
      <c r="HY348" s="60" t="n">
        <f aca="false">IF($F$13&gt;0,MAX(-300,MIN(300,EX348-HL348)),0)</f>
        <v>0</v>
      </c>
      <c r="HZ348" s="60" t="n">
        <f aca="false">IF($G$13&gt;0,MAX(-300,MIN(300,EY348-HM348)),0)</f>
        <v>0</v>
      </c>
      <c r="IA348" s="60" t="n">
        <f aca="false">IF($H$13&gt;0,MAX(-300,MIN(300,EZ348-HN348)),0)</f>
        <v>0</v>
      </c>
      <c r="IB348" s="60" t="n">
        <f aca="false">IF($I$13&gt;0,MAX(-300,MIN(300,FA348-HO348)),0)</f>
        <v>0</v>
      </c>
      <c r="IC348" s="60" t="n">
        <f aca="false">IF($J$13&gt;0,MAX(-300,MIN(300,FB348-HP348)),0)</f>
        <v>0</v>
      </c>
      <c r="ID348" s="60" t="n">
        <f aca="false">IF($K$13&gt;0,MAX(-300,MIN(300,FC348-HQ348)),0)</f>
        <v>0</v>
      </c>
      <c r="IE348" s="60" t="n">
        <f aca="false">IF($L$13&gt;0,MAX(-300,MIN(300,FD348-HR348)),0)</f>
        <v>0</v>
      </c>
      <c r="IF348" s="60" t="n">
        <f aca="false">IF($M$13&gt;0,MAX(-300,MIN(300,FE348-HS348)),0)</f>
        <v>0</v>
      </c>
      <c r="IG348" s="60" t="n">
        <f aca="false">IF($N$13&gt;0,MAX(-300,MIN(300,FF348-HT348)),0)</f>
        <v>0</v>
      </c>
      <c r="IH348" s="60" t="n">
        <f aca="false">IF($O$13&gt;0,MAX(-300,MIN(300,FG348-HU348)),0)</f>
        <v>0</v>
      </c>
      <c r="II348" s="60" t="n">
        <f aca="false">IF($P$13&gt;0,MAX(-300,MIN(300,FH348-HV348)),0)</f>
        <v>0</v>
      </c>
      <c r="IJ348" s="60" t="n">
        <f aca="false">SUMXMY2(HX348:II348,B348:M348)</f>
        <v>0</v>
      </c>
      <c r="IK348" s="60" t="n">
        <f aca="false">SUMSQ(B348:M348)</f>
        <v>0</v>
      </c>
    </row>
    <row r="349" customFormat="false" ht="15" hidden="false" customHeight="false" outlineLevel="0" collapsed="false">
      <c r="A349" s="59" t="n">
        <v>52</v>
      </c>
      <c r="B349" s="60" t="n">
        <f aca="false">HX348</f>
        <v>0</v>
      </c>
      <c r="C349" s="60" t="n">
        <f aca="false">HY348</f>
        <v>0</v>
      </c>
      <c r="D349" s="60" t="n">
        <f aca="false">HZ348</f>
        <v>0</v>
      </c>
      <c r="E349" s="60" t="n">
        <f aca="false">IA348</f>
        <v>0</v>
      </c>
      <c r="F349" s="60" t="n">
        <f aca="false">IB348</f>
        <v>0</v>
      </c>
      <c r="G349" s="60" t="n">
        <f aca="false">IC348</f>
        <v>0</v>
      </c>
      <c r="H349" s="60" t="n">
        <f aca="false">ID348</f>
        <v>0</v>
      </c>
      <c r="I349" s="60" t="n">
        <f aca="false">IE348</f>
        <v>0</v>
      </c>
      <c r="J349" s="60" t="n">
        <f aca="false">IF348</f>
        <v>0</v>
      </c>
      <c r="K349" s="60" t="n">
        <f aca="false">IG348</f>
        <v>0</v>
      </c>
      <c r="L349" s="60" t="n">
        <f aca="false">IH348</f>
        <v>0</v>
      </c>
      <c r="M349" s="60" t="n">
        <f aca="false">II348</f>
        <v>0</v>
      </c>
      <c r="N349" s="60" t="n">
        <f aca="false">EXP(B349)</f>
        <v>1</v>
      </c>
      <c r="O349" s="60" t="n">
        <f aca="false">EXP(C349)</f>
        <v>1</v>
      </c>
      <c r="P349" s="60" t="n">
        <f aca="false">EXP(D349)</f>
        <v>1</v>
      </c>
      <c r="Q349" s="60" t="n">
        <f aca="false">EXP(E349)</f>
        <v>1</v>
      </c>
      <c r="R349" s="60" t="n">
        <f aca="false">EXP(F349)</f>
        <v>1</v>
      </c>
      <c r="S349" s="60" t="n">
        <f aca="false">EXP(G349)</f>
        <v>1</v>
      </c>
      <c r="T349" s="60" t="n">
        <f aca="false">EXP(H349)</f>
        <v>1</v>
      </c>
      <c r="U349" s="60" t="n">
        <f aca="false">EXP(I349)</f>
        <v>1</v>
      </c>
      <c r="V349" s="60" t="n">
        <f aca="false">EXP(J349)</f>
        <v>1</v>
      </c>
      <c r="W349" s="60" t="n">
        <f aca="false">EXP(K349)</f>
        <v>1</v>
      </c>
      <c r="X349" s="60" t="n">
        <f aca="false">EXP(L349)</f>
        <v>1</v>
      </c>
      <c r="Y349" s="60" t="n">
        <f aca="false">EXP(M349)</f>
        <v>1</v>
      </c>
      <c r="Z349" s="60" t="n">
        <f aca="false">MAX(N349:Y349)</f>
        <v>1</v>
      </c>
      <c r="AA349" s="60" t="n">
        <f aca="false">MIN(N349:Y349)</f>
        <v>1</v>
      </c>
      <c r="AB349" s="60" t="n">
        <f aca="false">AND(Z349&gt;1,AA349&lt;1)</f>
        <v>0</v>
      </c>
      <c r="AC349" s="60" t="n">
        <f aca="false">IF(AB349,1/(1-Z349),0)</f>
        <v>0</v>
      </c>
      <c r="AD349" s="60" t="n">
        <f aca="false">IF(AB349,1/(1-AA349),1)</f>
        <v>1</v>
      </c>
      <c r="AE349" s="60" t="n">
        <f aca="false">IF(AB349,MIN(MAX(BI348,AC349+0.000000001*(AD349-AC349)),AD349-0.000000001*(AD349-AC349)),IF(AA349&gt;=1,1,0))</f>
        <v>1</v>
      </c>
      <c r="AF349" s="60" t="n">
        <f aca="false">SUMPRODUCT($E$13:$P$13*(N349:Y349-1)/(1+AE349*(N349:Y349-1)))</f>
        <v>0</v>
      </c>
      <c r="AG349" s="60" t="n">
        <f aca="false">-SUMPRODUCT($E$13:$P$13*(N349:Y349-1)^2/(1+AE349*(N349:Y349-1))^2)</f>
        <v>-0</v>
      </c>
      <c r="AH349" s="60" t="n">
        <f aca="false">IF(OR(NOT(AB349),AG349=0),AE349,IF(AE349-AF349/AG349&lt;=AC349,(AE349+AC349)/2,IF(AE349-AF349/AG349&gt;=AD349,(AE349+AD349)/2,AE349-AF349/AG349)))</f>
        <v>1</v>
      </c>
      <c r="AI349" s="60" t="n">
        <f aca="false">SUMPRODUCT($E$13:$P$13*(N349:Y349-1)/(1+AH349*(N349:Y349-1)))</f>
        <v>0</v>
      </c>
      <c r="AJ349" s="60" t="n">
        <f aca="false">-SUMPRODUCT($E$13:$P$13*(N349:Y349-1)^2/(1+AH349*(N349:Y349-1))^2)</f>
        <v>-0</v>
      </c>
      <c r="AK349" s="60" t="n">
        <f aca="false">IF(OR(NOT(AB349),AJ349=0),AH349,IF(AH349-AI349/AJ349&lt;=AC349,(AH349+AC349)/2,IF(AH349-AI349/AJ349&gt;=AD349,(AH349+AD349)/2,AH349-AI349/AJ349)))</f>
        <v>1</v>
      </c>
      <c r="AL349" s="60" t="n">
        <f aca="false">SUMPRODUCT($E$13:$P$13*(N349:Y349-1)/(1+AK349*(N349:Y349-1)))</f>
        <v>0</v>
      </c>
      <c r="AM349" s="60" t="n">
        <f aca="false">-SUMPRODUCT($E$13:$P$13*(N349:Y349-1)^2/(1+AK349*(N349:Y349-1))^2)</f>
        <v>-0</v>
      </c>
      <c r="AN349" s="60" t="n">
        <f aca="false">IF(OR(NOT(AB349),AM349=0),AK349,IF(AK349-AL349/AM349&lt;=AC349,(AK349+AC349)/2,IF(AK349-AL349/AM349&gt;=AD349,(AK349+AD349)/2,AK349-AL349/AM349)))</f>
        <v>1</v>
      </c>
      <c r="AO349" s="60" t="n">
        <f aca="false">SUMPRODUCT($E$13:$P$13*(N349:Y349-1)/(1+AN349*(N349:Y349-1)))</f>
        <v>0</v>
      </c>
      <c r="AP349" s="60" t="n">
        <f aca="false">-SUMPRODUCT($E$13:$P$13*(N349:Y349-1)^2/(1+AN349*(N349:Y349-1))^2)</f>
        <v>-0</v>
      </c>
      <c r="AQ349" s="60" t="n">
        <f aca="false">IF(OR(NOT(AB349),AP349=0),AN349,IF(AN349-AO349/AP349&lt;=AC349,(AN349+AC349)/2,IF(AN349-AO349/AP349&gt;=AD349,(AN349+AD349)/2,AN349-AO349/AP349)))</f>
        <v>1</v>
      </c>
      <c r="AR349" s="60" t="n">
        <f aca="false">SUMPRODUCT($E$13:$P$13*(N349:Y349-1)/(1+AQ349*(N349:Y349-1)))</f>
        <v>0</v>
      </c>
      <c r="AS349" s="60" t="n">
        <f aca="false">-SUMPRODUCT($E$13:$P$13*(N349:Y349-1)^2/(1+AQ349*(N349:Y349-1))^2)</f>
        <v>-0</v>
      </c>
      <c r="AT349" s="60" t="n">
        <f aca="false">IF(OR(NOT(AB349),AS349=0),AQ349,IF(AQ349-AR349/AS349&lt;=AC349,(AQ349+AC349)/2,IF(AQ349-AR349/AS349&gt;=AD349,(AQ349+AD349)/2,AQ349-AR349/AS349)))</f>
        <v>1</v>
      </c>
      <c r="AU349" s="60" t="n">
        <f aca="false">SUMPRODUCT($E$13:$P$13*(N349:Y349-1)/(1+AT349*(N349:Y349-1)))</f>
        <v>0</v>
      </c>
      <c r="AV349" s="60" t="n">
        <f aca="false">-SUMPRODUCT($E$13:$P$13*(N349:Y349-1)^2/(1+AT349*(N349:Y349-1))^2)</f>
        <v>-0</v>
      </c>
      <c r="AW349" s="60" t="n">
        <f aca="false">IF(OR(NOT(AB349),AV349=0),AT349,IF(AT349-AU349/AV349&lt;=AC349,(AT349+AC349)/2,IF(AT349-AU349/AV349&gt;=AD349,(AT349+AD349)/2,AT349-AU349/AV349)))</f>
        <v>1</v>
      </c>
      <c r="AX349" s="60" t="n">
        <f aca="false">SUMPRODUCT($E$13:$P$13*(N349:Y349-1)/(1+AW349*(N349:Y349-1)))</f>
        <v>0</v>
      </c>
      <c r="AY349" s="60" t="n">
        <f aca="false">-SUMPRODUCT($E$13:$P$13*(N349:Y349-1)^2/(1+AW349*(N349:Y349-1))^2)</f>
        <v>-0</v>
      </c>
      <c r="AZ349" s="60" t="n">
        <f aca="false">IF(OR(NOT(AB349),AY349=0),AW349,IF(AW349-AX349/AY349&lt;=AC349,(AW349+AC349)/2,IF(AW349-AX349/AY349&gt;=AD349,(AW349+AD349)/2,AW349-AX349/AY349)))</f>
        <v>1</v>
      </c>
      <c r="BA349" s="60" t="n">
        <f aca="false">SUMPRODUCT($E$13:$P$13*(N349:Y349-1)/(1+AZ349*(N349:Y349-1)))</f>
        <v>0</v>
      </c>
      <c r="BB349" s="60" t="n">
        <f aca="false">-SUMPRODUCT($E$13:$P$13*(N349:Y349-1)^2/(1+AZ349*(N349:Y349-1))^2)</f>
        <v>-0</v>
      </c>
      <c r="BC349" s="60" t="n">
        <f aca="false">IF(OR(NOT(AB349),BB349=0),AZ349,IF(AZ349-BA349/BB349&lt;=AC349,(AZ349+AC349)/2,IF(AZ349-BA349/BB349&gt;=AD349,(AZ349+AD349)/2,AZ349-BA349/BB349)))</f>
        <v>1</v>
      </c>
      <c r="BD349" s="60" t="n">
        <f aca="false">SUMPRODUCT($E$13:$P$13*(N349:Y349-1)/(1+BC349*(N349:Y349-1)))</f>
        <v>0</v>
      </c>
      <c r="BE349" s="60" t="n">
        <f aca="false">-SUMPRODUCT($E$13:$P$13*(N349:Y349-1)^2/(1+BC349*(N349:Y349-1))^2)</f>
        <v>-0</v>
      </c>
      <c r="BF349" s="60" t="n">
        <f aca="false">IF(OR(NOT(AB349),BE349=0),BC349,IF(BC349-BD349/BE349&lt;=AC349,(BC349+AC349)/2,IF(BC349-BD349/BE349&gt;=AD349,(BC349+AD349)/2,BC349-BD349/BE349)))</f>
        <v>1</v>
      </c>
      <c r="BG349" s="60" t="n">
        <f aca="false">SUMPRODUCT($E$13:$P$13*(N349:Y349-1)/(1+BF349*(N349:Y349-1)))</f>
        <v>0</v>
      </c>
      <c r="BH349" s="60" t="n">
        <f aca="false">-SUMPRODUCT($E$13:$P$13*(N349:Y349-1)^2/(1+BF349*(N349:Y349-1))^2)</f>
        <v>-0</v>
      </c>
      <c r="BI349" s="60" t="n">
        <f aca="false">IF(OR(NOT(AB349),BH349=0),BF349,IF(BF349-BG349/BH349&lt;=AC349,(BF349+AC349)/2,IF(BF349-BG349/BH349&gt;=AD349,(BF349+AD349)/2,BF349-BG349/BH349)))</f>
        <v>1</v>
      </c>
      <c r="BJ349" s="60" t="n">
        <f aca="false">$E$13/(1+BI349*(N349-1))</f>
        <v>1</v>
      </c>
      <c r="BK349" s="60" t="n">
        <f aca="false">$F$13/(1+BI349*(O349-1))</f>
        <v>0</v>
      </c>
      <c r="BL349" s="60" t="n">
        <f aca="false">$G$13/(1+BI349*(P349-1))</f>
        <v>0</v>
      </c>
      <c r="BM349" s="60" t="n">
        <f aca="false">$H$13/(1+BI349*(Q349-1))</f>
        <v>0</v>
      </c>
      <c r="BN349" s="60" t="n">
        <f aca="false">$I$13/(1+BI349*(R349-1))</f>
        <v>0</v>
      </c>
      <c r="BO349" s="60" t="n">
        <f aca="false">$J$13/(1+BI349*(S349-1))</f>
        <v>0</v>
      </c>
      <c r="BP349" s="60" t="n">
        <f aca="false">$K$13/(1+BI349*(T349-1))</f>
        <v>0</v>
      </c>
      <c r="BQ349" s="60" t="n">
        <f aca="false">$L$13/(1+BI349*(U349-1))</f>
        <v>0</v>
      </c>
      <c r="BR349" s="60" t="n">
        <f aca="false">$M$13/(1+BI349*(V349-1))</f>
        <v>0</v>
      </c>
      <c r="BS349" s="60" t="n">
        <f aca="false">$N$13/(1+BI349*(W349-1))</f>
        <v>0</v>
      </c>
      <c r="BT349" s="60" t="n">
        <f aca="false">$O$13/(1+BI349*(X349-1))</f>
        <v>0</v>
      </c>
      <c r="BU349" s="60" t="n">
        <f aca="false">$P$13/(1+BI349*(Y349-1))</f>
        <v>0</v>
      </c>
      <c r="BV349" s="60" t="n">
        <f aca="false">SUM(BJ349:BU349)</f>
        <v>1</v>
      </c>
      <c r="BW349" s="60" t="n">
        <f aca="false">SUMPRODUCT(N349:Y349,BJ349:BU349)</f>
        <v>1</v>
      </c>
      <c r="BX349" s="60" t="n">
        <f aca="false">BJ349/BV349</f>
        <v>1</v>
      </c>
      <c r="BY349" s="60" t="n">
        <f aca="false">BK349/BV349</f>
        <v>0</v>
      </c>
      <c r="BZ349" s="60" t="n">
        <f aca="false">BL349/BV349</f>
        <v>0</v>
      </c>
      <c r="CA349" s="60" t="n">
        <f aca="false">BM349/BV349</f>
        <v>0</v>
      </c>
      <c r="CB349" s="60" t="n">
        <f aca="false">BN349/BV349</f>
        <v>0</v>
      </c>
      <c r="CC349" s="60" t="n">
        <f aca="false">BO349/BV349</f>
        <v>0</v>
      </c>
      <c r="CD349" s="60" t="n">
        <f aca="false">BP349/BV349</f>
        <v>0</v>
      </c>
      <c r="CE349" s="60" t="n">
        <f aca="false">BQ349/BV349</f>
        <v>0</v>
      </c>
      <c r="CF349" s="60" t="n">
        <f aca="false">BR349/BV349</f>
        <v>0</v>
      </c>
      <c r="CG349" s="60" t="n">
        <f aca="false">BS349/BV349</f>
        <v>0</v>
      </c>
      <c r="CH349" s="60" t="n">
        <f aca="false">BT349/BV349</f>
        <v>0</v>
      </c>
      <c r="CI349" s="60" t="n">
        <f aca="false">BU349/BV349</f>
        <v>0</v>
      </c>
      <c r="CJ349" s="60" t="n">
        <f aca="false">N349*BJ349/BW349</f>
        <v>1</v>
      </c>
      <c r="CK349" s="60" t="n">
        <f aca="false">O349*BK349/BW349</f>
        <v>0</v>
      </c>
      <c r="CL349" s="60" t="n">
        <f aca="false">P349*BL349/BW349</f>
        <v>0</v>
      </c>
      <c r="CM349" s="60" t="n">
        <f aca="false">Q349*BM349/BW349</f>
        <v>0</v>
      </c>
      <c r="CN349" s="60" t="n">
        <f aca="false">R349*BN349/BW349</f>
        <v>0</v>
      </c>
      <c r="CO349" s="60" t="n">
        <f aca="false">S349*BO349/BW349</f>
        <v>0</v>
      </c>
      <c r="CP349" s="60" t="n">
        <f aca="false">T349*BP349/BW349</f>
        <v>0</v>
      </c>
      <c r="CQ349" s="60" t="n">
        <f aca="false">U349*BQ349/BW349</f>
        <v>0</v>
      </c>
      <c r="CR349" s="60" t="n">
        <f aca="false">V349*BR349/BW349</f>
        <v>0</v>
      </c>
      <c r="CS349" s="60" t="n">
        <f aca="false">W349*BS349/BW349</f>
        <v>0</v>
      </c>
      <c r="CT349" s="60" t="n">
        <f aca="false">X349*BT349/BW349</f>
        <v>0</v>
      </c>
      <c r="CU349" s="60" t="n">
        <f aca="false">Y349*BU349/BW349</f>
        <v>0</v>
      </c>
      <c r="CV349" s="60" t="n">
        <f aca="false">$E$28*SUMPRODUCT($E$31:$P$31,BX349:CI349,$E$28:$P$28)</f>
        <v>0.184416866619846</v>
      </c>
      <c r="CW349" s="60" t="n">
        <f aca="false">$F$28*SUMPRODUCT($E$32:$P$32,BX349:CI349,$E$28:$P$28)</f>
        <v>0</v>
      </c>
      <c r="CX349" s="60" t="n">
        <f aca="false">$G$28*SUMPRODUCT($E$33:$P$33,BX349:CI349,$E$28:$P$28)</f>
        <v>0</v>
      </c>
      <c r="CY349" s="60" t="n">
        <f aca="false">$H$28*SUMPRODUCT($E$34:$P$34,BX349:CI349,$E$28:$P$28)</f>
        <v>0</v>
      </c>
      <c r="CZ349" s="60" t="n">
        <f aca="false">$I$28*SUMPRODUCT($E$35:$P$35,BX349:CI349,$E$28:$P$28)</f>
        <v>0</v>
      </c>
      <c r="DA349" s="60" t="n">
        <f aca="false">$J$28*SUMPRODUCT($E$36:$P$36,BX349:CI349,$E$28:$P$28)</f>
        <v>0</v>
      </c>
      <c r="DB349" s="60" t="n">
        <f aca="false">$K$28*SUMPRODUCT($E$37:$P$37,BX349:CI349,$E$28:$P$28)</f>
        <v>0</v>
      </c>
      <c r="DC349" s="60" t="n">
        <f aca="false">$L$28*SUMPRODUCT($E$38:$P$38,BX349:CI349,$E$28:$P$28)</f>
        <v>0</v>
      </c>
      <c r="DD349" s="60" t="n">
        <f aca="false">$M$28*SUMPRODUCT($E$39:$P$39,BX349:CI349,$E$28:$P$28)</f>
        <v>0</v>
      </c>
      <c r="DE349" s="60" t="n">
        <f aca="false">$N$28*SUMPRODUCT($E$40:$P$40,BX349:CI349,$E$28:$P$28)</f>
        <v>0</v>
      </c>
      <c r="DF349" s="60" t="n">
        <f aca="false">$O$28*SUMPRODUCT($E$41:$P$41,BX349:CI349,$E$28:$P$28)</f>
        <v>0</v>
      </c>
      <c r="DG349" s="60" t="n">
        <f aca="false">$P$28*SUMPRODUCT($E$42:$P$42,BX349:CI349,$E$28:$P$28)</f>
        <v>0</v>
      </c>
      <c r="DH349" s="60" t="n">
        <f aca="false">SUMPRODUCT(BX349:CI349,CV349:DG349)</f>
        <v>0.184416866619846</v>
      </c>
      <c r="DI349" s="60" t="n">
        <f aca="false">SUMPRODUCT(BX349:CI349,$E$27:$P$27)</f>
        <v>2.67389635063809E-005</v>
      </c>
      <c r="DJ349" s="60" t="n">
        <f aca="false">DH349*$C$9/($C$10*$C$8)^2</f>
        <v>0.21776909410545</v>
      </c>
      <c r="DK349" s="60" t="n">
        <f aca="false">DI349*$C$9/($C$10*$C$8)</f>
        <v>0.0918845243259994</v>
      </c>
      <c r="DL349" s="60" t="n">
        <f aca="false">CHOOSE($C$7,-(1+DK349),-1,-(1-DK349))</f>
        <v>-0.908115475674001</v>
      </c>
      <c r="DM349" s="60" t="n">
        <f aca="false">CHOOSE($C$7,DJ349,DJ349-DK349-DK349^2,DJ349-3*DK349^2-2*DK349)</f>
        <v>0.00867174802160559</v>
      </c>
      <c r="DN349" s="60" t="n">
        <f aca="false">CHOOSE($C$7,-DJ349*DK349,-DJ349*DK349,-(DJ349*DK349-DK349^2-DK349^3))</f>
        <v>-0.0107910842936637</v>
      </c>
      <c r="DO349" s="60" t="n">
        <f aca="false">DM349-DL349^2/3</f>
        <v>-0.266219491031267</v>
      </c>
      <c r="DP349" s="60" t="n">
        <f aca="false">2*DL349^3/27-DL349*DM349/3+DN349</f>
        <v>-0.0636400988362784</v>
      </c>
      <c r="DQ349" s="60" t="n">
        <f aca="false">DP349^2/4+DO349^3/27</f>
        <v>0.000313710901361829</v>
      </c>
      <c r="DR349" s="60" t="n">
        <f aca="false">-DP349/2-IF(DP349&gt;=0,1,-1)*SQRT(MAX(DQ349,0))</f>
        <v>0.0495319352963236</v>
      </c>
      <c r="DS349" s="60" t="n">
        <f aca="false">SIGN(DR349)*ABS(DR349)^(1/3)</f>
        <v>0.367249967174439</v>
      </c>
      <c r="DT349" s="60" t="n">
        <f aca="false">IF(DS349=0,0,DS349-DO349/(3*DS349))</f>
        <v>0.60888329127384</v>
      </c>
      <c r="DU349" s="60" t="n">
        <f aca="false">2*SQRT(MAX(-DO349,0)/3)</f>
        <v>0.595784626668918</v>
      </c>
      <c r="DV349" s="60" t="n">
        <f aca="false">ACOS(IF(DU349=0,0,MAX(-1,MIN(1,3*DP349/(DO349*DU349)))))</f>
        <v>0</v>
      </c>
      <c r="DW349" s="60" t="n">
        <f aca="false">DU349*COS(DV349/3)</f>
        <v>0.595784626668918</v>
      </c>
      <c r="DX349" s="60" t="n">
        <f aca="false">IF(DQ349&lt;0,DW349,DT349)-DL349/3</f>
        <v>0.91158844983184</v>
      </c>
      <c r="DY349" s="60" t="n">
        <f aca="false">IFERROR((((DX349+DL349)*DX349+DM349)*DX349+DN349)/((3*DX349+2*DL349)*DX349+DM349),0)</f>
        <v>0</v>
      </c>
      <c r="DZ349" s="60" t="n">
        <f aca="false">IF(ABS(DY349)&lt;0.1*ABS(DX349),DX349-DY349,DX349)</f>
        <v>0.91158844983184</v>
      </c>
      <c r="EA349" s="60" t="n">
        <f aca="false">IFERROR((((DZ349+DL349)*DZ349+DM349)*DZ349+DN349)/((3*DZ349+2*DL349)*DZ349+DM349),0)</f>
        <v>0</v>
      </c>
      <c r="EB349" s="60" t="n">
        <f aca="false">IF(ABS(EA349)&lt;0.1*ABS(DZ349),DZ349-EA349,DZ349)</f>
        <v>0.91158844983184</v>
      </c>
      <c r="EC349" s="60" t="n">
        <f aca="false">-DN349/EB349</f>
        <v>0.0118376711504565</v>
      </c>
      <c r="ED349" s="60" t="n">
        <f aca="false">(DM349-EC349)/EB349</f>
        <v>-0.00347297415783941</v>
      </c>
      <c r="EE349" s="60" t="n">
        <f aca="false">ED349^2-4*EC349</f>
        <v>-0.0473386230523248</v>
      </c>
      <c r="EF349" s="60" t="n">
        <f aca="false">IF(EE349&gt;=0,(ED349+IF(ED349&gt;=0,1,-1)*SQRT(EE349))/2,0)</f>
        <v>0</v>
      </c>
      <c r="EG349" s="60" t="n">
        <f aca="false">IF(AND(EE349&gt;=0,EF349&lt;&gt;0),MIN(EF349,EC349/EF349),-1)</f>
        <v>-1</v>
      </c>
      <c r="EH349" s="60" t="n">
        <f aca="false">AND(EE349&gt;=0,EG349&gt;DK349,ABS(EB349-EG349)&gt;=0.00005*MAX(EB349,EG349))</f>
        <v>0</v>
      </c>
      <c r="EI349" s="60" t="n">
        <f aca="false">IF(EH349,IFERROR((((EG349+DL349)*EG349+DM349)*EG349+DN349)/((3*EG349+2*DL349)*EG349+DM349),0),0)</f>
        <v>0</v>
      </c>
      <c r="EJ349" s="60" t="n">
        <f aca="false">IF(ABS(EI349)&lt;0.1*ABS(EG349),EG349-EI349,EG349)</f>
        <v>-1</v>
      </c>
      <c r="EK349" s="60" t="n">
        <f aca="false">IF(EH349,IFERROR((((EJ349+DL349)*EJ349+DM349)*EJ349+DN349)/((3*EJ349+2*DL349)*EJ349+DM349),0),0)</f>
        <v>0</v>
      </c>
      <c r="EL349" s="60" t="n">
        <f aca="false">IF(ABS(EK349)&lt;0.1*ABS(EJ349),EJ349-EK349,EJ349)</f>
        <v>-1</v>
      </c>
      <c r="EM349" s="60" t="n">
        <f aca="false">IF(EH349,MAX(EB349,EL349),EB349)</f>
        <v>0.91158844983184</v>
      </c>
      <c r="EN349" s="60" t="n">
        <f aca="false">IF(EH349,MIN(EB349,EL349),-1)</f>
        <v>-1</v>
      </c>
      <c r="EO349" s="60" t="n">
        <f aca="false">CHOOSE($C$7,DJ349/EM349,DJ349/DK349*LN(1+DK349/EM349),DJ349/(2*SQRT(2)*DK349)*LN((EM349+(1+SQRT(2))*DK349)/(EM349+(1-SQRT(2))*DK349)))</f>
        <v>0.218240791233887</v>
      </c>
      <c r="EP349" s="60" t="n">
        <f aca="false">EM349-1-LN(EM349-DK349)-EO349</f>
        <v>-0.107840271021729</v>
      </c>
      <c r="EQ349" s="60" t="n">
        <f aca="false">IF(EH349,CHOOSE($C$7,DJ349/EN349,DJ349/DK349*LN(1+DK349/EN349),DJ349/(2*SQRT(2)*DK349)*LN((EN349+(1+SQRT(2))*DK349)/(EN349+(1-SQRT(2))*DK349))),0)</f>
        <v>0</v>
      </c>
      <c r="ER349" s="60" t="n">
        <f aca="false">IF(EH349,EN349-1-LN(EN349-DK349)-EQ349,0)</f>
        <v>0</v>
      </c>
      <c r="ES349" s="60" t="n">
        <f aca="false">AND(EH349,ER349&lt;EP349)</f>
        <v>0</v>
      </c>
      <c r="ET349" s="60" t="n">
        <f aca="false">IF(ES349,EN349,EM349)</f>
        <v>0.91158844983184</v>
      </c>
      <c r="EU349" s="60" t="n">
        <f aca="false">IF(ES349,EQ349,EO349)</f>
        <v>0.218240791233887</v>
      </c>
      <c r="EV349" s="60" t="n">
        <f aca="false">LN(ET349-DK349)</f>
        <v>-0.198812070380318</v>
      </c>
      <c r="EW349" s="60" t="n">
        <f aca="false">$E$27/DI349*(ET349-1)-EV349-EU349*(2*CV349/DH349-$E$27/DI349)</f>
        <v>-0.107840271021729</v>
      </c>
      <c r="EX349" s="60" t="n">
        <f aca="false">$F$27/DI349*(ET349-1)-EV349-EU349*(2*CW349/DH349-$F$27/DI349)</f>
        <v>0.198812070380318</v>
      </c>
      <c r="EY349" s="60" t="n">
        <f aca="false">$G$27/DI349*(ET349-1)-EV349-EU349*(2*CX349/DH349-$G$27/DI349)</f>
        <v>0.198812070380318</v>
      </c>
      <c r="EZ349" s="60" t="n">
        <f aca="false">$H$27/DI349*(ET349-1)-EV349-EU349*(2*CY349/DH349-$H$27/DI349)</f>
        <v>0.198812070380318</v>
      </c>
      <c r="FA349" s="60" t="n">
        <f aca="false">$I$27/DI349*(ET349-1)-EV349-EU349*(2*CZ349/DH349-$I$27/DI349)</f>
        <v>0.198812070380318</v>
      </c>
      <c r="FB349" s="60" t="n">
        <f aca="false">$J$27/DI349*(ET349-1)-EV349-EU349*(2*DA349/DH349-$J$27/DI349)</f>
        <v>0.198812070380318</v>
      </c>
      <c r="FC349" s="60" t="n">
        <f aca="false">$K$27/DI349*(ET349-1)-EV349-EU349*(2*DB349/DH349-$K$27/DI349)</f>
        <v>0.198812070380318</v>
      </c>
      <c r="FD349" s="60" t="n">
        <f aca="false">$L$27/DI349*(ET349-1)-EV349-EU349*(2*DC349/DH349-$L$27/DI349)</f>
        <v>0.198812070380318</v>
      </c>
      <c r="FE349" s="60" t="n">
        <f aca="false">$M$27/DI349*(ET349-1)-EV349-EU349*(2*DD349/DH349-$M$27/DI349)</f>
        <v>0.198812070380318</v>
      </c>
      <c r="FF349" s="60" t="n">
        <f aca="false">$N$27/DI349*(ET349-1)-EV349-EU349*(2*DE349/DH349-$N$27/DI349)</f>
        <v>0.198812070380318</v>
      </c>
      <c r="FG349" s="60" t="n">
        <f aca="false">$O$27/DI349*(ET349-1)-EV349-EU349*(2*DF349/DH349-$O$27/DI349)</f>
        <v>0.198812070380318</v>
      </c>
      <c r="FH349" s="60" t="n">
        <f aca="false">$P$27/DI349*(ET349-1)-EV349-EU349*(2*DG349/DH349-$P$27/DI349)</f>
        <v>0.198812070380318</v>
      </c>
      <c r="FI349" s="60" t="n">
        <f aca="false">DK349/ET349&gt;$C$22</f>
        <v>0</v>
      </c>
      <c r="FJ349" s="60" t="n">
        <f aca="false">$E$28*SUMPRODUCT($E$31:$P$31,CJ349:CU349,$E$28:$P$28)</f>
        <v>0.184416866619846</v>
      </c>
      <c r="FK349" s="60" t="n">
        <f aca="false">$F$28*SUMPRODUCT($E$32:$P$32,CJ349:CU349,$E$28:$P$28)</f>
        <v>0</v>
      </c>
      <c r="FL349" s="60" t="n">
        <f aca="false">$G$28*SUMPRODUCT($E$33:$P$33,CJ349:CU349,$E$28:$P$28)</f>
        <v>0</v>
      </c>
      <c r="FM349" s="60" t="n">
        <f aca="false">$H$28*SUMPRODUCT($E$34:$P$34,CJ349:CU349,$E$28:$P$28)</f>
        <v>0</v>
      </c>
      <c r="FN349" s="60" t="n">
        <f aca="false">$I$28*SUMPRODUCT($E$35:$P$35,CJ349:CU349,$E$28:$P$28)</f>
        <v>0</v>
      </c>
      <c r="FO349" s="60" t="n">
        <f aca="false">$J$28*SUMPRODUCT($E$36:$P$36,CJ349:CU349,$E$28:$P$28)</f>
        <v>0</v>
      </c>
      <c r="FP349" s="60" t="n">
        <f aca="false">$K$28*SUMPRODUCT($E$37:$P$37,CJ349:CU349,$E$28:$P$28)</f>
        <v>0</v>
      </c>
      <c r="FQ349" s="60" t="n">
        <f aca="false">$L$28*SUMPRODUCT($E$38:$P$38,CJ349:CU349,$E$28:$P$28)</f>
        <v>0</v>
      </c>
      <c r="FR349" s="60" t="n">
        <f aca="false">$M$28*SUMPRODUCT($E$39:$P$39,CJ349:CU349,$E$28:$P$28)</f>
        <v>0</v>
      </c>
      <c r="FS349" s="60" t="n">
        <f aca="false">$N$28*SUMPRODUCT($E$40:$P$40,CJ349:CU349,$E$28:$P$28)</f>
        <v>0</v>
      </c>
      <c r="FT349" s="60" t="n">
        <f aca="false">$O$28*SUMPRODUCT($E$41:$P$41,CJ349:CU349,$E$28:$P$28)</f>
        <v>0</v>
      </c>
      <c r="FU349" s="60" t="n">
        <f aca="false">$P$28*SUMPRODUCT($E$42:$P$42,CJ349:CU349,$E$28:$P$28)</f>
        <v>0</v>
      </c>
      <c r="FV349" s="60" t="n">
        <f aca="false">SUMPRODUCT(CJ349:CU349,FJ349:FU349)</f>
        <v>0.184416866619846</v>
      </c>
      <c r="FW349" s="60" t="n">
        <f aca="false">SUMPRODUCT(CJ349:CU349,$E$27:$P$27)</f>
        <v>2.67389635063809E-005</v>
      </c>
      <c r="FX349" s="60" t="n">
        <f aca="false">FV349*$C$9/($C$10*$C$8)^2</f>
        <v>0.21776909410545</v>
      </c>
      <c r="FY349" s="60" t="n">
        <f aca="false">FW349*$C$9/($C$10*$C$8)</f>
        <v>0.0918845243259994</v>
      </c>
      <c r="FZ349" s="60" t="n">
        <f aca="false">CHOOSE($C$7,-(1+FY349),-1,-(1-FY349))</f>
        <v>-0.908115475674001</v>
      </c>
      <c r="GA349" s="60" t="n">
        <f aca="false">CHOOSE($C$7,FX349,FX349-FY349-FY349^2,FX349-3*FY349^2-2*FY349)</f>
        <v>0.00867174802160559</v>
      </c>
      <c r="GB349" s="60" t="n">
        <f aca="false">CHOOSE($C$7,-FX349*FY349,-FX349*FY349,-(FX349*FY349-FY349^2-FY349^3))</f>
        <v>-0.0107910842936637</v>
      </c>
      <c r="GC349" s="60" t="n">
        <f aca="false">GA349-FZ349^2/3</f>
        <v>-0.266219491031267</v>
      </c>
      <c r="GD349" s="60" t="n">
        <f aca="false">2*FZ349^3/27-FZ349*GA349/3+GB349</f>
        <v>-0.0636400988362784</v>
      </c>
      <c r="GE349" s="60" t="n">
        <f aca="false">GD349^2/4+GC349^3/27</f>
        <v>0.000313710901361829</v>
      </c>
      <c r="GF349" s="60" t="n">
        <f aca="false">-GD349/2-IF(GD349&gt;=0,1,-1)*SQRT(MAX(GE349,0))</f>
        <v>0.0495319352963236</v>
      </c>
      <c r="GG349" s="60" t="n">
        <f aca="false">SIGN(GF349)*ABS(GF349)^(1/3)</f>
        <v>0.367249967174439</v>
      </c>
      <c r="GH349" s="60" t="n">
        <f aca="false">IF(GG349=0,0,GG349-GC349/(3*GG349))</f>
        <v>0.60888329127384</v>
      </c>
      <c r="GI349" s="60" t="n">
        <f aca="false">2*SQRT(MAX(-GC349,0)/3)</f>
        <v>0.595784626668918</v>
      </c>
      <c r="GJ349" s="60" t="n">
        <f aca="false">ACOS(IF(GI349=0,0,MAX(-1,MIN(1,3*GD349/(GC349*GI349)))))</f>
        <v>0</v>
      </c>
      <c r="GK349" s="60" t="n">
        <f aca="false">GI349*COS(GJ349/3)</f>
        <v>0.595784626668918</v>
      </c>
      <c r="GL349" s="60" t="n">
        <f aca="false">IF(GE349&lt;0,GK349,GH349)-FZ349/3</f>
        <v>0.91158844983184</v>
      </c>
      <c r="GM349" s="60" t="n">
        <f aca="false">IFERROR((((GL349+FZ349)*GL349+GA349)*GL349+GB349)/((3*GL349+2*FZ349)*GL349+GA349),0)</f>
        <v>0</v>
      </c>
      <c r="GN349" s="60" t="n">
        <f aca="false">IF(ABS(GM349)&lt;0.1*ABS(GL349),GL349-GM349,GL349)</f>
        <v>0.91158844983184</v>
      </c>
      <c r="GO349" s="60" t="n">
        <f aca="false">IFERROR((((GN349+FZ349)*GN349+GA349)*GN349+GB349)/((3*GN349+2*FZ349)*GN349+GA349),0)</f>
        <v>0</v>
      </c>
      <c r="GP349" s="60" t="n">
        <f aca="false">IF(ABS(GO349)&lt;0.1*ABS(GN349),GN349-GO349,GN349)</f>
        <v>0.91158844983184</v>
      </c>
      <c r="GQ349" s="60" t="n">
        <f aca="false">-GB349/GP349</f>
        <v>0.0118376711504565</v>
      </c>
      <c r="GR349" s="60" t="n">
        <f aca="false">(GA349-GQ349)/GP349</f>
        <v>-0.00347297415783941</v>
      </c>
      <c r="GS349" s="60" t="n">
        <f aca="false">GR349^2-4*GQ349</f>
        <v>-0.0473386230523248</v>
      </c>
      <c r="GT349" s="60" t="n">
        <f aca="false">IF(GS349&gt;=0,(GR349+IF(GR349&gt;=0,1,-1)*SQRT(GS349))/2,0)</f>
        <v>0</v>
      </c>
      <c r="GU349" s="60" t="n">
        <f aca="false">IF(AND(GS349&gt;=0,GT349&lt;&gt;0),MIN(GT349,GQ349/GT349),-1)</f>
        <v>-1</v>
      </c>
      <c r="GV349" s="60" t="n">
        <f aca="false">AND(GS349&gt;=0,GU349&gt;FY349,ABS(GP349-GU349)&gt;=0.00005*MAX(GP349,GU349))</f>
        <v>0</v>
      </c>
      <c r="GW349" s="60" t="n">
        <f aca="false">IF(GV349,IFERROR((((GU349+FZ349)*GU349+GA349)*GU349+GB349)/((3*GU349+2*FZ349)*GU349+GA349),0),0)</f>
        <v>0</v>
      </c>
      <c r="GX349" s="60" t="n">
        <f aca="false">IF(ABS(GW349)&lt;0.1*ABS(GU349),GU349-GW349,GU349)</f>
        <v>-1</v>
      </c>
      <c r="GY349" s="60" t="n">
        <f aca="false">IF(GV349,IFERROR((((GX349+FZ349)*GX349+GA349)*GX349+GB349)/((3*GX349+2*FZ349)*GX349+GA349),0),0)</f>
        <v>0</v>
      </c>
      <c r="GZ349" s="60" t="n">
        <f aca="false">IF(ABS(GY349)&lt;0.1*ABS(GX349),GX349-GY349,GX349)</f>
        <v>-1</v>
      </c>
      <c r="HA349" s="60" t="n">
        <f aca="false">IF(GV349,MAX(GP349,GZ349),GP349)</f>
        <v>0.91158844983184</v>
      </c>
      <c r="HB349" s="60" t="n">
        <f aca="false">IF(GV349,MIN(GP349,GZ349),-1)</f>
        <v>-1</v>
      </c>
      <c r="HC349" s="60" t="n">
        <f aca="false">CHOOSE($C$7,FX349/HA349,FX349/FY349*LN(1+FY349/HA349),FX349/(2*SQRT(2)*FY349)*LN((HA349+(1+SQRT(2))*FY349)/(HA349+(1-SQRT(2))*FY349)))</f>
        <v>0.218240791233887</v>
      </c>
      <c r="HD349" s="60" t="n">
        <f aca="false">HA349-1-LN(HA349-FY349)-HC349</f>
        <v>-0.107840271021729</v>
      </c>
      <c r="HE349" s="60" t="n">
        <f aca="false">IF(GV349,CHOOSE($C$7,FX349/HB349,FX349/FY349*LN(1+FY349/HB349),FX349/(2*SQRT(2)*FY349)*LN((HB349+(1+SQRT(2))*FY349)/(HB349+(1-SQRT(2))*FY349))),0)</f>
        <v>0</v>
      </c>
      <c r="HF349" s="60" t="n">
        <f aca="false">IF(GV349,HB349-1-LN(HB349-FY349)-HE349,0)</f>
        <v>0</v>
      </c>
      <c r="HG349" s="60" t="n">
        <f aca="false">AND(GV349,HF349&lt;HD349)</f>
        <v>0</v>
      </c>
      <c r="HH349" s="60" t="n">
        <f aca="false">IF(HG349,HB349,HA349)</f>
        <v>0.91158844983184</v>
      </c>
      <c r="HI349" s="60" t="n">
        <f aca="false">IF(HG349,HE349,HC349)</f>
        <v>0.218240791233887</v>
      </c>
      <c r="HJ349" s="60" t="n">
        <f aca="false">LN(HH349-FY349)</f>
        <v>-0.198812070380318</v>
      </c>
      <c r="HK349" s="60" t="n">
        <f aca="false">$E$27/FW349*(HH349-1)-HJ349-HI349*(2*FJ349/FV349-$E$27/FW349)</f>
        <v>-0.107840271021729</v>
      </c>
      <c r="HL349" s="60" t="n">
        <f aca="false">$F$27/FW349*(HH349-1)-HJ349-HI349*(2*FK349/FV349-$F$27/FW349)</f>
        <v>0.198812070380318</v>
      </c>
      <c r="HM349" s="60" t="n">
        <f aca="false">$G$27/FW349*(HH349-1)-HJ349-HI349*(2*FL349/FV349-$G$27/FW349)</f>
        <v>0.198812070380318</v>
      </c>
      <c r="HN349" s="60" t="n">
        <f aca="false">$H$27/FW349*(HH349-1)-HJ349-HI349*(2*FM349/FV349-$H$27/FW349)</f>
        <v>0.198812070380318</v>
      </c>
      <c r="HO349" s="60" t="n">
        <f aca="false">$I$27/FW349*(HH349-1)-HJ349-HI349*(2*FN349/FV349-$I$27/FW349)</f>
        <v>0.198812070380318</v>
      </c>
      <c r="HP349" s="60" t="n">
        <f aca="false">$J$27/FW349*(HH349-1)-HJ349-HI349*(2*FO349/FV349-$J$27/FW349)</f>
        <v>0.198812070380318</v>
      </c>
      <c r="HQ349" s="60" t="n">
        <f aca="false">$K$27/FW349*(HH349-1)-HJ349-HI349*(2*FP349/FV349-$K$27/FW349)</f>
        <v>0.198812070380318</v>
      </c>
      <c r="HR349" s="60" t="n">
        <f aca="false">$L$27/FW349*(HH349-1)-HJ349-HI349*(2*FQ349/FV349-$L$27/FW349)</f>
        <v>0.198812070380318</v>
      </c>
      <c r="HS349" s="60" t="n">
        <f aca="false">$M$27/FW349*(HH349-1)-HJ349-HI349*(2*FR349/FV349-$M$27/FW349)</f>
        <v>0.198812070380318</v>
      </c>
      <c r="HT349" s="60" t="n">
        <f aca="false">$N$27/FW349*(HH349-1)-HJ349-HI349*(2*FS349/FV349-$N$27/FW349)</f>
        <v>0.198812070380318</v>
      </c>
      <c r="HU349" s="60" t="n">
        <f aca="false">$O$27/FW349*(HH349-1)-HJ349-HI349*(2*FT349/FV349-$O$27/FW349)</f>
        <v>0.198812070380318</v>
      </c>
      <c r="HV349" s="60" t="n">
        <f aca="false">$P$27/FW349*(HH349-1)-HJ349-HI349*(2*FU349/FV349-$P$27/FW349)</f>
        <v>0.198812070380318</v>
      </c>
      <c r="HW349" s="60" t="n">
        <f aca="false">FY349/HH349&gt;$C$22</f>
        <v>0</v>
      </c>
      <c r="HX349" s="60" t="n">
        <f aca="false">IF($E$13&gt;0,MAX(-300,MIN(300,EW349-HK349)),0)</f>
        <v>0</v>
      </c>
      <c r="HY349" s="60" t="n">
        <f aca="false">IF($F$13&gt;0,MAX(-300,MIN(300,EX349-HL349)),0)</f>
        <v>0</v>
      </c>
      <c r="HZ349" s="60" t="n">
        <f aca="false">IF($G$13&gt;0,MAX(-300,MIN(300,EY349-HM349)),0)</f>
        <v>0</v>
      </c>
      <c r="IA349" s="60" t="n">
        <f aca="false">IF($H$13&gt;0,MAX(-300,MIN(300,EZ349-HN349)),0)</f>
        <v>0</v>
      </c>
      <c r="IB349" s="60" t="n">
        <f aca="false">IF($I$13&gt;0,MAX(-300,MIN(300,FA349-HO349)),0)</f>
        <v>0</v>
      </c>
      <c r="IC349" s="60" t="n">
        <f aca="false">IF($J$13&gt;0,MAX(-300,MIN(300,FB349-HP349)),0)</f>
        <v>0</v>
      </c>
      <c r="ID349" s="60" t="n">
        <f aca="false">IF($K$13&gt;0,MAX(-300,MIN(300,FC349-HQ349)),0)</f>
        <v>0</v>
      </c>
      <c r="IE349" s="60" t="n">
        <f aca="false">IF($L$13&gt;0,MAX(-300,MIN(300,FD349-HR349)),0)</f>
        <v>0</v>
      </c>
      <c r="IF349" s="60" t="n">
        <f aca="false">IF($M$13&gt;0,MAX(-300,MIN(300,FE349-HS349)),0)</f>
        <v>0</v>
      </c>
      <c r="IG349" s="60" t="n">
        <f aca="false">IF($N$13&gt;0,MAX(-300,MIN(300,FF349-HT349)),0)</f>
        <v>0</v>
      </c>
      <c r="IH349" s="60" t="n">
        <f aca="false">IF($O$13&gt;0,MAX(-300,MIN(300,FG349-HU349)),0)</f>
        <v>0</v>
      </c>
      <c r="II349" s="60" t="n">
        <f aca="false">IF($P$13&gt;0,MAX(-300,MIN(300,FH349-HV349)),0)</f>
        <v>0</v>
      </c>
      <c r="IJ349" s="60" t="n">
        <f aca="false">SUMXMY2(HX349:II349,B349:M349)</f>
        <v>0</v>
      </c>
      <c r="IK349" s="60" t="n">
        <f aca="false">SUMSQ(B349:M349)</f>
        <v>0</v>
      </c>
    </row>
    <row r="350" customFormat="false" ht="15" hidden="false" customHeight="false" outlineLevel="0" collapsed="false">
      <c r="A350" s="59" t="n">
        <v>53</v>
      </c>
      <c r="B350" s="60" t="n">
        <f aca="false">HX349</f>
        <v>0</v>
      </c>
      <c r="C350" s="60" t="n">
        <f aca="false">HY349</f>
        <v>0</v>
      </c>
      <c r="D350" s="60" t="n">
        <f aca="false">HZ349</f>
        <v>0</v>
      </c>
      <c r="E350" s="60" t="n">
        <f aca="false">IA349</f>
        <v>0</v>
      </c>
      <c r="F350" s="60" t="n">
        <f aca="false">IB349</f>
        <v>0</v>
      </c>
      <c r="G350" s="60" t="n">
        <f aca="false">IC349</f>
        <v>0</v>
      </c>
      <c r="H350" s="60" t="n">
        <f aca="false">ID349</f>
        <v>0</v>
      </c>
      <c r="I350" s="60" t="n">
        <f aca="false">IE349</f>
        <v>0</v>
      </c>
      <c r="J350" s="60" t="n">
        <f aca="false">IF349</f>
        <v>0</v>
      </c>
      <c r="K350" s="60" t="n">
        <f aca="false">IG349</f>
        <v>0</v>
      </c>
      <c r="L350" s="60" t="n">
        <f aca="false">IH349</f>
        <v>0</v>
      </c>
      <c r="M350" s="60" t="n">
        <f aca="false">II349</f>
        <v>0</v>
      </c>
      <c r="N350" s="60" t="n">
        <f aca="false">EXP(B350)</f>
        <v>1</v>
      </c>
      <c r="O350" s="60" t="n">
        <f aca="false">EXP(C350)</f>
        <v>1</v>
      </c>
      <c r="P350" s="60" t="n">
        <f aca="false">EXP(D350)</f>
        <v>1</v>
      </c>
      <c r="Q350" s="60" t="n">
        <f aca="false">EXP(E350)</f>
        <v>1</v>
      </c>
      <c r="R350" s="60" t="n">
        <f aca="false">EXP(F350)</f>
        <v>1</v>
      </c>
      <c r="S350" s="60" t="n">
        <f aca="false">EXP(G350)</f>
        <v>1</v>
      </c>
      <c r="T350" s="60" t="n">
        <f aca="false">EXP(H350)</f>
        <v>1</v>
      </c>
      <c r="U350" s="60" t="n">
        <f aca="false">EXP(I350)</f>
        <v>1</v>
      </c>
      <c r="V350" s="60" t="n">
        <f aca="false">EXP(J350)</f>
        <v>1</v>
      </c>
      <c r="W350" s="60" t="n">
        <f aca="false">EXP(K350)</f>
        <v>1</v>
      </c>
      <c r="X350" s="60" t="n">
        <f aca="false">EXP(L350)</f>
        <v>1</v>
      </c>
      <c r="Y350" s="60" t="n">
        <f aca="false">EXP(M350)</f>
        <v>1</v>
      </c>
      <c r="Z350" s="60" t="n">
        <f aca="false">MAX(N350:Y350)</f>
        <v>1</v>
      </c>
      <c r="AA350" s="60" t="n">
        <f aca="false">MIN(N350:Y350)</f>
        <v>1</v>
      </c>
      <c r="AB350" s="60" t="n">
        <f aca="false">AND(Z350&gt;1,AA350&lt;1)</f>
        <v>0</v>
      </c>
      <c r="AC350" s="60" t="n">
        <f aca="false">IF(AB350,1/(1-Z350),0)</f>
        <v>0</v>
      </c>
      <c r="AD350" s="60" t="n">
        <f aca="false">IF(AB350,1/(1-AA350),1)</f>
        <v>1</v>
      </c>
      <c r="AE350" s="60" t="n">
        <f aca="false">IF(AB350,MIN(MAX(BI349,AC350+0.000000001*(AD350-AC350)),AD350-0.000000001*(AD350-AC350)),IF(AA350&gt;=1,1,0))</f>
        <v>1</v>
      </c>
      <c r="AF350" s="60" t="n">
        <f aca="false">SUMPRODUCT($E$13:$P$13*(N350:Y350-1)/(1+AE350*(N350:Y350-1)))</f>
        <v>0</v>
      </c>
      <c r="AG350" s="60" t="n">
        <f aca="false">-SUMPRODUCT($E$13:$P$13*(N350:Y350-1)^2/(1+AE350*(N350:Y350-1))^2)</f>
        <v>-0</v>
      </c>
      <c r="AH350" s="60" t="n">
        <f aca="false">IF(OR(NOT(AB350),AG350=0),AE350,IF(AE350-AF350/AG350&lt;=AC350,(AE350+AC350)/2,IF(AE350-AF350/AG350&gt;=AD350,(AE350+AD350)/2,AE350-AF350/AG350)))</f>
        <v>1</v>
      </c>
      <c r="AI350" s="60" t="n">
        <f aca="false">SUMPRODUCT($E$13:$P$13*(N350:Y350-1)/(1+AH350*(N350:Y350-1)))</f>
        <v>0</v>
      </c>
      <c r="AJ350" s="60" t="n">
        <f aca="false">-SUMPRODUCT($E$13:$P$13*(N350:Y350-1)^2/(1+AH350*(N350:Y350-1))^2)</f>
        <v>-0</v>
      </c>
      <c r="AK350" s="60" t="n">
        <f aca="false">IF(OR(NOT(AB350),AJ350=0),AH350,IF(AH350-AI350/AJ350&lt;=AC350,(AH350+AC350)/2,IF(AH350-AI350/AJ350&gt;=AD350,(AH350+AD350)/2,AH350-AI350/AJ350)))</f>
        <v>1</v>
      </c>
      <c r="AL350" s="60" t="n">
        <f aca="false">SUMPRODUCT($E$13:$P$13*(N350:Y350-1)/(1+AK350*(N350:Y350-1)))</f>
        <v>0</v>
      </c>
      <c r="AM350" s="60" t="n">
        <f aca="false">-SUMPRODUCT($E$13:$P$13*(N350:Y350-1)^2/(1+AK350*(N350:Y350-1))^2)</f>
        <v>-0</v>
      </c>
      <c r="AN350" s="60" t="n">
        <f aca="false">IF(OR(NOT(AB350),AM350=0),AK350,IF(AK350-AL350/AM350&lt;=AC350,(AK350+AC350)/2,IF(AK350-AL350/AM350&gt;=AD350,(AK350+AD350)/2,AK350-AL350/AM350)))</f>
        <v>1</v>
      </c>
      <c r="AO350" s="60" t="n">
        <f aca="false">SUMPRODUCT($E$13:$P$13*(N350:Y350-1)/(1+AN350*(N350:Y350-1)))</f>
        <v>0</v>
      </c>
      <c r="AP350" s="60" t="n">
        <f aca="false">-SUMPRODUCT($E$13:$P$13*(N350:Y350-1)^2/(1+AN350*(N350:Y350-1))^2)</f>
        <v>-0</v>
      </c>
      <c r="AQ350" s="60" t="n">
        <f aca="false">IF(OR(NOT(AB350),AP350=0),AN350,IF(AN350-AO350/AP350&lt;=AC350,(AN350+AC350)/2,IF(AN350-AO350/AP350&gt;=AD350,(AN350+AD350)/2,AN350-AO350/AP350)))</f>
        <v>1</v>
      </c>
      <c r="AR350" s="60" t="n">
        <f aca="false">SUMPRODUCT($E$13:$P$13*(N350:Y350-1)/(1+AQ350*(N350:Y350-1)))</f>
        <v>0</v>
      </c>
      <c r="AS350" s="60" t="n">
        <f aca="false">-SUMPRODUCT($E$13:$P$13*(N350:Y350-1)^2/(1+AQ350*(N350:Y350-1))^2)</f>
        <v>-0</v>
      </c>
      <c r="AT350" s="60" t="n">
        <f aca="false">IF(OR(NOT(AB350),AS350=0),AQ350,IF(AQ350-AR350/AS350&lt;=AC350,(AQ350+AC350)/2,IF(AQ350-AR350/AS350&gt;=AD350,(AQ350+AD350)/2,AQ350-AR350/AS350)))</f>
        <v>1</v>
      </c>
      <c r="AU350" s="60" t="n">
        <f aca="false">SUMPRODUCT($E$13:$P$13*(N350:Y350-1)/(1+AT350*(N350:Y350-1)))</f>
        <v>0</v>
      </c>
      <c r="AV350" s="60" t="n">
        <f aca="false">-SUMPRODUCT($E$13:$P$13*(N350:Y350-1)^2/(1+AT350*(N350:Y350-1))^2)</f>
        <v>-0</v>
      </c>
      <c r="AW350" s="60" t="n">
        <f aca="false">IF(OR(NOT(AB350),AV350=0),AT350,IF(AT350-AU350/AV350&lt;=AC350,(AT350+AC350)/2,IF(AT350-AU350/AV350&gt;=AD350,(AT350+AD350)/2,AT350-AU350/AV350)))</f>
        <v>1</v>
      </c>
      <c r="AX350" s="60" t="n">
        <f aca="false">SUMPRODUCT($E$13:$P$13*(N350:Y350-1)/(1+AW350*(N350:Y350-1)))</f>
        <v>0</v>
      </c>
      <c r="AY350" s="60" t="n">
        <f aca="false">-SUMPRODUCT($E$13:$P$13*(N350:Y350-1)^2/(1+AW350*(N350:Y350-1))^2)</f>
        <v>-0</v>
      </c>
      <c r="AZ350" s="60" t="n">
        <f aca="false">IF(OR(NOT(AB350),AY350=0),AW350,IF(AW350-AX350/AY350&lt;=AC350,(AW350+AC350)/2,IF(AW350-AX350/AY350&gt;=AD350,(AW350+AD350)/2,AW350-AX350/AY350)))</f>
        <v>1</v>
      </c>
      <c r="BA350" s="60" t="n">
        <f aca="false">SUMPRODUCT($E$13:$P$13*(N350:Y350-1)/(1+AZ350*(N350:Y350-1)))</f>
        <v>0</v>
      </c>
      <c r="BB350" s="60" t="n">
        <f aca="false">-SUMPRODUCT($E$13:$P$13*(N350:Y350-1)^2/(1+AZ350*(N350:Y350-1))^2)</f>
        <v>-0</v>
      </c>
      <c r="BC350" s="60" t="n">
        <f aca="false">IF(OR(NOT(AB350),BB350=0),AZ350,IF(AZ350-BA350/BB350&lt;=AC350,(AZ350+AC350)/2,IF(AZ350-BA350/BB350&gt;=AD350,(AZ350+AD350)/2,AZ350-BA350/BB350)))</f>
        <v>1</v>
      </c>
      <c r="BD350" s="60" t="n">
        <f aca="false">SUMPRODUCT($E$13:$P$13*(N350:Y350-1)/(1+BC350*(N350:Y350-1)))</f>
        <v>0</v>
      </c>
      <c r="BE350" s="60" t="n">
        <f aca="false">-SUMPRODUCT($E$13:$P$13*(N350:Y350-1)^2/(1+BC350*(N350:Y350-1))^2)</f>
        <v>-0</v>
      </c>
      <c r="BF350" s="60" t="n">
        <f aca="false">IF(OR(NOT(AB350),BE350=0),BC350,IF(BC350-BD350/BE350&lt;=AC350,(BC350+AC350)/2,IF(BC350-BD350/BE350&gt;=AD350,(BC350+AD350)/2,BC350-BD350/BE350)))</f>
        <v>1</v>
      </c>
      <c r="BG350" s="60" t="n">
        <f aca="false">SUMPRODUCT($E$13:$P$13*(N350:Y350-1)/(1+BF350*(N350:Y350-1)))</f>
        <v>0</v>
      </c>
      <c r="BH350" s="60" t="n">
        <f aca="false">-SUMPRODUCT($E$13:$P$13*(N350:Y350-1)^2/(1+BF350*(N350:Y350-1))^2)</f>
        <v>-0</v>
      </c>
      <c r="BI350" s="60" t="n">
        <f aca="false">IF(OR(NOT(AB350),BH350=0),BF350,IF(BF350-BG350/BH350&lt;=AC350,(BF350+AC350)/2,IF(BF350-BG350/BH350&gt;=AD350,(BF350+AD350)/2,BF350-BG350/BH350)))</f>
        <v>1</v>
      </c>
      <c r="BJ350" s="60" t="n">
        <f aca="false">$E$13/(1+BI350*(N350-1))</f>
        <v>1</v>
      </c>
      <c r="BK350" s="60" t="n">
        <f aca="false">$F$13/(1+BI350*(O350-1))</f>
        <v>0</v>
      </c>
      <c r="BL350" s="60" t="n">
        <f aca="false">$G$13/(1+BI350*(P350-1))</f>
        <v>0</v>
      </c>
      <c r="BM350" s="60" t="n">
        <f aca="false">$H$13/(1+BI350*(Q350-1))</f>
        <v>0</v>
      </c>
      <c r="BN350" s="60" t="n">
        <f aca="false">$I$13/(1+BI350*(R350-1))</f>
        <v>0</v>
      </c>
      <c r="BO350" s="60" t="n">
        <f aca="false">$J$13/(1+BI350*(S350-1))</f>
        <v>0</v>
      </c>
      <c r="BP350" s="60" t="n">
        <f aca="false">$K$13/(1+BI350*(T350-1))</f>
        <v>0</v>
      </c>
      <c r="BQ350" s="60" t="n">
        <f aca="false">$L$13/(1+BI350*(U350-1))</f>
        <v>0</v>
      </c>
      <c r="BR350" s="60" t="n">
        <f aca="false">$M$13/(1+BI350*(V350-1))</f>
        <v>0</v>
      </c>
      <c r="BS350" s="60" t="n">
        <f aca="false">$N$13/(1+BI350*(W350-1))</f>
        <v>0</v>
      </c>
      <c r="BT350" s="60" t="n">
        <f aca="false">$O$13/(1+BI350*(X350-1))</f>
        <v>0</v>
      </c>
      <c r="BU350" s="60" t="n">
        <f aca="false">$P$13/(1+BI350*(Y350-1))</f>
        <v>0</v>
      </c>
      <c r="BV350" s="60" t="n">
        <f aca="false">SUM(BJ350:BU350)</f>
        <v>1</v>
      </c>
      <c r="BW350" s="60" t="n">
        <f aca="false">SUMPRODUCT(N350:Y350,BJ350:BU350)</f>
        <v>1</v>
      </c>
      <c r="BX350" s="60" t="n">
        <f aca="false">BJ350/BV350</f>
        <v>1</v>
      </c>
      <c r="BY350" s="60" t="n">
        <f aca="false">BK350/BV350</f>
        <v>0</v>
      </c>
      <c r="BZ350" s="60" t="n">
        <f aca="false">BL350/BV350</f>
        <v>0</v>
      </c>
      <c r="CA350" s="60" t="n">
        <f aca="false">BM350/BV350</f>
        <v>0</v>
      </c>
      <c r="CB350" s="60" t="n">
        <f aca="false">BN350/BV350</f>
        <v>0</v>
      </c>
      <c r="CC350" s="60" t="n">
        <f aca="false">BO350/BV350</f>
        <v>0</v>
      </c>
      <c r="CD350" s="60" t="n">
        <f aca="false">BP350/BV350</f>
        <v>0</v>
      </c>
      <c r="CE350" s="60" t="n">
        <f aca="false">BQ350/BV350</f>
        <v>0</v>
      </c>
      <c r="CF350" s="60" t="n">
        <f aca="false">BR350/BV350</f>
        <v>0</v>
      </c>
      <c r="CG350" s="60" t="n">
        <f aca="false">BS350/BV350</f>
        <v>0</v>
      </c>
      <c r="CH350" s="60" t="n">
        <f aca="false">BT350/BV350</f>
        <v>0</v>
      </c>
      <c r="CI350" s="60" t="n">
        <f aca="false">BU350/BV350</f>
        <v>0</v>
      </c>
      <c r="CJ350" s="60" t="n">
        <f aca="false">N350*BJ350/BW350</f>
        <v>1</v>
      </c>
      <c r="CK350" s="60" t="n">
        <f aca="false">O350*BK350/BW350</f>
        <v>0</v>
      </c>
      <c r="CL350" s="60" t="n">
        <f aca="false">P350*BL350/BW350</f>
        <v>0</v>
      </c>
      <c r="CM350" s="60" t="n">
        <f aca="false">Q350*BM350/BW350</f>
        <v>0</v>
      </c>
      <c r="CN350" s="60" t="n">
        <f aca="false">R350*BN350/BW350</f>
        <v>0</v>
      </c>
      <c r="CO350" s="60" t="n">
        <f aca="false">S350*BO350/BW350</f>
        <v>0</v>
      </c>
      <c r="CP350" s="60" t="n">
        <f aca="false">T350*BP350/BW350</f>
        <v>0</v>
      </c>
      <c r="CQ350" s="60" t="n">
        <f aca="false">U350*BQ350/BW350</f>
        <v>0</v>
      </c>
      <c r="CR350" s="60" t="n">
        <f aca="false">V350*BR350/BW350</f>
        <v>0</v>
      </c>
      <c r="CS350" s="60" t="n">
        <f aca="false">W350*BS350/BW350</f>
        <v>0</v>
      </c>
      <c r="CT350" s="60" t="n">
        <f aca="false">X350*BT350/BW350</f>
        <v>0</v>
      </c>
      <c r="CU350" s="60" t="n">
        <f aca="false">Y350*BU350/BW350</f>
        <v>0</v>
      </c>
      <c r="CV350" s="60" t="n">
        <f aca="false">$E$28*SUMPRODUCT($E$31:$P$31,BX350:CI350,$E$28:$P$28)</f>
        <v>0.184416866619846</v>
      </c>
      <c r="CW350" s="60" t="n">
        <f aca="false">$F$28*SUMPRODUCT($E$32:$P$32,BX350:CI350,$E$28:$P$28)</f>
        <v>0</v>
      </c>
      <c r="CX350" s="60" t="n">
        <f aca="false">$G$28*SUMPRODUCT($E$33:$P$33,BX350:CI350,$E$28:$P$28)</f>
        <v>0</v>
      </c>
      <c r="CY350" s="60" t="n">
        <f aca="false">$H$28*SUMPRODUCT($E$34:$P$34,BX350:CI350,$E$28:$P$28)</f>
        <v>0</v>
      </c>
      <c r="CZ350" s="60" t="n">
        <f aca="false">$I$28*SUMPRODUCT($E$35:$P$35,BX350:CI350,$E$28:$P$28)</f>
        <v>0</v>
      </c>
      <c r="DA350" s="60" t="n">
        <f aca="false">$J$28*SUMPRODUCT($E$36:$P$36,BX350:CI350,$E$28:$P$28)</f>
        <v>0</v>
      </c>
      <c r="DB350" s="60" t="n">
        <f aca="false">$K$28*SUMPRODUCT($E$37:$P$37,BX350:CI350,$E$28:$P$28)</f>
        <v>0</v>
      </c>
      <c r="DC350" s="60" t="n">
        <f aca="false">$L$28*SUMPRODUCT($E$38:$P$38,BX350:CI350,$E$28:$P$28)</f>
        <v>0</v>
      </c>
      <c r="DD350" s="60" t="n">
        <f aca="false">$M$28*SUMPRODUCT($E$39:$P$39,BX350:CI350,$E$28:$P$28)</f>
        <v>0</v>
      </c>
      <c r="DE350" s="60" t="n">
        <f aca="false">$N$28*SUMPRODUCT($E$40:$P$40,BX350:CI350,$E$28:$P$28)</f>
        <v>0</v>
      </c>
      <c r="DF350" s="60" t="n">
        <f aca="false">$O$28*SUMPRODUCT($E$41:$P$41,BX350:CI350,$E$28:$P$28)</f>
        <v>0</v>
      </c>
      <c r="DG350" s="60" t="n">
        <f aca="false">$P$28*SUMPRODUCT($E$42:$P$42,BX350:CI350,$E$28:$P$28)</f>
        <v>0</v>
      </c>
      <c r="DH350" s="60" t="n">
        <f aca="false">SUMPRODUCT(BX350:CI350,CV350:DG350)</f>
        <v>0.184416866619846</v>
      </c>
      <c r="DI350" s="60" t="n">
        <f aca="false">SUMPRODUCT(BX350:CI350,$E$27:$P$27)</f>
        <v>2.67389635063809E-005</v>
      </c>
      <c r="DJ350" s="60" t="n">
        <f aca="false">DH350*$C$9/($C$10*$C$8)^2</f>
        <v>0.21776909410545</v>
      </c>
      <c r="DK350" s="60" t="n">
        <f aca="false">DI350*$C$9/($C$10*$C$8)</f>
        <v>0.0918845243259994</v>
      </c>
      <c r="DL350" s="60" t="n">
        <f aca="false">CHOOSE($C$7,-(1+DK350),-1,-(1-DK350))</f>
        <v>-0.908115475674001</v>
      </c>
      <c r="DM350" s="60" t="n">
        <f aca="false">CHOOSE($C$7,DJ350,DJ350-DK350-DK350^2,DJ350-3*DK350^2-2*DK350)</f>
        <v>0.00867174802160559</v>
      </c>
      <c r="DN350" s="60" t="n">
        <f aca="false">CHOOSE($C$7,-DJ350*DK350,-DJ350*DK350,-(DJ350*DK350-DK350^2-DK350^3))</f>
        <v>-0.0107910842936637</v>
      </c>
      <c r="DO350" s="60" t="n">
        <f aca="false">DM350-DL350^2/3</f>
        <v>-0.266219491031267</v>
      </c>
      <c r="DP350" s="60" t="n">
        <f aca="false">2*DL350^3/27-DL350*DM350/3+DN350</f>
        <v>-0.0636400988362784</v>
      </c>
      <c r="DQ350" s="60" t="n">
        <f aca="false">DP350^2/4+DO350^3/27</f>
        <v>0.000313710901361829</v>
      </c>
      <c r="DR350" s="60" t="n">
        <f aca="false">-DP350/2-IF(DP350&gt;=0,1,-1)*SQRT(MAX(DQ350,0))</f>
        <v>0.0495319352963236</v>
      </c>
      <c r="DS350" s="60" t="n">
        <f aca="false">SIGN(DR350)*ABS(DR350)^(1/3)</f>
        <v>0.367249967174439</v>
      </c>
      <c r="DT350" s="60" t="n">
        <f aca="false">IF(DS350=0,0,DS350-DO350/(3*DS350))</f>
        <v>0.60888329127384</v>
      </c>
      <c r="DU350" s="60" t="n">
        <f aca="false">2*SQRT(MAX(-DO350,0)/3)</f>
        <v>0.595784626668918</v>
      </c>
      <c r="DV350" s="60" t="n">
        <f aca="false">ACOS(IF(DU350=0,0,MAX(-1,MIN(1,3*DP350/(DO350*DU350)))))</f>
        <v>0</v>
      </c>
      <c r="DW350" s="60" t="n">
        <f aca="false">DU350*COS(DV350/3)</f>
        <v>0.595784626668918</v>
      </c>
      <c r="DX350" s="60" t="n">
        <f aca="false">IF(DQ350&lt;0,DW350,DT350)-DL350/3</f>
        <v>0.91158844983184</v>
      </c>
      <c r="DY350" s="60" t="n">
        <f aca="false">IFERROR((((DX350+DL350)*DX350+DM350)*DX350+DN350)/((3*DX350+2*DL350)*DX350+DM350),0)</f>
        <v>0</v>
      </c>
      <c r="DZ350" s="60" t="n">
        <f aca="false">IF(ABS(DY350)&lt;0.1*ABS(DX350),DX350-DY350,DX350)</f>
        <v>0.91158844983184</v>
      </c>
      <c r="EA350" s="60" t="n">
        <f aca="false">IFERROR((((DZ350+DL350)*DZ350+DM350)*DZ350+DN350)/((3*DZ350+2*DL350)*DZ350+DM350),0)</f>
        <v>0</v>
      </c>
      <c r="EB350" s="60" t="n">
        <f aca="false">IF(ABS(EA350)&lt;0.1*ABS(DZ350),DZ350-EA350,DZ350)</f>
        <v>0.91158844983184</v>
      </c>
      <c r="EC350" s="60" t="n">
        <f aca="false">-DN350/EB350</f>
        <v>0.0118376711504565</v>
      </c>
      <c r="ED350" s="60" t="n">
        <f aca="false">(DM350-EC350)/EB350</f>
        <v>-0.00347297415783941</v>
      </c>
      <c r="EE350" s="60" t="n">
        <f aca="false">ED350^2-4*EC350</f>
        <v>-0.0473386230523248</v>
      </c>
      <c r="EF350" s="60" t="n">
        <f aca="false">IF(EE350&gt;=0,(ED350+IF(ED350&gt;=0,1,-1)*SQRT(EE350))/2,0)</f>
        <v>0</v>
      </c>
      <c r="EG350" s="60" t="n">
        <f aca="false">IF(AND(EE350&gt;=0,EF350&lt;&gt;0),MIN(EF350,EC350/EF350),-1)</f>
        <v>-1</v>
      </c>
      <c r="EH350" s="60" t="n">
        <f aca="false">AND(EE350&gt;=0,EG350&gt;DK350,ABS(EB350-EG350)&gt;=0.00005*MAX(EB350,EG350))</f>
        <v>0</v>
      </c>
      <c r="EI350" s="60" t="n">
        <f aca="false">IF(EH350,IFERROR((((EG350+DL350)*EG350+DM350)*EG350+DN350)/((3*EG350+2*DL350)*EG350+DM350),0),0)</f>
        <v>0</v>
      </c>
      <c r="EJ350" s="60" t="n">
        <f aca="false">IF(ABS(EI350)&lt;0.1*ABS(EG350),EG350-EI350,EG350)</f>
        <v>-1</v>
      </c>
      <c r="EK350" s="60" t="n">
        <f aca="false">IF(EH350,IFERROR((((EJ350+DL350)*EJ350+DM350)*EJ350+DN350)/((3*EJ350+2*DL350)*EJ350+DM350),0),0)</f>
        <v>0</v>
      </c>
      <c r="EL350" s="60" t="n">
        <f aca="false">IF(ABS(EK350)&lt;0.1*ABS(EJ350),EJ350-EK350,EJ350)</f>
        <v>-1</v>
      </c>
      <c r="EM350" s="60" t="n">
        <f aca="false">IF(EH350,MAX(EB350,EL350),EB350)</f>
        <v>0.91158844983184</v>
      </c>
      <c r="EN350" s="60" t="n">
        <f aca="false">IF(EH350,MIN(EB350,EL350),-1)</f>
        <v>-1</v>
      </c>
      <c r="EO350" s="60" t="n">
        <f aca="false">CHOOSE($C$7,DJ350/EM350,DJ350/DK350*LN(1+DK350/EM350),DJ350/(2*SQRT(2)*DK350)*LN((EM350+(1+SQRT(2))*DK350)/(EM350+(1-SQRT(2))*DK350)))</f>
        <v>0.218240791233887</v>
      </c>
      <c r="EP350" s="60" t="n">
        <f aca="false">EM350-1-LN(EM350-DK350)-EO350</f>
        <v>-0.107840271021729</v>
      </c>
      <c r="EQ350" s="60" t="n">
        <f aca="false">IF(EH350,CHOOSE($C$7,DJ350/EN350,DJ350/DK350*LN(1+DK350/EN350),DJ350/(2*SQRT(2)*DK350)*LN((EN350+(1+SQRT(2))*DK350)/(EN350+(1-SQRT(2))*DK350))),0)</f>
        <v>0</v>
      </c>
      <c r="ER350" s="60" t="n">
        <f aca="false">IF(EH350,EN350-1-LN(EN350-DK350)-EQ350,0)</f>
        <v>0</v>
      </c>
      <c r="ES350" s="60" t="n">
        <f aca="false">AND(EH350,ER350&lt;EP350)</f>
        <v>0</v>
      </c>
      <c r="ET350" s="60" t="n">
        <f aca="false">IF(ES350,EN350,EM350)</f>
        <v>0.91158844983184</v>
      </c>
      <c r="EU350" s="60" t="n">
        <f aca="false">IF(ES350,EQ350,EO350)</f>
        <v>0.218240791233887</v>
      </c>
      <c r="EV350" s="60" t="n">
        <f aca="false">LN(ET350-DK350)</f>
        <v>-0.198812070380318</v>
      </c>
      <c r="EW350" s="60" t="n">
        <f aca="false">$E$27/DI350*(ET350-1)-EV350-EU350*(2*CV350/DH350-$E$27/DI350)</f>
        <v>-0.107840271021729</v>
      </c>
      <c r="EX350" s="60" t="n">
        <f aca="false">$F$27/DI350*(ET350-1)-EV350-EU350*(2*CW350/DH350-$F$27/DI350)</f>
        <v>0.198812070380318</v>
      </c>
      <c r="EY350" s="60" t="n">
        <f aca="false">$G$27/DI350*(ET350-1)-EV350-EU350*(2*CX350/DH350-$G$27/DI350)</f>
        <v>0.198812070380318</v>
      </c>
      <c r="EZ350" s="60" t="n">
        <f aca="false">$H$27/DI350*(ET350-1)-EV350-EU350*(2*CY350/DH350-$H$27/DI350)</f>
        <v>0.198812070380318</v>
      </c>
      <c r="FA350" s="60" t="n">
        <f aca="false">$I$27/DI350*(ET350-1)-EV350-EU350*(2*CZ350/DH350-$I$27/DI350)</f>
        <v>0.198812070380318</v>
      </c>
      <c r="FB350" s="60" t="n">
        <f aca="false">$J$27/DI350*(ET350-1)-EV350-EU350*(2*DA350/DH350-$J$27/DI350)</f>
        <v>0.198812070380318</v>
      </c>
      <c r="FC350" s="60" t="n">
        <f aca="false">$K$27/DI350*(ET350-1)-EV350-EU350*(2*DB350/DH350-$K$27/DI350)</f>
        <v>0.198812070380318</v>
      </c>
      <c r="FD350" s="60" t="n">
        <f aca="false">$L$27/DI350*(ET350-1)-EV350-EU350*(2*DC350/DH350-$L$27/DI350)</f>
        <v>0.198812070380318</v>
      </c>
      <c r="FE350" s="60" t="n">
        <f aca="false">$M$27/DI350*(ET350-1)-EV350-EU350*(2*DD350/DH350-$M$27/DI350)</f>
        <v>0.198812070380318</v>
      </c>
      <c r="FF350" s="60" t="n">
        <f aca="false">$N$27/DI350*(ET350-1)-EV350-EU350*(2*DE350/DH350-$N$27/DI350)</f>
        <v>0.198812070380318</v>
      </c>
      <c r="FG350" s="60" t="n">
        <f aca="false">$O$27/DI350*(ET350-1)-EV350-EU350*(2*DF350/DH350-$O$27/DI350)</f>
        <v>0.198812070380318</v>
      </c>
      <c r="FH350" s="60" t="n">
        <f aca="false">$P$27/DI350*(ET350-1)-EV350-EU350*(2*DG350/DH350-$P$27/DI350)</f>
        <v>0.198812070380318</v>
      </c>
      <c r="FI350" s="60" t="n">
        <f aca="false">DK350/ET350&gt;$C$22</f>
        <v>0</v>
      </c>
      <c r="FJ350" s="60" t="n">
        <f aca="false">$E$28*SUMPRODUCT($E$31:$P$31,CJ350:CU350,$E$28:$P$28)</f>
        <v>0.184416866619846</v>
      </c>
      <c r="FK350" s="60" t="n">
        <f aca="false">$F$28*SUMPRODUCT($E$32:$P$32,CJ350:CU350,$E$28:$P$28)</f>
        <v>0</v>
      </c>
      <c r="FL350" s="60" t="n">
        <f aca="false">$G$28*SUMPRODUCT($E$33:$P$33,CJ350:CU350,$E$28:$P$28)</f>
        <v>0</v>
      </c>
      <c r="FM350" s="60" t="n">
        <f aca="false">$H$28*SUMPRODUCT($E$34:$P$34,CJ350:CU350,$E$28:$P$28)</f>
        <v>0</v>
      </c>
      <c r="FN350" s="60" t="n">
        <f aca="false">$I$28*SUMPRODUCT($E$35:$P$35,CJ350:CU350,$E$28:$P$28)</f>
        <v>0</v>
      </c>
      <c r="FO350" s="60" t="n">
        <f aca="false">$J$28*SUMPRODUCT($E$36:$P$36,CJ350:CU350,$E$28:$P$28)</f>
        <v>0</v>
      </c>
      <c r="FP350" s="60" t="n">
        <f aca="false">$K$28*SUMPRODUCT($E$37:$P$37,CJ350:CU350,$E$28:$P$28)</f>
        <v>0</v>
      </c>
      <c r="FQ350" s="60" t="n">
        <f aca="false">$L$28*SUMPRODUCT($E$38:$P$38,CJ350:CU350,$E$28:$P$28)</f>
        <v>0</v>
      </c>
      <c r="FR350" s="60" t="n">
        <f aca="false">$M$28*SUMPRODUCT($E$39:$P$39,CJ350:CU350,$E$28:$P$28)</f>
        <v>0</v>
      </c>
      <c r="FS350" s="60" t="n">
        <f aca="false">$N$28*SUMPRODUCT($E$40:$P$40,CJ350:CU350,$E$28:$P$28)</f>
        <v>0</v>
      </c>
      <c r="FT350" s="60" t="n">
        <f aca="false">$O$28*SUMPRODUCT($E$41:$P$41,CJ350:CU350,$E$28:$P$28)</f>
        <v>0</v>
      </c>
      <c r="FU350" s="60" t="n">
        <f aca="false">$P$28*SUMPRODUCT($E$42:$P$42,CJ350:CU350,$E$28:$P$28)</f>
        <v>0</v>
      </c>
      <c r="FV350" s="60" t="n">
        <f aca="false">SUMPRODUCT(CJ350:CU350,FJ350:FU350)</f>
        <v>0.184416866619846</v>
      </c>
      <c r="FW350" s="60" t="n">
        <f aca="false">SUMPRODUCT(CJ350:CU350,$E$27:$P$27)</f>
        <v>2.67389635063809E-005</v>
      </c>
      <c r="FX350" s="60" t="n">
        <f aca="false">FV350*$C$9/($C$10*$C$8)^2</f>
        <v>0.21776909410545</v>
      </c>
      <c r="FY350" s="60" t="n">
        <f aca="false">FW350*$C$9/($C$10*$C$8)</f>
        <v>0.0918845243259994</v>
      </c>
      <c r="FZ350" s="60" t="n">
        <f aca="false">CHOOSE($C$7,-(1+FY350),-1,-(1-FY350))</f>
        <v>-0.908115475674001</v>
      </c>
      <c r="GA350" s="60" t="n">
        <f aca="false">CHOOSE($C$7,FX350,FX350-FY350-FY350^2,FX350-3*FY350^2-2*FY350)</f>
        <v>0.00867174802160559</v>
      </c>
      <c r="GB350" s="60" t="n">
        <f aca="false">CHOOSE($C$7,-FX350*FY350,-FX350*FY350,-(FX350*FY350-FY350^2-FY350^3))</f>
        <v>-0.0107910842936637</v>
      </c>
      <c r="GC350" s="60" t="n">
        <f aca="false">GA350-FZ350^2/3</f>
        <v>-0.266219491031267</v>
      </c>
      <c r="GD350" s="60" t="n">
        <f aca="false">2*FZ350^3/27-FZ350*GA350/3+GB350</f>
        <v>-0.0636400988362784</v>
      </c>
      <c r="GE350" s="60" t="n">
        <f aca="false">GD350^2/4+GC350^3/27</f>
        <v>0.000313710901361829</v>
      </c>
      <c r="GF350" s="60" t="n">
        <f aca="false">-GD350/2-IF(GD350&gt;=0,1,-1)*SQRT(MAX(GE350,0))</f>
        <v>0.0495319352963236</v>
      </c>
      <c r="GG350" s="60" t="n">
        <f aca="false">SIGN(GF350)*ABS(GF350)^(1/3)</f>
        <v>0.367249967174439</v>
      </c>
      <c r="GH350" s="60" t="n">
        <f aca="false">IF(GG350=0,0,GG350-GC350/(3*GG350))</f>
        <v>0.60888329127384</v>
      </c>
      <c r="GI350" s="60" t="n">
        <f aca="false">2*SQRT(MAX(-GC350,0)/3)</f>
        <v>0.595784626668918</v>
      </c>
      <c r="GJ350" s="60" t="n">
        <f aca="false">ACOS(IF(GI350=0,0,MAX(-1,MIN(1,3*GD350/(GC350*GI350)))))</f>
        <v>0</v>
      </c>
      <c r="GK350" s="60" t="n">
        <f aca="false">GI350*COS(GJ350/3)</f>
        <v>0.595784626668918</v>
      </c>
      <c r="GL350" s="60" t="n">
        <f aca="false">IF(GE350&lt;0,GK350,GH350)-FZ350/3</f>
        <v>0.91158844983184</v>
      </c>
      <c r="GM350" s="60" t="n">
        <f aca="false">IFERROR((((GL350+FZ350)*GL350+GA350)*GL350+GB350)/((3*GL350+2*FZ350)*GL350+GA350),0)</f>
        <v>0</v>
      </c>
      <c r="GN350" s="60" t="n">
        <f aca="false">IF(ABS(GM350)&lt;0.1*ABS(GL350),GL350-GM350,GL350)</f>
        <v>0.91158844983184</v>
      </c>
      <c r="GO350" s="60" t="n">
        <f aca="false">IFERROR((((GN350+FZ350)*GN350+GA350)*GN350+GB350)/((3*GN350+2*FZ350)*GN350+GA350),0)</f>
        <v>0</v>
      </c>
      <c r="GP350" s="60" t="n">
        <f aca="false">IF(ABS(GO350)&lt;0.1*ABS(GN350),GN350-GO350,GN350)</f>
        <v>0.91158844983184</v>
      </c>
      <c r="GQ350" s="60" t="n">
        <f aca="false">-GB350/GP350</f>
        <v>0.0118376711504565</v>
      </c>
      <c r="GR350" s="60" t="n">
        <f aca="false">(GA350-GQ350)/GP350</f>
        <v>-0.00347297415783941</v>
      </c>
      <c r="GS350" s="60" t="n">
        <f aca="false">GR350^2-4*GQ350</f>
        <v>-0.0473386230523248</v>
      </c>
      <c r="GT350" s="60" t="n">
        <f aca="false">IF(GS350&gt;=0,(GR350+IF(GR350&gt;=0,1,-1)*SQRT(GS350))/2,0)</f>
        <v>0</v>
      </c>
      <c r="GU350" s="60" t="n">
        <f aca="false">IF(AND(GS350&gt;=0,GT350&lt;&gt;0),MIN(GT350,GQ350/GT350),-1)</f>
        <v>-1</v>
      </c>
      <c r="GV350" s="60" t="n">
        <f aca="false">AND(GS350&gt;=0,GU350&gt;FY350,ABS(GP350-GU350)&gt;=0.00005*MAX(GP350,GU350))</f>
        <v>0</v>
      </c>
      <c r="GW350" s="60" t="n">
        <f aca="false">IF(GV350,IFERROR((((GU350+FZ350)*GU350+GA350)*GU350+GB350)/((3*GU350+2*FZ350)*GU350+GA350),0),0)</f>
        <v>0</v>
      </c>
      <c r="GX350" s="60" t="n">
        <f aca="false">IF(ABS(GW350)&lt;0.1*ABS(GU350),GU350-GW350,GU350)</f>
        <v>-1</v>
      </c>
      <c r="GY350" s="60" t="n">
        <f aca="false">IF(GV350,IFERROR((((GX350+FZ350)*GX350+GA350)*GX350+GB350)/((3*GX350+2*FZ350)*GX350+GA350),0),0)</f>
        <v>0</v>
      </c>
      <c r="GZ350" s="60" t="n">
        <f aca="false">IF(ABS(GY350)&lt;0.1*ABS(GX350),GX350-GY350,GX350)</f>
        <v>-1</v>
      </c>
      <c r="HA350" s="60" t="n">
        <f aca="false">IF(GV350,MAX(GP350,GZ350),GP350)</f>
        <v>0.91158844983184</v>
      </c>
      <c r="HB350" s="60" t="n">
        <f aca="false">IF(GV350,MIN(GP350,GZ350),-1)</f>
        <v>-1</v>
      </c>
      <c r="HC350" s="60" t="n">
        <f aca="false">CHOOSE($C$7,FX350/HA350,FX350/FY350*LN(1+FY350/HA350),FX350/(2*SQRT(2)*FY350)*LN((HA350+(1+SQRT(2))*FY350)/(HA350+(1-SQRT(2))*FY350)))</f>
        <v>0.218240791233887</v>
      </c>
      <c r="HD350" s="60" t="n">
        <f aca="false">HA350-1-LN(HA350-FY350)-HC350</f>
        <v>-0.107840271021729</v>
      </c>
      <c r="HE350" s="60" t="n">
        <f aca="false">IF(GV350,CHOOSE($C$7,FX350/HB350,FX350/FY350*LN(1+FY350/HB350),FX350/(2*SQRT(2)*FY350)*LN((HB350+(1+SQRT(2))*FY350)/(HB350+(1-SQRT(2))*FY350))),0)</f>
        <v>0</v>
      </c>
      <c r="HF350" s="60" t="n">
        <f aca="false">IF(GV350,HB350-1-LN(HB350-FY350)-HE350,0)</f>
        <v>0</v>
      </c>
      <c r="HG350" s="60" t="n">
        <f aca="false">AND(GV350,HF350&lt;HD350)</f>
        <v>0</v>
      </c>
      <c r="HH350" s="60" t="n">
        <f aca="false">IF(HG350,HB350,HA350)</f>
        <v>0.91158844983184</v>
      </c>
      <c r="HI350" s="60" t="n">
        <f aca="false">IF(HG350,HE350,HC350)</f>
        <v>0.218240791233887</v>
      </c>
      <c r="HJ350" s="60" t="n">
        <f aca="false">LN(HH350-FY350)</f>
        <v>-0.198812070380318</v>
      </c>
      <c r="HK350" s="60" t="n">
        <f aca="false">$E$27/FW350*(HH350-1)-HJ350-HI350*(2*FJ350/FV350-$E$27/FW350)</f>
        <v>-0.107840271021729</v>
      </c>
      <c r="HL350" s="60" t="n">
        <f aca="false">$F$27/FW350*(HH350-1)-HJ350-HI350*(2*FK350/FV350-$F$27/FW350)</f>
        <v>0.198812070380318</v>
      </c>
      <c r="HM350" s="60" t="n">
        <f aca="false">$G$27/FW350*(HH350-1)-HJ350-HI350*(2*FL350/FV350-$G$27/FW350)</f>
        <v>0.198812070380318</v>
      </c>
      <c r="HN350" s="60" t="n">
        <f aca="false">$H$27/FW350*(HH350-1)-HJ350-HI350*(2*FM350/FV350-$H$27/FW350)</f>
        <v>0.198812070380318</v>
      </c>
      <c r="HO350" s="60" t="n">
        <f aca="false">$I$27/FW350*(HH350-1)-HJ350-HI350*(2*FN350/FV350-$I$27/FW350)</f>
        <v>0.198812070380318</v>
      </c>
      <c r="HP350" s="60" t="n">
        <f aca="false">$J$27/FW350*(HH350-1)-HJ350-HI350*(2*FO350/FV350-$J$27/FW350)</f>
        <v>0.198812070380318</v>
      </c>
      <c r="HQ350" s="60" t="n">
        <f aca="false">$K$27/FW350*(HH350-1)-HJ350-HI350*(2*FP350/FV350-$K$27/FW350)</f>
        <v>0.198812070380318</v>
      </c>
      <c r="HR350" s="60" t="n">
        <f aca="false">$L$27/FW350*(HH350-1)-HJ350-HI350*(2*FQ350/FV350-$L$27/FW350)</f>
        <v>0.198812070380318</v>
      </c>
      <c r="HS350" s="60" t="n">
        <f aca="false">$M$27/FW350*(HH350-1)-HJ350-HI350*(2*FR350/FV350-$M$27/FW350)</f>
        <v>0.198812070380318</v>
      </c>
      <c r="HT350" s="60" t="n">
        <f aca="false">$N$27/FW350*(HH350-1)-HJ350-HI350*(2*FS350/FV350-$N$27/FW350)</f>
        <v>0.198812070380318</v>
      </c>
      <c r="HU350" s="60" t="n">
        <f aca="false">$O$27/FW350*(HH350-1)-HJ350-HI350*(2*FT350/FV350-$O$27/FW350)</f>
        <v>0.198812070380318</v>
      </c>
      <c r="HV350" s="60" t="n">
        <f aca="false">$P$27/FW350*(HH350-1)-HJ350-HI350*(2*FU350/FV350-$P$27/FW350)</f>
        <v>0.198812070380318</v>
      </c>
      <c r="HW350" s="60" t="n">
        <f aca="false">FY350/HH350&gt;$C$22</f>
        <v>0</v>
      </c>
      <c r="HX350" s="60" t="n">
        <f aca="false">IF($E$13&gt;0,MAX(-300,MIN(300,EW350-HK350)),0)</f>
        <v>0</v>
      </c>
      <c r="HY350" s="60" t="n">
        <f aca="false">IF($F$13&gt;0,MAX(-300,MIN(300,EX350-HL350)),0)</f>
        <v>0</v>
      </c>
      <c r="HZ350" s="60" t="n">
        <f aca="false">IF($G$13&gt;0,MAX(-300,MIN(300,EY350-HM350)),0)</f>
        <v>0</v>
      </c>
      <c r="IA350" s="60" t="n">
        <f aca="false">IF($H$13&gt;0,MAX(-300,MIN(300,EZ350-HN350)),0)</f>
        <v>0</v>
      </c>
      <c r="IB350" s="60" t="n">
        <f aca="false">IF($I$13&gt;0,MAX(-300,MIN(300,FA350-HO350)),0)</f>
        <v>0</v>
      </c>
      <c r="IC350" s="60" t="n">
        <f aca="false">IF($J$13&gt;0,MAX(-300,MIN(300,FB350-HP350)),0)</f>
        <v>0</v>
      </c>
      <c r="ID350" s="60" t="n">
        <f aca="false">IF($K$13&gt;0,MAX(-300,MIN(300,FC350-HQ350)),0)</f>
        <v>0</v>
      </c>
      <c r="IE350" s="60" t="n">
        <f aca="false">IF($L$13&gt;0,MAX(-300,MIN(300,FD350-HR350)),0)</f>
        <v>0</v>
      </c>
      <c r="IF350" s="60" t="n">
        <f aca="false">IF($M$13&gt;0,MAX(-300,MIN(300,FE350-HS350)),0)</f>
        <v>0</v>
      </c>
      <c r="IG350" s="60" t="n">
        <f aca="false">IF($N$13&gt;0,MAX(-300,MIN(300,FF350-HT350)),0)</f>
        <v>0</v>
      </c>
      <c r="IH350" s="60" t="n">
        <f aca="false">IF($O$13&gt;0,MAX(-300,MIN(300,FG350-HU350)),0)</f>
        <v>0</v>
      </c>
      <c r="II350" s="60" t="n">
        <f aca="false">IF($P$13&gt;0,MAX(-300,MIN(300,FH350-HV350)),0)</f>
        <v>0</v>
      </c>
      <c r="IJ350" s="60" t="n">
        <f aca="false">SUMXMY2(HX350:II350,B350:M350)</f>
        <v>0</v>
      </c>
      <c r="IK350" s="60" t="n">
        <f aca="false">SUMSQ(B350:M350)</f>
        <v>0</v>
      </c>
    </row>
    <row r="351" customFormat="false" ht="15" hidden="false" customHeight="false" outlineLevel="0" collapsed="false">
      <c r="A351" s="59" t="n">
        <v>54</v>
      </c>
      <c r="B351" s="60" t="n">
        <f aca="false">HX350</f>
        <v>0</v>
      </c>
      <c r="C351" s="60" t="n">
        <f aca="false">HY350</f>
        <v>0</v>
      </c>
      <c r="D351" s="60" t="n">
        <f aca="false">HZ350</f>
        <v>0</v>
      </c>
      <c r="E351" s="60" t="n">
        <f aca="false">IA350</f>
        <v>0</v>
      </c>
      <c r="F351" s="60" t="n">
        <f aca="false">IB350</f>
        <v>0</v>
      </c>
      <c r="G351" s="60" t="n">
        <f aca="false">IC350</f>
        <v>0</v>
      </c>
      <c r="H351" s="60" t="n">
        <f aca="false">ID350</f>
        <v>0</v>
      </c>
      <c r="I351" s="60" t="n">
        <f aca="false">IE350</f>
        <v>0</v>
      </c>
      <c r="J351" s="60" t="n">
        <f aca="false">IF350</f>
        <v>0</v>
      </c>
      <c r="K351" s="60" t="n">
        <f aca="false">IG350</f>
        <v>0</v>
      </c>
      <c r="L351" s="60" t="n">
        <f aca="false">IH350</f>
        <v>0</v>
      </c>
      <c r="M351" s="60" t="n">
        <f aca="false">II350</f>
        <v>0</v>
      </c>
      <c r="N351" s="60" t="n">
        <f aca="false">EXP(B351)</f>
        <v>1</v>
      </c>
      <c r="O351" s="60" t="n">
        <f aca="false">EXP(C351)</f>
        <v>1</v>
      </c>
      <c r="P351" s="60" t="n">
        <f aca="false">EXP(D351)</f>
        <v>1</v>
      </c>
      <c r="Q351" s="60" t="n">
        <f aca="false">EXP(E351)</f>
        <v>1</v>
      </c>
      <c r="R351" s="60" t="n">
        <f aca="false">EXP(F351)</f>
        <v>1</v>
      </c>
      <c r="S351" s="60" t="n">
        <f aca="false">EXP(G351)</f>
        <v>1</v>
      </c>
      <c r="T351" s="60" t="n">
        <f aca="false">EXP(H351)</f>
        <v>1</v>
      </c>
      <c r="U351" s="60" t="n">
        <f aca="false">EXP(I351)</f>
        <v>1</v>
      </c>
      <c r="V351" s="60" t="n">
        <f aca="false">EXP(J351)</f>
        <v>1</v>
      </c>
      <c r="W351" s="60" t="n">
        <f aca="false">EXP(K351)</f>
        <v>1</v>
      </c>
      <c r="X351" s="60" t="n">
        <f aca="false">EXP(L351)</f>
        <v>1</v>
      </c>
      <c r="Y351" s="60" t="n">
        <f aca="false">EXP(M351)</f>
        <v>1</v>
      </c>
      <c r="Z351" s="60" t="n">
        <f aca="false">MAX(N351:Y351)</f>
        <v>1</v>
      </c>
      <c r="AA351" s="60" t="n">
        <f aca="false">MIN(N351:Y351)</f>
        <v>1</v>
      </c>
      <c r="AB351" s="60" t="n">
        <f aca="false">AND(Z351&gt;1,AA351&lt;1)</f>
        <v>0</v>
      </c>
      <c r="AC351" s="60" t="n">
        <f aca="false">IF(AB351,1/(1-Z351),0)</f>
        <v>0</v>
      </c>
      <c r="AD351" s="60" t="n">
        <f aca="false">IF(AB351,1/(1-AA351),1)</f>
        <v>1</v>
      </c>
      <c r="AE351" s="60" t="n">
        <f aca="false">IF(AB351,MIN(MAX(BI350,AC351+0.000000001*(AD351-AC351)),AD351-0.000000001*(AD351-AC351)),IF(AA351&gt;=1,1,0))</f>
        <v>1</v>
      </c>
      <c r="AF351" s="60" t="n">
        <f aca="false">SUMPRODUCT($E$13:$P$13*(N351:Y351-1)/(1+AE351*(N351:Y351-1)))</f>
        <v>0</v>
      </c>
      <c r="AG351" s="60" t="n">
        <f aca="false">-SUMPRODUCT($E$13:$P$13*(N351:Y351-1)^2/(1+AE351*(N351:Y351-1))^2)</f>
        <v>-0</v>
      </c>
      <c r="AH351" s="60" t="n">
        <f aca="false">IF(OR(NOT(AB351),AG351=0),AE351,IF(AE351-AF351/AG351&lt;=AC351,(AE351+AC351)/2,IF(AE351-AF351/AG351&gt;=AD351,(AE351+AD351)/2,AE351-AF351/AG351)))</f>
        <v>1</v>
      </c>
      <c r="AI351" s="60" t="n">
        <f aca="false">SUMPRODUCT($E$13:$P$13*(N351:Y351-1)/(1+AH351*(N351:Y351-1)))</f>
        <v>0</v>
      </c>
      <c r="AJ351" s="60" t="n">
        <f aca="false">-SUMPRODUCT($E$13:$P$13*(N351:Y351-1)^2/(1+AH351*(N351:Y351-1))^2)</f>
        <v>-0</v>
      </c>
      <c r="AK351" s="60" t="n">
        <f aca="false">IF(OR(NOT(AB351),AJ351=0),AH351,IF(AH351-AI351/AJ351&lt;=AC351,(AH351+AC351)/2,IF(AH351-AI351/AJ351&gt;=AD351,(AH351+AD351)/2,AH351-AI351/AJ351)))</f>
        <v>1</v>
      </c>
      <c r="AL351" s="60" t="n">
        <f aca="false">SUMPRODUCT($E$13:$P$13*(N351:Y351-1)/(1+AK351*(N351:Y351-1)))</f>
        <v>0</v>
      </c>
      <c r="AM351" s="60" t="n">
        <f aca="false">-SUMPRODUCT($E$13:$P$13*(N351:Y351-1)^2/(1+AK351*(N351:Y351-1))^2)</f>
        <v>-0</v>
      </c>
      <c r="AN351" s="60" t="n">
        <f aca="false">IF(OR(NOT(AB351),AM351=0),AK351,IF(AK351-AL351/AM351&lt;=AC351,(AK351+AC351)/2,IF(AK351-AL351/AM351&gt;=AD351,(AK351+AD351)/2,AK351-AL351/AM351)))</f>
        <v>1</v>
      </c>
      <c r="AO351" s="60" t="n">
        <f aca="false">SUMPRODUCT($E$13:$P$13*(N351:Y351-1)/(1+AN351*(N351:Y351-1)))</f>
        <v>0</v>
      </c>
      <c r="AP351" s="60" t="n">
        <f aca="false">-SUMPRODUCT($E$13:$P$13*(N351:Y351-1)^2/(1+AN351*(N351:Y351-1))^2)</f>
        <v>-0</v>
      </c>
      <c r="AQ351" s="60" t="n">
        <f aca="false">IF(OR(NOT(AB351),AP351=0),AN351,IF(AN351-AO351/AP351&lt;=AC351,(AN351+AC351)/2,IF(AN351-AO351/AP351&gt;=AD351,(AN351+AD351)/2,AN351-AO351/AP351)))</f>
        <v>1</v>
      </c>
      <c r="AR351" s="60" t="n">
        <f aca="false">SUMPRODUCT($E$13:$P$13*(N351:Y351-1)/(1+AQ351*(N351:Y351-1)))</f>
        <v>0</v>
      </c>
      <c r="AS351" s="60" t="n">
        <f aca="false">-SUMPRODUCT($E$13:$P$13*(N351:Y351-1)^2/(1+AQ351*(N351:Y351-1))^2)</f>
        <v>-0</v>
      </c>
      <c r="AT351" s="60" t="n">
        <f aca="false">IF(OR(NOT(AB351),AS351=0),AQ351,IF(AQ351-AR351/AS351&lt;=AC351,(AQ351+AC351)/2,IF(AQ351-AR351/AS351&gt;=AD351,(AQ351+AD351)/2,AQ351-AR351/AS351)))</f>
        <v>1</v>
      </c>
      <c r="AU351" s="60" t="n">
        <f aca="false">SUMPRODUCT($E$13:$P$13*(N351:Y351-1)/(1+AT351*(N351:Y351-1)))</f>
        <v>0</v>
      </c>
      <c r="AV351" s="60" t="n">
        <f aca="false">-SUMPRODUCT($E$13:$P$13*(N351:Y351-1)^2/(1+AT351*(N351:Y351-1))^2)</f>
        <v>-0</v>
      </c>
      <c r="AW351" s="60" t="n">
        <f aca="false">IF(OR(NOT(AB351),AV351=0),AT351,IF(AT351-AU351/AV351&lt;=AC351,(AT351+AC351)/2,IF(AT351-AU351/AV351&gt;=AD351,(AT351+AD351)/2,AT351-AU351/AV351)))</f>
        <v>1</v>
      </c>
      <c r="AX351" s="60" t="n">
        <f aca="false">SUMPRODUCT($E$13:$P$13*(N351:Y351-1)/(1+AW351*(N351:Y351-1)))</f>
        <v>0</v>
      </c>
      <c r="AY351" s="60" t="n">
        <f aca="false">-SUMPRODUCT($E$13:$P$13*(N351:Y351-1)^2/(1+AW351*(N351:Y351-1))^2)</f>
        <v>-0</v>
      </c>
      <c r="AZ351" s="60" t="n">
        <f aca="false">IF(OR(NOT(AB351),AY351=0),AW351,IF(AW351-AX351/AY351&lt;=AC351,(AW351+AC351)/2,IF(AW351-AX351/AY351&gt;=AD351,(AW351+AD351)/2,AW351-AX351/AY351)))</f>
        <v>1</v>
      </c>
      <c r="BA351" s="60" t="n">
        <f aca="false">SUMPRODUCT($E$13:$P$13*(N351:Y351-1)/(1+AZ351*(N351:Y351-1)))</f>
        <v>0</v>
      </c>
      <c r="BB351" s="60" t="n">
        <f aca="false">-SUMPRODUCT($E$13:$P$13*(N351:Y351-1)^2/(1+AZ351*(N351:Y351-1))^2)</f>
        <v>-0</v>
      </c>
      <c r="BC351" s="60" t="n">
        <f aca="false">IF(OR(NOT(AB351),BB351=0),AZ351,IF(AZ351-BA351/BB351&lt;=AC351,(AZ351+AC351)/2,IF(AZ351-BA351/BB351&gt;=AD351,(AZ351+AD351)/2,AZ351-BA351/BB351)))</f>
        <v>1</v>
      </c>
      <c r="BD351" s="60" t="n">
        <f aca="false">SUMPRODUCT($E$13:$P$13*(N351:Y351-1)/(1+BC351*(N351:Y351-1)))</f>
        <v>0</v>
      </c>
      <c r="BE351" s="60" t="n">
        <f aca="false">-SUMPRODUCT($E$13:$P$13*(N351:Y351-1)^2/(1+BC351*(N351:Y351-1))^2)</f>
        <v>-0</v>
      </c>
      <c r="BF351" s="60" t="n">
        <f aca="false">IF(OR(NOT(AB351),BE351=0),BC351,IF(BC351-BD351/BE351&lt;=AC351,(BC351+AC351)/2,IF(BC351-BD351/BE351&gt;=AD351,(BC351+AD351)/2,BC351-BD351/BE351)))</f>
        <v>1</v>
      </c>
      <c r="BG351" s="60" t="n">
        <f aca="false">SUMPRODUCT($E$13:$P$13*(N351:Y351-1)/(1+BF351*(N351:Y351-1)))</f>
        <v>0</v>
      </c>
      <c r="BH351" s="60" t="n">
        <f aca="false">-SUMPRODUCT($E$13:$P$13*(N351:Y351-1)^2/(1+BF351*(N351:Y351-1))^2)</f>
        <v>-0</v>
      </c>
      <c r="BI351" s="60" t="n">
        <f aca="false">IF(OR(NOT(AB351),BH351=0),BF351,IF(BF351-BG351/BH351&lt;=AC351,(BF351+AC351)/2,IF(BF351-BG351/BH351&gt;=AD351,(BF351+AD351)/2,BF351-BG351/BH351)))</f>
        <v>1</v>
      </c>
      <c r="BJ351" s="60" t="n">
        <f aca="false">$E$13/(1+BI351*(N351-1))</f>
        <v>1</v>
      </c>
      <c r="BK351" s="60" t="n">
        <f aca="false">$F$13/(1+BI351*(O351-1))</f>
        <v>0</v>
      </c>
      <c r="BL351" s="60" t="n">
        <f aca="false">$G$13/(1+BI351*(P351-1))</f>
        <v>0</v>
      </c>
      <c r="BM351" s="60" t="n">
        <f aca="false">$H$13/(1+BI351*(Q351-1))</f>
        <v>0</v>
      </c>
      <c r="BN351" s="60" t="n">
        <f aca="false">$I$13/(1+BI351*(R351-1))</f>
        <v>0</v>
      </c>
      <c r="BO351" s="60" t="n">
        <f aca="false">$J$13/(1+BI351*(S351-1))</f>
        <v>0</v>
      </c>
      <c r="BP351" s="60" t="n">
        <f aca="false">$K$13/(1+BI351*(T351-1))</f>
        <v>0</v>
      </c>
      <c r="BQ351" s="60" t="n">
        <f aca="false">$L$13/(1+BI351*(U351-1))</f>
        <v>0</v>
      </c>
      <c r="BR351" s="60" t="n">
        <f aca="false">$M$13/(1+BI351*(V351-1))</f>
        <v>0</v>
      </c>
      <c r="BS351" s="60" t="n">
        <f aca="false">$N$13/(1+BI351*(W351-1))</f>
        <v>0</v>
      </c>
      <c r="BT351" s="60" t="n">
        <f aca="false">$O$13/(1+BI351*(X351-1))</f>
        <v>0</v>
      </c>
      <c r="BU351" s="60" t="n">
        <f aca="false">$P$13/(1+BI351*(Y351-1))</f>
        <v>0</v>
      </c>
      <c r="BV351" s="60" t="n">
        <f aca="false">SUM(BJ351:BU351)</f>
        <v>1</v>
      </c>
      <c r="BW351" s="60" t="n">
        <f aca="false">SUMPRODUCT(N351:Y351,BJ351:BU351)</f>
        <v>1</v>
      </c>
      <c r="BX351" s="60" t="n">
        <f aca="false">BJ351/BV351</f>
        <v>1</v>
      </c>
      <c r="BY351" s="60" t="n">
        <f aca="false">BK351/BV351</f>
        <v>0</v>
      </c>
      <c r="BZ351" s="60" t="n">
        <f aca="false">BL351/BV351</f>
        <v>0</v>
      </c>
      <c r="CA351" s="60" t="n">
        <f aca="false">BM351/BV351</f>
        <v>0</v>
      </c>
      <c r="CB351" s="60" t="n">
        <f aca="false">BN351/BV351</f>
        <v>0</v>
      </c>
      <c r="CC351" s="60" t="n">
        <f aca="false">BO351/BV351</f>
        <v>0</v>
      </c>
      <c r="CD351" s="60" t="n">
        <f aca="false">BP351/BV351</f>
        <v>0</v>
      </c>
      <c r="CE351" s="60" t="n">
        <f aca="false">BQ351/BV351</f>
        <v>0</v>
      </c>
      <c r="CF351" s="60" t="n">
        <f aca="false">BR351/BV351</f>
        <v>0</v>
      </c>
      <c r="CG351" s="60" t="n">
        <f aca="false">BS351/BV351</f>
        <v>0</v>
      </c>
      <c r="CH351" s="60" t="n">
        <f aca="false">BT351/BV351</f>
        <v>0</v>
      </c>
      <c r="CI351" s="60" t="n">
        <f aca="false">BU351/BV351</f>
        <v>0</v>
      </c>
      <c r="CJ351" s="60" t="n">
        <f aca="false">N351*BJ351/BW351</f>
        <v>1</v>
      </c>
      <c r="CK351" s="60" t="n">
        <f aca="false">O351*BK351/BW351</f>
        <v>0</v>
      </c>
      <c r="CL351" s="60" t="n">
        <f aca="false">P351*BL351/BW351</f>
        <v>0</v>
      </c>
      <c r="CM351" s="60" t="n">
        <f aca="false">Q351*BM351/BW351</f>
        <v>0</v>
      </c>
      <c r="CN351" s="60" t="n">
        <f aca="false">R351*BN351/BW351</f>
        <v>0</v>
      </c>
      <c r="CO351" s="60" t="n">
        <f aca="false">S351*BO351/BW351</f>
        <v>0</v>
      </c>
      <c r="CP351" s="60" t="n">
        <f aca="false">T351*BP351/BW351</f>
        <v>0</v>
      </c>
      <c r="CQ351" s="60" t="n">
        <f aca="false">U351*BQ351/BW351</f>
        <v>0</v>
      </c>
      <c r="CR351" s="60" t="n">
        <f aca="false">V351*BR351/BW351</f>
        <v>0</v>
      </c>
      <c r="CS351" s="60" t="n">
        <f aca="false">W351*BS351/BW351</f>
        <v>0</v>
      </c>
      <c r="CT351" s="60" t="n">
        <f aca="false">X351*BT351/BW351</f>
        <v>0</v>
      </c>
      <c r="CU351" s="60" t="n">
        <f aca="false">Y351*BU351/BW351</f>
        <v>0</v>
      </c>
      <c r="CV351" s="60" t="n">
        <f aca="false">$E$28*SUMPRODUCT($E$31:$P$31,BX351:CI351,$E$28:$P$28)</f>
        <v>0.184416866619846</v>
      </c>
      <c r="CW351" s="60" t="n">
        <f aca="false">$F$28*SUMPRODUCT($E$32:$P$32,BX351:CI351,$E$28:$P$28)</f>
        <v>0</v>
      </c>
      <c r="CX351" s="60" t="n">
        <f aca="false">$G$28*SUMPRODUCT($E$33:$P$33,BX351:CI351,$E$28:$P$28)</f>
        <v>0</v>
      </c>
      <c r="CY351" s="60" t="n">
        <f aca="false">$H$28*SUMPRODUCT($E$34:$P$34,BX351:CI351,$E$28:$P$28)</f>
        <v>0</v>
      </c>
      <c r="CZ351" s="60" t="n">
        <f aca="false">$I$28*SUMPRODUCT($E$35:$P$35,BX351:CI351,$E$28:$P$28)</f>
        <v>0</v>
      </c>
      <c r="DA351" s="60" t="n">
        <f aca="false">$J$28*SUMPRODUCT($E$36:$P$36,BX351:CI351,$E$28:$P$28)</f>
        <v>0</v>
      </c>
      <c r="DB351" s="60" t="n">
        <f aca="false">$K$28*SUMPRODUCT($E$37:$P$37,BX351:CI351,$E$28:$P$28)</f>
        <v>0</v>
      </c>
      <c r="DC351" s="60" t="n">
        <f aca="false">$L$28*SUMPRODUCT($E$38:$P$38,BX351:CI351,$E$28:$P$28)</f>
        <v>0</v>
      </c>
      <c r="DD351" s="60" t="n">
        <f aca="false">$M$28*SUMPRODUCT($E$39:$P$39,BX351:CI351,$E$28:$P$28)</f>
        <v>0</v>
      </c>
      <c r="DE351" s="60" t="n">
        <f aca="false">$N$28*SUMPRODUCT($E$40:$P$40,BX351:CI351,$E$28:$P$28)</f>
        <v>0</v>
      </c>
      <c r="DF351" s="60" t="n">
        <f aca="false">$O$28*SUMPRODUCT($E$41:$P$41,BX351:CI351,$E$28:$P$28)</f>
        <v>0</v>
      </c>
      <c r="DG351" s="60" t="n">
        <f aca="false">$P$28*SUMPRODUCT($E$42:$P$42,BX351:CI351,$E$28:$P$28)</f>
        <v>0</v>
      </c>
      <c r="DH351" s="60" t="n">
        <f aca="false">SUMPRODUCT(BX351:CI351,CV351:DG351)</f>
        <v>0.184416866619846</v>
      </c>
      <c r="DI351" s="60" t="n">
        <f aca="false">SUMPRODUCT(BX351:CI351,$E$27:$P$27)</f>
        <v>2.67389635063809E-005</v>
      </c>
      <c r="DJ351" s="60" t="n">
        <f aca="false">DH351*$C$9/($C$10*$C$8)^2</f>
        <v>0.21776909410545</v>
      </c>
      <c r="DK351" s="60" t="n">
        <f aca="false">DI351*$C$9/($C$10*$C$8)</f>
        <v>0.0918845243259994</v>
      </c>
      <c r="DL351" s="60" t="n">
        <f aca="false">CHOOSE($C$7,-(1+DK351),-1,-(1-DK351))</f>
        <v>-0.908115475674001</v>
      </c>
      <c r="DM351" s="60" t="n">
        <f aca="false">CHOOSE($C$7,DJ351,DJ351-DK351-DK351^2,DJ351-3*DK351^2-2*DK351)</f>
        <v>0.00867174802160559</v>
      </c>
      <c r="DN351" s="60" t="n">
        <f aca="false">CHOOSE($C$7,-DJ351*DK351,-DJ351*DK351,-(DJ351*DK351-DK351^2-DK351^3))</f>
        <v>-0.0107910842936637</v>
      </c>
      <c r="DO351" s="60" t="n">
        <f aca="false">DM351-DL351^2/3</f>
        <v>-0.266219491031267</v>
      </c>
      <c r="DP351" s="60" t="n">
        <f aca="false">2*DL351^3/27-DL351*DM351/3+DN351</f>
        <v>-0.0636400988362784</v>
      </c>
      <c r="DQ351" s="60" t="n">
        <f aca="false">DP351^2/4+DO351^3/27</f>
        <v>0.000313710901361829</v>
      </c>
      <c r="DR351" s="60" t="n">
        <f aca="false">-DP351/2-IF(DP351&gt;=0,1,-1)*SQRT(MAX(DQ351,0))</f>
        <v>0.0495319352963236</v>
      </c>
      <c r="DS351" s="60" t="n">
        <f aca="false">SIGN(DR351)*ABS(DR351)^(1/3)</f>
        <v>0.367249967174439</v>
      </c>
      <c r="DT351" s="60" t="n">
        <f aca="false">IF(DS351=0,0,DS351-DO351/(3*DS351))</f>
        <v>0.60888329127384</v>
      </c>
      <c r="DU351" s="60" t="n">
        <f aca="false">2*SQRT(MAX(-DO351,0)/3)</f>
        <v>0.595784626668918</v>
      </c>
      <c r="DV351" s="60" t="n">
        <f aca="false">ACOS(IF(DU351=0,0,MAX(-1,MIN(1,3*DP351/(DO351*DU351)))))</f>
        <v>0</v>
      </c>
      <c r="DW351" s="60" t="n">
        <f aca="false">DU351*COS(DV351/3)</f>
        <v>0.595784626668918</v>
      </c>
      <c r="DX351" s="60" t="n">
        <f aca="false">IF(DQ351&lt;0,DW351,DT351)-DL351/3</f>
        <v>0.91158844983184</v>
      </c>
      <c r="DY351" s="60" t="n">
        <f aca="false">IFERROR((((DX351+DL351)*DX351+DM351)*DX351+DN351)/((3*DX351+2*DL351)*DX351+DM351),0)</f>
        <v>0</v>
      </c>
      <c r="DZ351" s="60" t="n">
        <f aca="false">IF(ABS(DY351)&lt;0.1*ABS(DX351),DX351-DY351,DX351)</f>
        <v>0.91158844983184</v>
      </c>
      <c r="EA351" s="60" t="n">
        <f aca="false">IFERROR((((DZ351+DL351)*DZ351+DM351)*DZ351+DN351)/((3*DZ351+2*DL351)*DZ351+DM351),0)</f>
        <v>0</v>
      </c>
      <c r="EB351" s="60" t="n">
        <f aca="false">IF(ABS(EA351)&lt;0.1*ABS(DZ351),DZ351-EA351,DZ351)</f>
        <v>0.91158844983184</v>
      </c>
      <c r="EC351" s="60" t="n">
        <f aca="false">-DN351/EB351</f>
        <v>0.0118376711504565</v>
      </c>
      <c r="ED351" s="60" t="n">
        <f aca="false">(DM351-EC351)/EB351</f>
        <v>-0.00347297415783941</v>
      </c>
      <c r="EE351" s="60" t="n">
        <f aca="false">ED351^2-4*EC351</f>
        <v>-0.0473386230523248</v>
      </c>
      <c r="EF351" s="60" t="n">
        <f aca="false">IF(EE351&gt;=0,(ED351+IF(ED351&gt;=0,1,-1)*SQRT(EE351))/2,0)</f>
        <v>0</v>
      </c>
      <c r="EG351" s="60" t="n">
        <f aca="false">IF(AND(EE351&gt;=0,EF351&lt;&gt;0),MIN(EF351,EC351/EF351),-1)</f>
        <v>-1</v>
      </c>
      <c r="EH351" s="60" t="n">
        <f aca="false">AND(EE351&gt;=0,EG351&gt;DK351,ABS(EB351-EG351)&gt;=0.00005*MAX(EB351,EG351))</f>
        <v>0</v>
      </c>
      <c r="EI351" s="60" t="n">
        <f aca="false">IF(EH351,IFERROR((((EG351+DL351)*EG351+DM351)*EG351+DN351)/((3*EG351+2*DL351)*EG351+DM351),0),0)</f>
        <v>0</v>
      </c>
      <c r="EJ351" s="60" t="n">
        <f aca="false">IF(ABS(EI351)&lt;0.1*ABS(EG351),EG351-EI351,EG351)</f>
        <v>-1</v>
      </c>
      <c r="EK351" s="60" t="n">
        <f aca="false">IF(EH351,IFERROR((((EJ351+DL351)*EJ351+DM351)*EJ351+DN351)/((3*EJ351+2*DL351)*EJ351+DM351),0),0)</f>
        <v>0</v>
      </c>
      <c r="EL351" s="60" t="n">
        <f aca="false">IF(ABS(EK351)&lt;0.1*ABS(EJ351),EJ351-EK351,EJ351)</f>
        <v>-1</v>
      </c>
      <c r="EM351" s="60" t="n">
        <f aca="false">IF(EH351,MAX(EB351,EL351),EB351)</f>
        <v>0.91158844983184</v>
      </c>
      <c r="EN351" s="60" t="n">
        <f aca="false">IF(EH351,MIN(EB351,EL351),-1)</f>
        <v>-1</v>
      </c>
      <c r="EO351" s="60" t="n">
        <f aca="false">CHOOSE($C$7,DJ351/EM351,DJ351/DK351*LN(1+DK351/EM351),DJ351/(2*SQRT(2)*DK351)*LN((EM351+(1+SQRT(2))*DK351)/(EM351+(1-SQRT(2))*DK351)))</f>
        <v>0.218240791233887</v>
      </c>
      <c r="EP351" s="60" t="n">
        <f aca="false">EM351-1-LN(EM351-DK351)-EO351</f>
        <v>-0.107840271021729</v>
      </c>
      <c r="EQ351" s="60" t="n">
        <f aca="false">IF(EH351,CHOOSE($C$7,DJ351/EN351,DJ351/DK351*LN(1+DK351/EN351),DJ351/(2*SQRT(2)*DK351)*LN((EN351+(1+SQRT(2))*DK351)/(EN351+(1-SQRT(2))*DK351))),0)</f>
        <v>0</v>
      </c>
      <c r="ER351" s="60" t="n">
        <f aca="false">IF(EH351,EN351-1-LN(EN351-DK351)-EQ351,0)</f>
        <v>0</v>
      </c>
      <c r="ES351" s="60" t="n">
        <f aca="false">AND(EH351,ER351&lt;EP351)</f>
        <v>0</v>
      </c>
      <c r="ET351" s="60" t="n">
        <f aca="false">IF(ES351,EN351,EM351)</f>
        <v>0.91158844983184</v>
      </c>
      <c r="EU351" s="60" t="n">
        <f aca="false">IF(ES351,EQ351,EO351)</f>
        <v>0.218240791233887</v>
      </c>
      <c r="EV351" s="60" t="n">
        <f aca="false">LN(ET351-DK351)</f>
        <v>-0.198812070380318</v>
      </c>
      <c r="EW351" s="60" t="n">
        <f aca="false">$E$27/DI351*(ET351-1)-EV351-EU351*(2*CV351/DH351-$E$27/DI351)</f>
        <v>-0.107840271021729</v>
      </c>
      <c r="EX351" s="60" t="n">
        <f aca="false">$F$27/DI351*(ET351-1)-EV351-EU351*(2*CW351/DH351-$F$27/DI351)</f>
        <v>0.198812070380318</v>
      </c>
      <c r="EY351" s="60" t="n">
        <f aca="false">$G$27/DI351*(ET351-1)-EV351-EU351*(2*CX351/DH351-$G$27/DI351)</f>
        <v>0.198812070380318</v>
      </c>
      <c r="EZ351" s="60" t="n">
        <f aca="false">$H$27/DI351*(ET351-1)-EV351-EU351*(2*CY351/DH351-$H$27/DI351)</f>
        <v>0.198812070380318</v>
      </c>
      <c r="FA351" s="60" t="n">
        <f aca="false">$I$27/DI351*(ET351-1)-EV351-EU351*(2*CZ351/DH351-$I$27/DI351)</f>
        <v>0.198812070380318</v>
      </c>
      <c r="FB351" s="60" t="n">
        <f aca="false">$J$27/DI351*(ET351-1)-EV351-EU351*(2*DA351/DH351-$J$27/DI351)</f>
        <v>0.198812070380318</v>
      </c>
      <c r="FC351" s="60" t="n">
        <f aca="false">$K$27/DI351*(ET351-1)-EV351-EU351*(2*DB351/DH351-$K$27/DI351)</f>
        <v>0.198812070380318</v>
      </c>
      <c r="FD351" s="60" t="n">
        <f aca="false">$L$27/DI351*(ET351-1)-EV351-EU351*(2*DC351/DH351-$L$27/DI351)</f>
        <v>0.198812070380318</v>
      </c>
      <c r="FE351" s="60" t="n">
        <f aca="false">$M$27/DI351*(ET351-1)-EV351-EU351*(2*DD351/DH351-$M$27/DI351)</f>
        <v>0.198812070380318</v>
      </c>
      <c r="FF351" s="60" t="n">
        <f aca="false">$N$27/DI351*(ET351-1)-EV351-EU351*(2*DE351/DH351-$N$27/DI351)</f>
        <v>0.198812070380318</v>
      </c>
      <c r="FG351" s="60" t="n">
        <f aca="false">$O$27/DI351*(ET351-1)-EV351-EU351*(2*DF351/DH351-$O$27/DI351)</f>
        <v>0.198812070380318</v>
      </c>
      <c r="FH351" s="60" t="n">
        <f aca="false">$P$27/DI351*(ET351-1)-EV351-EU351*(2*DG351/DH351-$P$27/DI351)</f>
        <v>0.198812070380318</v>
      </c>
      <c r="FI351" s="60" t="n">
        <f aca="false">DK351/ET351&gt;$C$22</f>
        <v>0</v>
      </c>
      <c r="FJ351" s="60" t="n">
        <f aca="false">$E$28*SUMPRODUCT($E$31:$P$31,CJ351:CU351,$E$28:$P$28)</f>
        <v>0.184416866619846</v>
      </c>
      <c r="FK351" s="60" t="n">
        <f aca="false">$F$28*SUMPRODUCT($E$32:$P$32,CJ351:CU351,$E$28:$P$28)</f>
        <v>0</v>
      </c>
      <c r="FL351" s="60" t="n">
        <f aca="false">$G$28*SUMPRODUCT($E$33:$P$33,CJ351:CU351,$E$28:$P$28)</f>
        <v>0</v>
      </c>
      <c r="FM351" s="60" t="n">
        <f aca="false">$H$28*SUMPRODUCT($E$34:$P$34,CJ351:CU351,$E$28:$P$28)</f>
        <v>0</v>
      </c>
      <c r="FN351" s="60" t="n">
        <f aca="false">$I$28*SUMPRODUCT($E$35:$P$35,CJ351:CU351,$E$28:$P$28)</f>
        <v>0</v>
      </c>
      <c r="FO351" s="60" t="n">
        <f aca="false">$J$28*SUMPRODUCT($E$36:$P$36,CJ351:CU351,$E$28:$P$28)</f>
        <v>0</v>
      </c>
      <c r="FP351" s="60" t="n">
        <f aca="false">$K$28*SUMPRODUCT($E$37:$P$37,CJ351:CU351,$E$28:$P$28)</f>
        <v>0</v>
      </c>
      <c r="FQ351" s="60" t="n">
        <f aca="false">$L$28*SUMPRODUCT($E$38:$P$38,CJ351:CU351,$E$28:$P$28)</f>
        <v>0</v>
      </c>
      <c r="FR351" s="60" t="n">
        <f aca="false">$M$28*SUMPRODUCT($E$39:$P$39,CJ351:CU351,$E$28:$P$28)</f>
        <v>0</v>
      </c>
      <c r="FS351" s="60" t="n">
        <f aca="false">$N$28*SUMPRODUCT($E$40:$P$40,CJ351:CU351,$E$28:$P$28)</f>
        <v>0</v>
      </c>
      <c r="FT351" s="60" t="n">
        <f aca="false">$O$28*SUMPRODUCT($E$41:$P$41,CJ351:CU351,$E$28:$P$28)</f>
        <v>0</v>
      </c>
      <c r="FU351" s="60" t="n">
        <f aca="false">$P$28*SUMPRODUCT($E$42:$P$42,CJ351:CU351,$E$28:$P$28)</f>
        <v>0</v>
      </c>
      <c r="FV351" s="60" t="n">
        <f aca="false">SUMPRODUCT(CJ351:CU351,FJ351:FU351)</f>
        <v>0.184416866619846</v>
      </c>
      <c r="FW351" s="60" t="n">
        <f aca="false">SUMPRODUCT(CJ351:CU351,$E$27:$P$27)</f>
        <v>2.67389635063809E-005</v>
      </c>
      <c r="FX351" s="60" t="n">
        <f aca="false">FV351*$C$9/($C$10*$C$8)^2</f>
        <v>0.21776909410545</v>
      </c>
      <c r="FY351" s="60" t="n">
        <f aca="false">FW351*$C$9/($C$10*$C$8)</f>
        <v>0.0918845243259994</v>
      </c>
      <c r="FZ351" s="60" t="n">
        <f aca="false">CHOOSE($C$7,-(1+FY351),-1,-(1-FY351))</f>
        <v>-0.908115475674001</v>
      </c>
      <c r="GA351" s="60" t="n">
        <f aca="false">CHOOSE($C$7,FX351,FX351-FY351-FY351^2,FX351-3*FY351^2-2*FY351)</f>
        <v>0.00867174802160559</v>
      </c>
      <c r="GB351" s="60" t="n">
        <f aca="false">CHOOSE($C$7,-FX351*FY351,-FX351*FY351,-(FX351*FY351-FY351^2-FY351^3))</f>
        <v>-0.0107910842936637</v>
      </c>
      <c r="GC351" s="60" t="n">
        <f aca="false">GA351-FZ351^2/3</f>
        <v>-0.266219491031267</v>
      </c>
      <c r="GD351" s="60" t="n">
        <f aca="false">2*FZ351^3/27-FZ351*GA351/3+GB351</f>
        <v>-0.0636400988362784</v>
      </c>
      <c r="GE351" s="60" t="n">
        <f aca="false">GD351^2/4+GC351^3/27</f>
        <v>0.000313710901361829</v>
      </c>
      <c r="GF351" s="60" t="n">
        <f aca="false">-GD351/2-IF(GD351&gt;=0,1,-1)*SQRT(MAX(GE351,0))</f>
        <v>0.0495319352963236</v>
      </c>
      <c r="GG351" s="60" t="n">
        <f aca="false">SIGN(GF351)*ABS(GF351)^(1/3)</f>
        <v>0.367249967174439</v>
      </c>
      <c r="GH351" s="60" t="n">
        <f aca="false">IF(GG351=0,0,GG351-GC351/(3*GG351))</f>
        <v>0.60888329127384</v>
      </c>
      <c r="GI351" s="60" t="n">
        <f aca="false">2*SQRT(MAX(-GC351,0)/3)</f>
        <v>0.595784626668918</v>
      </c>
      <c r="GJ351" s="60" t="n">
        <f aca="false">ACOS(IF(GI351=0,0,MAX(-1,MIN(1,3*GD351/(GC351*GI351)))))</f>
        <v>0</v>
      </c>
      <c r="GK351" s="60" t="n">
        <f aca="false">GI351*COS(GJ351/3)</f>
        <v>0.595784626668918</v>
      </c>
      <c r="GL351" s="60" t="n">
        <f aca="false">IF(GE351&lt;0,GK351,GH351)-FZ351/3</f>
        <v>0.91158844983184</v>
      </c>
      <c r="GM351" s="60" t="n">
        <f aca="false">IFERROR((((GL351+FZ351)*GL351+GA351)*GL351+GB351)/((3*GL351+2*FZ351)*GL351+GA351),0)</f>
        <v>0</v>
      </c>
      <c r="GN351" s="60" t="n">
        <f aca="false">IF(ABS(GM351)&lt;0.1*ABS(GL351),GL351-GM351,GL351)</f>
        <v>0.91158844983184</v>
      </c>
      <c r="GO351" s="60" t="n">
        <f aca="false">IFERROR((((GN351+FZ351)*GN351+GA351)*GN351+GB351)/((3*GN351+2*FZ351)*GN351+GA351),0)</f>
        <v>0</v>
      </c>
      <c r="GP351" s="60" t="n">
        <f aca="false">IF(ABS(GO351)&lt;0.1*ABS(GN351),GN351-GO351,GN351)</f>
        <v>0.91158844983184</v>
      </c>
      <c r="GQ351" s="60" t="n">
        <f aca="false">-GB351/GP351</f>
        <v>0.0118376711504565</v>
      </c>
      <c r="GR351" s="60" t="n">
        <f aca="false">(GA351-GQ351)/GP351</f>
        <v>-0.00347297415783941</v>
      </c>
      <c r="GS351" s="60" t="n">
        <f aca="false">GR351^2-4*GQ351</f>
        <v>-0.0473386230523248</v>
      </c>
      <c r="GT351" s="60" t="n">
        <f aca="false">IF(GS351&gt;=0,(GR351+IF(GR351&gt;=0,1,-1)*SQRT(GS351))/2,0)</f>
        <v>0</v>
      </c>
      <c r="GU351" s="60" t="n">
        <f aca="false">IF(AND(GS351&gt;=0,GT351&lt;&gt;0),MIN(GT351,GQ351/GT351),-1)</f>
        <v>-1</v>
      </c>
      <c r="GV351" s="60" t="n">
        <f aca="false">AND(GS351&gt;=0,GU351&gt;FY351,ABS(GP351-GU351)&gt;=0.00005*MAX(GP351,GU351))</f>
        <v>0</v>
      </c>
      <c r="GW351" s="60" t="n">
        <f aca="false">IF(GV351,IFERROR((((GU351+FZ351)*GU351+GA351)*GU351+GB351)/((3*GU351+2*FZ351)*GU351+GA351),0),0)</f>
        <v>0</v>
      </c>
      <c r="GX351" s="60" t="n">
        <f aca="false">IF(ABS(GW351)&lt;0.1*ABS(GU351),GU351-GW351,GU351)</f>
        <v>-1</v>
      </c>
      <c r="GY351" s="60" t="n">
        <f aca="false">IF(GV351,IFERROR((((GX351+FZ351)*GX351+GA351)*GX351+GB351)/((3*GX351+2*FZ351)*GX351+GA351),0),0)</f>
        <v>0</v>
      </c>
      <c r="GZ351" s="60" t="n">
        <f aca="false">IF(ABS(GY351)&lt;0.1*ABS(GX351),GX351-GY351,GX351)</f>
        <v>-1</v>
      </c>
      <c r="HA351" s="60" t="n">
        <f aca="false">IF(GV351,MAX(GP351,GZ351),GP351)</f>
        <v>0.91158844983184</v>
      </c>
      <c r="HB351" s="60" t="n">
        <f aca="false">IF(GV351,MIN(GP351,GZ351),-1)</f>
        <v>-1</v>
      </c>
      <c r="HC351" s="60" t="n">
        <f aca="false">CHOOSE($C$7,FX351/HA351,FX351/FY351*LN(1+FY351/HA351),FX351/(2*SQRT(2)*FY351)*LN((HA351+(1+SQRT(2))*FY351)/(HA351+(1-SQRT(2))*FY351)))</f>
        <v>0.218240791233887</v>
      </c>
      <c r="HD351" s="60" t="n">
        <f aca="false">HA351-1-LN(HA351-FY351)-HC351</f>
        <v>-0.107840271021729</v>
      </c>
      <c r="HE351" s="60" t="n">
        <f aca="false">IF(GV351,CHOOSE($C$7,FX351/HB351,FX351/FY351*LN(1+FY351/HB351),FX351/(2*SQRT(2)*FY351)*LN((HB351+(1+SQRT(2))*FY351)/(HB351+(1-SQRT(2))*FY351))),0)</f>
        <v>0</v>
      </c>
      <c r="HF351" s="60" t="n">
        <f aca="false">IF(GV351,HB351-1-LN(HB351-FY351)-HE351,0)</f>
        <v>0</v>
      </c>
      <c r="HG351" s="60" t="n">
        <f aca="false">AND(GV351,HF351&lt;HD351)</f>
        <v>0</v>
      </c>
      <c r="HH351" s="60" t="n">
        <f aca="false">IF(HG351,HB351,HA351)</f>
        <v>0.91158844983184</v>
      </c>
      <c r="HI351" s="60" t="n">
        <f aca="false">IF(HG351,HE351,HC351)</f>
        <v>0.218240791233887</v>
      </c>
      <c r="HJ351" s="60" t="n">
        <f aca="false">LN(HH351-FY351)</f>
        <v>-0.198812070380318</v>
      </c>
      <c r="HK351" s="60" t="n">
        <f aca="false">$E$27/FW351*(HH351-1)-HJ351-HI351*(2*FJ351/FV351-$E$27/FW351)</f>
        <v>-0.107840271021729</v>
      </c>
      <c r="HL351" s="60" t="n">
        <f aca="false">$F$27/FW351*(HH351-1)-HJ351-HI351*(2*FK351/FV351-$F$27/FW351)</f>
        <v>0.198812070380318</v>
      </c>
      <c r="HM351" s="60" t="n">
        <f aca="false">$G$27/FW351*(HH351-1)-HJ351-HI351*(2*FL351/FV351-$G$27/FW351)</f>
        <v>0.198812070380318</v>
      </c>
      <c r="HN351" s="60" t="n">
        <f aca="false">$H$27/FW351*(HH351-1)-HJ351-HI351*(2*FM351/FV351-$H$27/FW351)</f>
        <v>0.198812070380318</v>
      </c>
      <c r="HO351" s="60" t="n">
        <f aca="false">$I$27/FW351*(HH351-1)-HJ351-HI351*(2*FN351/FV351-$I$27/FW351)</f>
        <v>0.198812070380318</v>
      </c>
      <c r="HP351" s="60" t="n">
        <f aca="false">$J$27/FW351*(HH351-1)-HJ351-HI351*(2*FO351/FV351-$J$27/FW351)</f>
        <v>0.198812070380318</v>
      </c>
      <c r="HQ351" s="60" t="n">
        <f aca="false">$K$27/FW351*(HH351-1)-HJ351-HI351*(2*FP351/FV351-$K$27/FW351)</f>
        <v>0.198812070380318</v>
      </c>
      <c r="HR351" s="60" t="n">
        <f aca="false">$L$27/FW351*(HH351-1)-HJ351-HI351*(2*FQ351/FV351-$L$27/FW351)</f>
        <v>0.198812070380318</v>
      </c>
      <c r="HS351" s="60" t="n">
        <f aca="false">$M$27/FW351*(HH351-1)-HJ351-HI351*(2*FR351/FV351-$M$27/FW351)</f>
        <v>0.198812070380318</v>
      </c>
      <c r="HT351" s="60" t="n">
        <f aca="false">$N$27/FW351*(HH351-1)-HJ351-HI351*(2*FS351/FV351-$N$27/FW351)</f>
        <v>0.198812070380318</v>
      </c>
      <c r="HU351" s="60" t="n">
        <f aca="false">$O$27/FW351*(HH351-1)-HJ351-HI351*(2*FT351/FV351-$O$27/FW351)</f>
        <v>0.198812070380318</v>
      </c>
      <c r="HV351" s="60" t="n">
        <f aca="false">$P$27/FW351*(HH351-1)-HJ351-HI351*(2*FU351/FV351-$P$27/FW351)</f>
        <v>0.198812070380318</v>
      </c>
      <c r="HW351" s="60" t="n">
        <f aca="false">FY351/HH351&gt;$C$22</f>
        <v>0</v>
      </c>
      <c r="HX351" s="60" t="n">
        <f aca="false">IF($E$13&gt;0,MAX(-300,MIN(300,EW351-HK351)),0)</f>
        <v>0</v>
      </c>
      <c r="HY351" s="60" t="n">
        <f aca="false">IF($F$13&gt;0,MAX(-300,MIN(300,EX351-HL351)),0)</f>
        <v>0</v>
      </c>
      <c r="HZ351" s="60" t="n">
        <f aca="false">IF($G$13&gt;0,MAX(-300,MIN(300,EY351-HM351)),0)</f>
        <v>0</v>
      </c>
      <c r="IA351" s="60" t="n">
        <f aca="false">IF($H$13&gt;0,MAX(-300,MIN(300,EZ351-HN351)),0)</f>
        <v>0</v>
      </c>
      <c r="IB351" s="60" t="n">
        <f aca="false">IF($I$13&gt;0,MAX(-300,MIN(300,FA351-HO351)),0)</f>
        <v>0</v>
      </c>
      <c r="IC351" s="60" t="n">
        <f aca="false">IF($J$13&gt;0,MAX(-300,MIN(300,FB351-HP351)),0)</f>
        <v>0</v>
      </c>
      <c r="ID351" s="60" t="n">
        <f aca="false">IF($K$13&gt;0,MAX(-300,MIN(300,FC351-HQ351)),0)</f>
        <v>0</v>
      </c>
      <c r="IE351" s="60" t="n">
        <f aca="false">IF($L$13&gt;0,MAX(-300,MIN(300,FD351-HR351)),0)</f>
        <v>0</v>
      </c>
      <c r="IF351" s="60" t="n">
        <f aca="false">IF($M$13&gt;0,MAX(-300,MIN(300,FE351-HS351)),0)</f>
        <v>0</v>
      </c>
      <c r="IG351" s="60" t="n">
        <f aca="false">IF($N$13&gt;0,MAX(-300,MIN(300,FF351-HT351)),0)</f>
        <v>0</v>
      </c>
      <c r="IH351" s="60" t="n">
        <f aca="false">IF($O$13&gt;0,MAX(-300,MIN(300,FG351-HU351)),0)</f>
        <v>0</v>
      </c>
      <c r="II351" s="60" t="n">
        <f aca="false">IF($P$13&gt;0,MAX(-300,MIN(300,FH351-HV351)),0)</f>
        <v>0</v>
      </c>
      <c r="IJ351" s="60" t="n">
        <f aca="false">SUMXMY2(HX351:II351,B351:M351)</f>
        <v>0</v>
      </c>
      <c r="IK351" s="60" t="n">
        <f aca="false">SUMSQ(B351:M351)</f>
        <v>0</v>
      </c>
    </row>
    <row r="352" customFormat="false" ht="15" hidden="false" customHeight="false" outlineLevel="0" collapsed="false">
      <c r="A352" s="59" t="n">
        <v>55</v>
      </c>
      <c r="B352" s="60" t="n">
        <f aca="false">HX351</f>
        <v>0</v>
      </c>
      <c r="C352" s="60" t="n">
        <f aca="false">HY351</f>
        <v>0</v>
      </c>
      <c r="D352" s="60" t="n">
        <f aca="false">HZ351</f>
        <v>0</v>
      </c>
      <c r="E352" s="60" t="n">
        <f aca="false">IA351</f>
        <v>0</v>
      </c>
      <c r="F352" s="60" t="n">
        <f aca="false">IB351</f>
        <v>0</v>
      </c>
      <c r="G352" s="60" t="n">
        <f aca="false">IC351</f>
        <v>0</v>
      </c>
      <c r="H352" s="60" t="n">
        <f aca="false">ID351</f>
        <v>0</v>
      </c>
      <c r="I352" s="60" t="n">
        <f aca="false">IE351</f>
        <v>0</v>
      </c>
      <c r="J352" s="60" t="n">
        <f aca="false">IF351</f>
        <v>0</v>
      </c>
      <c r="K352" s="60" t="n">
        <f aca="false">IG351</f>
        <v>0</v>
      </c>
      <c r="L352" s="60" t="n">
        <f aca="false">IH351</f>
        <v>0</v>
      </c>
      <c r="M352" s="60" t="n">
        <f aca="false">II351</f>
        <v>0</v>
      </c>
      <c r="N352" s="60" t="n">
        <f aca="false">EXP(B352)</f>
        <v>1</v>
      </c>
      <c r="O352" s="60" t="n">
        <f aca="false">EXP(C352)</f>
        <v>1</v>
      </c>
      <c r="P352" s="60" t="n">
        <f aca="false">EXP(D352)</f>
        <v>1</v>
      </c>
      <c r="Q352" s="60" t="n">
        <f aca="false">EXP(E352)</f>
        <v>1</v>
      </c>
      <c r="R352" s="60" t="n">
        <f aca="false">EXP(F352)</f>
        <v>1</v>
      </c>
      <c r="S352" s="60" t="n">
        <f aca="false">EXP(G352)</f>
        <v>1</v>
      </c>
      <c r="T352" s="60" t="n">
        <f aca="false">EXP(H352)</f>
        <v>1</v>
      </c>
      <c r="U352" s="60" t="n">
        <f aca="false">EXP(I352)</f>
        <v>1</v>
      </c>
      <c r="V352" s="60" t="n">
        <f aca="false">EXP(J352)</f>
        <v>1</v>
      </c>
      <c r="W352" s="60" t="n">
        <f aca="false">EXP(K352)</f>
        <v>1</v>
      </c>
      <c r="X352" s="60" t="n">
        <f aca="false">EXP(L352)</f>
        <v>1</v>
      </c>
      <c r="Y352" s="60" t="n">
        <f aca="false">EXP(M352)</f>
        <v>1</v>
      </c>
      <c r="Z352" s="60" t="n">
        <f aca="false">MAX(N352:Y352)</f>
        <v>1</v>
      </c>
      <c r="AA352" s="60" t="n">
        <f aca="false">MIN(N352:Y352)</f>
        <v>1</v>
      </c>
      <c r="AB352" s="60" t="n">
        <f aca="false">AND(Z352&gt;1,AA352&lt;1)</f>
        <v>0</v>
      </c>
      <c r="AC352" s="60" t="n">
        <f aca="false">IF(AB352,1/(1-Z352),0)</f>
        <v>0</v>
      </c>
      <c r="AD352" s="60" t="n">
        <f aca="false">IF(AB352,1/(1-AA352),1)</f>
        <v>1</v>
      </c>
      <c r="AE352" s="60" t="n">
        <f aca="false">IF(AB352,MIN(MAX(BI351,AC352+0.000000001*(AD352-AC352)),AD352-0.000000001*(AD352-AC352)),IF(AA352&gt;=1,1,0))</f>
        <v>1</v>
      </c>
      <c r="AF352" s="60" t="n">
        <f aca="false">SUMPRODUCT($E$13:$P$13*(N352:Y352-1)/(1+AE352*(N352:Y352-1)))</f>
        <v>0</v>
      </c>
      <c r="AG352" s="60" t="n">
        <f aca="false">-SUMPRODUCT($E$13:$P$13*(N352:Y352-1)^2/(1+AE352*(N352:Y352-1))^2)</f>
        <v>-0</v>
      </c>
      <c r="AH352" s="60" t="n">
        <f aca="false">IF(OR(NOT(AB352),AG352=0),AE352,IF(AE352-AF352/AG352&lt;=AC352,(AE352+AC352)/2,IF(AE352-AF352/AG352&gt;=AD352,(AE352+AD352)/2,AE352-AF352/AG352)))</f>
        <v>1</v>
      </c>
      <c r="AI352" s="60" t="n">
        <f aca="false">SUMPRODUCT($E$13:$P$13*(N352:Y352-1)/(1+AH352*(N352:Y352-1)))</f>
        <v>0</v>
      </c>
      <c r="AJ352" s="60" t="n">
        <f aca="false">-SUMPRODUCT($E$13:$P$13*(N352:Y352-1)^2/(1+AH352*(N352:Y352-1))^2)</f>
        <v>-0</v>
      </c>
      <c r="AK352" s="60" t="n">
        <f aca="false">IF(OR(NOT(AB352),AJ352=0),AH352,IF(AH352-AI352/AJ352&lt;=AC352,(AH352+AC352)/2,IF(AH352-AI352/AJ352&gt;=AD352,(AH352+AD352)/2,AH352-AI352/AJ352)))</f>
        <v>1</v>
      </c>
      <c r="AL352" s="60" t="n">
        <f aca="false">SUMPRODUCT($E$13:$P$13*(N352:Y352-1)/(1+AK352*(N352:Y352-1)))</f>
        <v>0</v>
      </c>
      <c r="AM352" s="60" t="n">
        <f aca="false">-SUMPRODUCT($E$13:$P$13*(N352:Y352-1)^2/(1+AK352*(N352:Y352-1))^2)</f>
        <v>-0</v>
      </c>
      <c r="AN352" s="60" t="n">
        <f aca="false">IF(OR(NOT(AB352),AM352=0),AK352,IF(AK352-AL352/AM352&lt;=AC352,(AK352+AC352)/2,IF(AK352-AL352/AM352&gt;=AD352,(AK352+AD352)/2,AK352-AL352/AM352)))</f>
        <v>1</v>
      </c>
      <c r="AO352" s="60" t="n">
        <f aca="false">SUMPRODUCT($E$13:$P$13*(N352:Y352-1)/(1+AN352*(N352:Y352-1)))</f>
        <v>0</v>
      </c>
      <c r="AP352" s="60" t="n">
        <f aca="false">-SUMPRODUCT($E$13:$P$13*(N352:Y352-1)^2/(1+AN352*(N352:Y352-1))^2)</f>
        <v>-0</v>
      </c>
      <c r="AQ352" s="60" t="n">
        <f aca="false">IF(OR(NOT(AB352),AP352=0),AN352,IF(AN352-AO352/AP352&lt;=AC352,(AN352+AC352)/2,IF(AN352-AO352/AP352&gt;=AD352,(AN352+AD352)/2,AN352-AO352/AP352)))</f>
        <v>1</v>
      </c>
      <c r="AR352" s="60" t="n">
        <f aca="false">SUMPRODUCT($E$13:$P$13*(N352:Y352-1)/(1+AQ352*(N352:Y352-1)))</f>
        <v>0</v>
      </c>
      <c r="AS352" s="60" t="n">
        <f aca="false">-SUMPRODUCT($E$13:$P$13*(N352:Y352-1)^2/(1+AQ352*(N352:Y352-1))^2)</f>
        <v>-0</v>
      </c>
      <c r="AT352" s="60" t="n">
        <f aca="false">IF(OR(NOT(AB352),AS352=0),AQ352,IF(AQ352-AR352/AS352&lt;=AC352,(AQ352+AC352)/2,IF(AQ352-AR352/AS352&gt;=AD352,(AQ352+AD352)/2,AQ352-AR352/AS352)))</f>
        <v>1</v>
      </c>
      <c r="AU352" s="60" t="n">
        <f aca="false">SUMPRODUCT($E$13:$P$13*(N352:Y352-1)/(1+AT352*(N352:Y352-1)))</f>
        <v>0</v>
      </c>
      <c r="AV352" s="60" t="n">
        <f aca="false">-SUMPRODUCT($E$13:$P$13*(N352:Y352-1)^2/(1+AT352*(N352:Y352-1))^2)</f>
        <v>-0</v>
      </c>
      <c r="AW352" s="60" t="n">
        <f aca="false">IF(OR(NOT(AB352),AV352=0),AT352,IF(AT352-AU352/AV352&lt;=AC352,(AT352+AC352)/2,IF(AT352-AU352/AV352&gt;=AD352,(AT352+AD352)/2,AT352-AU352/AV352)))</f>
        <v>1</v>
      </c>
      <c r="AX352" s="60" t="n">
        <f aca="false">SUMPRODUCT($E$13:$P$13*(N352:Y352-1)/(1+AW352*(N352:Y352-1)))</f>
        <v>0</v>
      </c>
      <c r="AY352" s="60" t="n">
        <f aca="false">-SUMPRODUCT($E$13:$P$13*(N352:Y352-1)^2/(1+AW352*(N352:Y352-1))^2)</f>
        <v>-0</v>
      </c>
      <c r="AZ352" s="60" t="n">
        <f aca="false">IF(OR(NOT(AB352),AY352=0),AW352,IF(AW352-AX352/AY352&lt;=AC352,(AW352+AC352)/2,IF(AW352-AX352/AY352&gt;=AD352,(AW352+AD352)/2,AW352-AX352/AY352)))</f>
        <v>1</v>
      </c>
      <c r="BA352" s="60" t="n">
        <f aca="false">SUMPRODUCT($E$13:$P$13*(N352:Y352-1)/(1+AZ352*(N352:Y352-1)))</f>
        <v>0</v>
      </c>
      <c r="BB352" s="60" t="n">
        <f aca="false">-SUMPRODUCT($E$13:$P$13*(N352:Y352-1)^2/(1+AZ352*(N352:Y352-1))^2)</f>
        <v>-0</v>
      </c>
      <c r="BC352" s="60" t="n">
        <f aca="false">IF(OR(NOT(AB352),BB352=0),AZ352,IF(AZ352-BA352/BB352&lt;=AC352,(AZ352+AC352)/2,IF(AZ352-BA352/BB352&gt;=AD352,(AZ352+AD352)/2,AZ352-BA352/BB352)))</f>
        <v>1</v>
      </c>
      <c r="BD352" s="60" t="n">
        <f aca="false">SUMPRODUCT($E$13:$P$13*(N352:Y352-1)/(1+BC352*(N352:Y352-1)))</f>
        <v>0</v>
      </c>
      <c r="BE352" s="60" t="n">
        <f aca="false">-SUMPRODUCT($E$13:$P$13*(N352:Y352-1)^2/(1+BC352*(N352:Y352-1))^2)</f>
        <v>-0</v>
      </c>
      <c r="BF352" s="60" t="n">
        <f aca="false">IF(OR(NOT(AB352),BE352=0),BC352,IF(BC352-BD352/BE352&lt;=AC352,(BC352+AC352)/2,IF(BC352-BD352/BE352&gt;=AD352,(BC352+AD352)/2,BC352-BD352/BE352)))</f>
        <v>1</v>
      </c>
      <c r="BG352" s="60" t="n">
        <f aca="false">SUMPRODUCT($E$13:$P$13*(N352:Y352-1)/(1+BF352*(N352:Y352-1)))</f>
        <v>0</v>
      </c>
      <c r="BH352" s="60" t="n">
        <f aca="false">-SUMPRODUCT($E$13:$P$13*(N352:Y352-1)^2/(1+BF352*(N352:Y352-1))^2)</f>
        <v>-0</v>
      </c>
      <c r="BI352" s="60" t="n">
        <f aca="false">IF(OR(NOT(AB352),BH352=0),BF352,IF(BF352-BG352/BH352&lt;=AC352,(BF352+AC352)/2,IF(BF352-BG352/BH352&gt;=AD352,(BF352+AD352)/2,BF352-BG352/BH352)))</f>
        <v>1</v>
      </c>
      <c r="BJ352" s="60" t="n">
        <f aca="false">$E$13/(1+BI352*(N352-1))</f>
        <v>1</v>
      </c>
      <c r="BK352" s="60" t="n">
        <f aca="false">$F$13/(1+BI352*(O352-1))</f>
        <v>0</v>
      </c>
      <c r="BL352" s="60" t="n">
        <f aca="false">$G$13/(1+BI352*(P352-1))</f>
        <v>0</v>
      </c>
      <c r="BM352" s="60" t="n">
        <f aca="false">$H$13/(1+BI352*(Q352-1))</f>
        <v>0</v>
      </c>
      <c r="BN352" s="60" t="n">
        <f aca="false">$I$13/(1+BI352*(R352-1))</f>
        <v>0</v>
      </c>
      <c r="BO352" s="60" t="n">
        <f aca="false">$J$13/(1+BI352*(S352-1))</f>
        <v>0</v>
      </c>
      <c r="BP352" s="60" t="n">
        <f aca="false">$K$13/(1+BI352*(T352-1))</f>
        <v>0</v>
      </c>
      <c r="BQ352" s="60" t="n">
        <f aca="false">$L$13/(1+BI352*(U352-1))</f>
        <v>0</v>
      </c>
      <c r="BR352" s="60" t="n">
        <f aca="false">$M$13/(1+BI352*(V352-1))</f>
        <v>0</v>
      </c>
      <c r="BS352" s="60" t="n">
        <f aca="false">$N$13/(1+BI352*(W352-1))</f>
        <v>0</v>
      </c>
      <c r="BT352" s="60" t="n">
        <f aca="false">$O$13/(1+BI352*(X352-1))</f>
        <v>0</v>
      </c>
      <c r="BU352" s="60" t="n">
        <f aca="false">$P$13/(1+BI352*(Y352-1))</f>
        <v>0</v>
      </c>
      <c r="BV352" s="60" t="n">
        <f aca="false">SUM(BJ352:BU352)</f>
        <v>1</v>
      </c>
      <c r="BW352" s="60" t="n">
        <f aca="false">SUMPRODUCT(N352:Y352,BJ352:BU352)</f>
        <v>1</v>
      </c>
      <c r="BX352" s="60" t="n">
        <f aca="false">BJ352/BV352</f>
        <v>1</v>
      </c>
      <c r="BY352" s="60" t="n">
        <f aca="false">BK352/BV352</f>
        <v>0</v>
      </c>
      <c r="BZ352" s="60" t="n">
        <f aca="false">BL352/BV352</f>
        <v>0</v>
      </c>
      <c r="CA352" s="60" t="n">
        <f aca="false">BM352/BV352</f>
        <v>0</v>
      </c>
      <c r="CB352" s="60" t="n">
        <f aca="false">BN352/BV352</f>
        <v>0</v>
      </c>
      <c r="CC352" s="60" t="n">
        <f aca="false">BO352/BV352</f>
        <v>0</v>
      </c>
      <c r="CD352" s="60" t="n">
        <f aca="false">BP352/BV352</f>
        <v>0</v>
      </c>
      <c r="CE352" s="60" t="n">
        <f aca="false">BQ352/BV352</f>
        <v>0</v>
      </c>
      <c r="CF352" s="60" t="n">
        <f aca="false">BR352/BV352</f>
        <v>0</v>
      </c>
      <c r="CG352" s="60" t="n">
        <f aca="false">BS352/BV352</f>
        <v>0</v>
      </c>
      <c r="CH352" s="60" t="n">
        <f aca="false">BT352/BV352</f>
        <v>0</v>
      </c>
      <c r="CI352" s="60" t="n">
        <f aca="false">BU352/BV352</f>
        <v>0</v>
      </c>
      <c r="CJ352" s="60" t="n">
        <f aca="false">N352*BJ352/BW352</f>
        <v>1</v>
      </c>
      <c r="CK352" s="60" t="n">
        <f aca="false">O352*BK352/BW352</f>
        <v>0</v>
      </c>
      <c r="CL352" s="60" t="n">
        <f aca="false">P352*BL352/BW352</f>
        <v>0</v>
      </c>
      <c r="CM352" s="60" t="n">
        <f aca="false">Q352*BM352/BW352</f>
        <v>0</v>
      </c>
      <c r="CN352" s="60" t="n">
        <f aca="false">R352*BN352/BW352</f>
        <v>0</v>
      </c>
      <c r="CO352" s="60" t="n">
        <f aca="false">S352*BO352/BW352</f>
        <v>0</v>
      </c>
      <c r="CP352" s="60" t="n">
        <f aca="false">T352*BP352/BW352</f>
        <v>0</v>
      </c>
      <c r="CQ352" s="60" t="n">
        <f aca="false">U352*BQ352/BW352</f>
        <v>0</v>
      </c>
      <c r="CR352" s="60" t="n">
        <f aca="false">V352*BR352/BW352</f>
        <v>0</v>
      </c>
      <c r="CS352" s="60" t="n">
        <f aca="false">W352*BS352/BW352</f>
        <v>0</v>
      </c>
      <c r="CT352" s="60" t="n">
        <f aca="false">X352*BT352/BW352</f>
        <v>0</v>
      </c>
      <c r="CU352" s="60" t="n">
        <f aca="false">Y352*BU352/BW352</f>
        <v>0</v>
      </c>
      <c r="CV352" s="60" t="n">
        <f aca="false">$E$28*SUMPRODUCT($E$31:$P$31,BX352:CI352,$E$28:$P$28)</f>
        <v>0.184416866619846</v>
      </c>
      <c r="CW352" s="60" t="n">
        <f aca="false">$F$28*SUMPRODUCT($E$32:$P$32,BX352:CI352,$E$28:$P$28)</f>
        <v>0</v>
      </c>
      <c r="CX352" s="60" t="n">
        <f aca="false">$G$28*SUMPRODUCT($E$33:$P$33,BX352:CI352,$E$28:$P$28)</f>
        <v>0</v>
      </c>
      <c r="CY352" s="60" t="n">
        <f aca="false">$H$28*SUMPRODUCT($E$34:$P$34,BX352:CI352,$E$28:$P$28)</f>
        <v>0</v>
      </c>
      <c r="CZ352" s="60" t="n">
        <f aca="false">$I$28*SUMPRODUCT($E$35:$P$35,BX352:CI352,$E$28:$P$28)</f>
        <v>0</v>
      </c>
      <c r="DA352" s="60" t="n">
        <f aca="false">$J$28*SUMPRODUCT($E$36:$P$36,BX352:CI352,$E$28:$P$28)</f>
        <v>0</v>
      </c>
      <c r="DB352" s="60" t="n">
        <f aca="false">$K$28*SUMPRODUCT($E$37:$P$37,BX352:CI352,$E$28:$P$28)</f>
        <v>0</v>
      </c>
      <c r="DC352" s="60" t="n">
        <f aca="false">$L$28*SUMPRODUCT($E$38:$P$38,BX352:CI352,$E$28:$P$28)</f>
        <v>0</v>
      </c>
      <c r="DD352" s="60" t="n">
        <f aca="false">$M$28*SUMPRODUCT($E$39:$P$39,BX352:CI352,$E$28:$P$28)</f>
        <v>0</v>
      </c>
      <c r="DE352" s="60" t="n">
        <f aca="false">$N$28*SUMPRODUCT($E$40:$P$40,BX352:CI352,$E$28:$P$28)</f>
        <v>0</v>
      </c>
      <c r="DF352" s="60" t="n">
        <f aca="false">$O$28*SUMPRODUCT($E$41:$P$41,BX352:CI352,$E$28:$P$28)</f>
        <v>0</v>
      </c>
      <c r="DG352" s="60" t="n">
        <f aca="false">$P$28*SUMPRODUCT($E$42:$P$42,BX352:CI352,$E$28:$P$28)</f>
        <v>0</v>
      </c>
      <c r="DH352" s="60" t="n">
        <f aca="false">SUMPRODUCT(BX352:CI352,CV352:DG352)</f>
        <v>0.184416866619846</v>
      </c>
      <c r="DI352" s="60" t="n">
        <f aca="false">SUMPRODUCT(BX352:CI352,$E$27:$P$27)</f>
        <v>2.67389635063809E-005</v>
      </c>
      <c r="DJ352" s="60" t="n">
        <f aca="false">DH352*$C$9/($C$10*$C$8)^2</f>
        <v>0.21776909410545</v>
      </c>
      <c r="DK352" s="60" t="n">
        <f aca="false">DI352*$C$9/($C$10*$C$8)</f>
        <v>0.0918845243259994</v>
      </c>
      <c r="DL352" s="60" t="n">
        <f aca="false">CHOOSE($C$7,-(1+DK352),-1,-(1-DK352))</f>
        <v>-0.908115475674001</v>
      </c>
      <c r="DM352" s="60" t="n">
        <f aca="false">CHOOSE($C$7,DJ352,DJ352-DK352-DK352^2,DJ352-3*DK352^2-2*DK352)</f>
        <v>0.00867174802160559</v>
      </c>
      <c r="DN352" s="60" t="n">
        <f aca="false">CHOOSE($C$7,-DJ352*DK352,-DJ352*DK352,-(DJ352*DK352-DK352^2-DK352^3))</f>
        <v>-0.0107910842936637</v>
      </c>
      <c r="DO352" s="60" t="n">
        <f aca="false">DM352-DL352^2/3</f>
        <v>-0.266219491031267</v>
      </c>
      <c r="DP352" s="60" t="n">
        <f aca="false">2*DL352^3/27-DL352*DM352/3+DN352</f>
        <v>-0.0636400988362784</v>
      </c>
      <c r="DQ352" s="60" t="n">
        <f aca="false">DP352^2/4+DO352^3/27</f>
        <v>0.000313710901361829</v>
      </c>
      <c r="DR352" s="60" t="n">
        <f aca="false">-DP352/2-IF(DP352&gt;=0,1,-1)*SQRT(MAX(DQ352,0))</f>
        <v>0.0495319352963236</v>
      </c>
      <c r="DS352" s="60" t="n">
        <f aca="false">SIGN(DR352)*ABS(DR352)^(1/3)</f>
        <v>0.367249967174439</v>
      </c>
      <c r="DT352" s="60" t="n">
        <f aca="false">IF(DS352=0,0,DS352-DO352/(3*DS352))</f>
        <v>0.60888329127384</v>
      </c>
      <c r="DU352" s="60" t="n">
        <f aca="false">2*SQRT(MAX(-DO352,0)/3)</f>
        <v>0.595784626668918</v>
      </c>
      <c r="DV352" s="60" t="n">
        <f aca="false">ACOS(IF(DU352=0,0,MAX(-1,MIN(1,3*DP352/(DO352*DU352)))))</f>
        <v>0</v>
      </c>
      <c r="DW352" s="60" t="n">
        <f aca="false">DU352*COS(DV352/3)</f>
        <v>0.595784626668918</v>
      </c>
      <c r="DX352" s="60" t="n">
        <f aca="false">IF(DQ352&lt;0,DW352,DT352)-DL352/3</f>
        <v>0.91158844983184</v>
      </c>
      <c r="DY352" s="60" t="n">
        <f aca="false">IFERROR((((DX352+DL352)*DX352+DM352)*DX352+DN352)/((3*DX352+2*DL352)*DX352+DM352),0)</f>
        <v>0</v>
      </c>
      <c r="DZ352" s="60" t="n">
        <f aca="false">IF(ABS(DY352)&lt;0.1*ABS(DX352),DX352-DY352,DX352)</f>
        <v>0.91158844983184</v>
      </c>
      <c r="EA352" s="60" t="n">
        <f aca="false">IFERROR((((DZ352+DL352)*DZ352+DM352)*DZ352+DN352)/((3*DZ352+2*DL352)*DZ352+DM352),0)</f>
        <v>0</v>
      </c>
      <c r="EB352" s="60" t="n">
        <f aca="false">IF(ABS(EA352)&lt;0.1*ABS(DZ352),DZ352-EA352,DZ352)</f>
        <v>0.91158844983184</v>
      </c>
      <c r="EC352" s="60" t="n">
        <f aca="false">-DN352/EB352</f>
        <v>0.0118376711504565</v>
      </c>
      <c r="ED352" s="60" t="n">
        <f aca="false">(DM352-EC352)/EB352</f>
        <v>-0.00347297415783941</v>
      </c>
      <c r="EE352" s="60" t="n">
        <f aca="false">ED352^2-4*EC352</f>
        <v>-0.0473386230523248</v>
      </c>
      <c r="EF352" s="60" t="n">
        <f aca="false">IF(EE352&gt;=0,(ED352+IF(ED352&gt;=0,1,-1)*SQRT(EE352))/2,0)</f>
        <v>0</v>
      </c>
      <c r="EG352" s="60" t="n">
        <f aca="false">IF(AND(EE352&gt;=0,EF352&lt;&gt;0),MIN(EF352,EC352/EF352),-1)</f>
        <v>-1</v>
      </c>
      <c r="EH352" s="60" t="n">
        <f aca="false">AND(EE352&gt;=0,EG352&gt;DK352,ABS(EB352-EG352)&gt;=0.00005*MAX(EB352,EG352))</f>
        <v>0</v>
      </c>
      <c r="EI352" s="60" t="n">
        <f aca="false">IF(EH352,IFERROR((((EG352+DL352)*EG352+DM352)*EG352+DN352)/((3*EG352+2*DL352)*EG352+DM352),0),0)</f>
        <v>0</v>
      </c>
      <c r="EJ352" s="60" t="n">
        <f aca="false">IF(ABS(EI352)&lt;0.1*ABS(EG352),EG352-EI352,EG352)</f>
        <v>-1</v>
      </c>
      <c r="EK352" s="60" t="n">
        <f aca="false">IF(EH352,IFERROR((((EJ352+DL352)*EJ352+DM352)*EJ352+DN352)/((3*EJ352+2*DL352)*EJ352+DM352),0),0)</f>
        <v>0</v>
      </c>
      <c r="EL352" s="60" t="n">
        <f aca="false">IF(ABS(EK352)&lt;0.1*ABS(EJ352),EJ352-EK352,EJ352)</f>
        <v>-1</v>
      </c>
      <c r="EM352" s="60" t="n">
        <f aca="false">IF(EH352,MAX(EB352,EL352),EB352)</f>
        <v>0.91158844983184</v>
      </c>
      <c r="EN352" s="60" t="n">
        <f aca="false">IF(EH352,MIN(EB352,EL352),-1)</f>
        <v>-1</v>
      </c>
      <c r="EO352" s="60" t="n">
        <f aca="false">CHOOSE($C$7,DJ352/EM352,DJ352/DK352*LN(1+DK352/EM352),DJ352/(2*SQRT(2)*DK352)*LN((EM352+(1+SQRT(2))*DK352)/(EM352+(1-SQRT(2))*DK352)))</f>
        <v>0.218240791233887</v>
      </c>
      <c r="EP352" s="60" t="n">
        <f aca="false">EM352-1-LN(EM352-DK352)-EO352</f>
        <v>-0.107840271021729</v>
      </c>
      <c r="EQ352" s="60" t="n">
        <f aca="false">IF(EH352,CHOOSE($C$7,DJ352/EN352,DJ352/DK352*LN(1+DK352/EN352),DJ352/(2*SQRT(2)*DK352)*LN((EN352+(1+SQRT(2))*DK352)/(EN352+(1-SQRT(2))*DK352))),0)</f>
        <v>0</v>
      </c>
      <c r="ER352" s="60" t="n">
        <f aca="false">IF(EH352,EN352-1-LN(EN352-DK352)-EQ352,0)</f>
        <v>0</v>
      </c>
      <c r="ES352" s="60" t="n">
        <f aca="false">AND(EH352,ER352&lt;EP352)</f>
        <v>0</v>
      </c>
      <c r="ET352" s="60" t="n">
        <f aca="false">IF(ES352,EN352,EM352)</f>
        <v>0.91158844983184</v>
      </c>
      <c r="EU352" s="60" t="n">
        <f aca="false">IF(ES352,EQ352,EO352)</f>
        <v>0.218240791233887</v>
      </c>
      <c r="EV352" s="60" t="n">
        <f aca="false">LN(ET352-DK352)</f>
        <v>-0.198812070380318</v>
      </c>
      <c r="EW352" s="60" t="n">
        <f aca="false">$E$27/DI352*(ET352-1)-EV352-EU352*(2*CV352/DH352-$E$27/DI352)</f>
        <v>-0.107840271021729</v>
      </c>
      <c r="EX352" s="60" t="n">
        <f aca="false">$F$27/DI352*(ET352-1)-EV352-EU352*(2*CW352/DH352-$F$27/DI352)</f>
        <v>0.198812070380318</v>
      </c>
      <c r="EY352" s="60" t="n">
        <f aca="false">$G$27/DI352*(ET352-1)-EV352-EU352*(2*CX352/DH352-$G$27/DI352)</f>
        <v>0.198812070380318</v>
      </c>
      <c r="EZ352" s="60" t="n">
        <f aca="false">$H$27/DI352*(ET352-1)-EV352-EU352*(2*CY352/DH352-$H$27/DI352)</f>
        <v>0.198812070380318</v>
      </c>
      <c r="FA352" s="60" t="n">
        <f aca="false">$I$27/DI352*(ET352-1)-EV352-EU352*(2*CZ352/DH352-$I$27/DI352)</f>
        <v>0.198812070380318</v>
      </c>
      <c r="FB352" s="60" t="n">
        <f aca="false">$J$27/DI352*(ET352-1)-EV352-EU352*(2*DA352/DH352-$J$27/DI352)</f>
        <v>0.198812070380318</v>
      </c>
      <c r="FC352" s="60" t="n">
        <f aca="false">$K$27/DI352*(ET352-1)-EV352-EU352*(2*DB352/DH352-$K$27/DI352)</f>
        <v>0.198812070380318</v>
      </c>
      <c r="FD352" s="60" t="n">
        <f aca="false">$L$27/DI352*(ET352-1)-EV352-EU352*(2*DC352/DH352-$L$27/DI352)</f>
        <v>0.198812070380318</v>
      </c>
      <c r="FE352" s="60" t="n">
        <f aca="false">$M$27/DI352*(ET352-1)-EV352-EU352*(2*DD352/DH352-$M$27/DI352)</f>
        <v>0.198812070380318</v>
      </c>
      <c r="FF352" s="60" t="n">
        <f aca="false">$N$27/DI352*(ET352-1)-EV352-EU352*(2*DE352/DH352-$N$27/DI352)</f>
        <v>0.198812070380318</v>
      </c>
      <c r="FG352" s="60" t="n">
        <f aca="false">$O$27/DI352*(ET352-1)-EV352-EU352*(2*DF352/DH352-$O$27/DI352)</f>
        <v>0.198812070380318</v>
      </c>
      <c r="FH352" s="60" t="n">
        <f aca="false">$P$27/DI352*(ET352-1)-EV352-EU352*(2*DG352/DH352-$P$27/DI352)</f>
        <v>0.198812070380318</v>
      </c>
      <c r="FI352" s="60" t="n">
        <f aca="false">DK352/ET352&gt;$C$22</f>
        <v>0</v>
      </c>
      <c r="FJ352" s="60" t="n">
        <f aca="false">$E$28*SUMPRODUCT($E$31:$P$31,CJ352:CU352,$E$28:$P$28)</f>
        <v>0.184416866619846</v>
      </c>
      <c r="FK352" s="60" t="n">
        <f aca="false">$F$28*SUMPRODUCT($E$32:$P$32,CJ352:CU352,$E$28:$P$28)</f>
        <v>0</v>
      </c>
      <c r="FL352" s="60" t="n">
        <f aca="false">$G$28*SUMPRODUCT($E$33:$P$33,CJ352:CU352,$E$28:$P$28)</f>
        <v>0</v>
      </c>
      <c r="FM352" s="60" t="n">
        <f aca="false">$H$28*SUMPRODUCT($E$34:$P$34,CJ352:CU352,$E$28:$P$28)</f>
        <v>0</v>
      </c>
      <c r="FN352" s="60" t="n">
        <f aca="false">$I$28*SUMPRODUCT($E$35:$P$35,CJ352:CU352,$E$28:$P$28)</f>
        <v>0</v>
      </c>
      <c r="FO352" s="60" t="n">
        <f aca="false">$J$28*SUMPRODUCT($E$36:$P$36,CJ352:CU352,$E$28:$P$28)</f>
        <v>0</v>
      </c>
      <c r="FP352" s="60" t="n">
        <f aca="false">$K$28*SUMPRODUCT($E$37:$P$37,CJ352:CU352,$E$28:$P$28)</f>
        <v>0</v>
      </c>
      <c r="FQ352" s="60" t="n">
        <f aca="false">$L$28*SUMPRODUCT($E$38:$P$38,CJ352:CU352,$E$28:$P$28)</f>
        <v>0</v>
      </c>
      <c r="FR352" s="60" t="n">
        <f aca="false">$M$28*SUMPRODUCT($E$39:$P$39,CJ352:CU352,$E$28:$P$28)</f>
        <v>0</v>
      </c>
      <c r="FS352" s="60" t="n">
        <f aca="false">$N$28*SUMPRODUCT($E$40:$P$40,CJ352:CU352,$E$28:$P$28)</f>
        <v>0</v>
      </c>
      <c r="FT352" s="60" t="n">
        <f aca="false">$O$28*SUMPRODUCT($E$41:$P$41,CJ352:CU352,$E$28:$P$28)</f>
        <v>0</v>
      </c>
      <c r="FU352" s="60" t="n">
        <f aca="false">$P$28*SUMPRODUCT($E$42:$P$42,CJ352:CU352,$E$28:$P$28)</f>
        <v>0</v>
      </c>
      <c r="FV352" s="60" t="n">
        <f aca="false">SUMPRODUCT(CJ352:CU352,FJ352:FU352)</f>
        <v>0.184416866619846</v>
      </c>
      <c r="FW352" s="60" t="n">
        <f aca="false">SUMPRODUCT(CJ352:CU352,$E$27:$P$27)</f>
        <v>2.67389635063809E-005</v>
      </c>
      <c r="FX352" s="60" t="n">
        <f aca="false">FV352*$C$9/($C$10*$C$8)^2</f>
        <v>0.21776909410545</v>
      </c>
      <c r="FY352" s="60" t="n">
        <f aca="false">FW352*$C$9/($C$10*$C$8)</f>
        <v>0.0918845243259994</v>
      </c>
      <c r="FZ352" s="60" t="n">
        <f aca="false">CHOOSE($C$7,-(1+FY352),-1,-(1-FY352))</f>
        <v>-0.908115475674001</v>
      </c>
      <c r="GA352" s="60" t="n">
        <f aca="false">CHOOSE($C$7,FX352,FX352-FY352-FY352^2,FX352-3*FY352^2-2*FY352)</f>
        <v>0.00867174802160559</v>
      </c>
      <c r="GB352" s="60" t="n">
        <f aca="false">CHOOSE($C$7,-FX352*FY352,-FX352*FY352,-(FX352*FY352-FY352^2-FY352^3))</f>
        <v>-0.0107910842936637</v>
      </c>
      <c r="GC352" s="60" t="n">
        <f aca="false">GA352-FZ352^2/3</f>
        <v>-0.266219491031267</v>
      </c>
      <c r="GD352" s="60" t="n">
        <f aca="false">2*FZ352^3/27-FZ352*GA352/3+GB352</f>
        <v>-0.0636400988362784</v>
      </c>
      <c r="GE352" s="60" t="n">
        <f aca="false">GD352^2/4+GC352^3/27</f>
        <v>0.000313710901361829</v>
      </c>
      <c r="GF352" s="60" t="n">
        <f aca="false">-GD352/2-IF(GD352&gt;=0,1,-1)*SQRT(MAX(GE352,0))</f>
        <v>0.0495319352963236</v>
      </c>
      <c r="GG352" s="60" t="n">
        <f aca="false">SIGN(GF352)*ABS(GF352)^(1/3)</f>
        <v>0.367249967174439</v>
      </c>
      <c r="GH352" s="60" t="n">
        <f aca="false">IF(GG352=0,0,GG352-GC352/(3*GG352))</f>
        <v>0.60888329127384</v>
      </c>
      <c r="GI352" s="60" t="n">
        <f aca="false">2*SQRT(MAX(-GC352,0)/3)</f>
        <v>0.595784626668918</v>
      </c>
      <c r="GJ352" s="60" t="n">
        <f aca="false">ACOS(IF(GI352=0,0,MAX(-1,MIN(1,3*GD352/(GC352*GI352)))))</f>
        <v>0</v>
      </c>
      <c r="GK352" s="60" t="n">
        <f aca="false">GI352*COS(GJ352/3)</f>
        <v>0.595784626668918</v>
      </c>
      <c r="GL352" s="60" t="n">
        <f aca="false">IF(GE352&lt;0,GK352,GH352)-FZ352/3</f>
        <v>0.91158844983184</v>
      </c>
      <c r="GM352" s="60" t="n">
        <f aca="false">IFERROR((((GL352+FZ352)*GL352+GA352)*GL352+GB352)/((3*GL352+2*FZ352)*GL352+GA352),0)</f>
        <v>0</v>
      </c>
      <c r="GN352" s="60" t="n">
        <f aca="false">IF(ABS(GM352)&lt;0.1*ABS(GL352),GL352-GM352,GL352)</f>
        <v>0.91158844983184</v>
      </c>
      <c r="GO352" s="60" t="n">
        <f aca="false">IFERROR((((GN352+FZ352)*GN352+GA352)*GN352+GB352)/((3*GN352+2*FZ352)*GN352+GA352),0)</f>
        <v>0</v>
      </c>
      <c r="GP352" s="60" t="n">
        <f aca="false">IF(ABS(GO352)&lt;0.1*ABS(GN352),GN352-GO352,GN352)</f>
        <v>0.91158844983184</v>
      </c>
      <c r="GQ352" s="60" t="n">
        <f aca="false">-GB352/GP352</f>
        <v>0.0118376711504565</v>
      </c>
      <c r="GR352" s="60" t="n">
        <f aca="false">(GA352-GQ352)/GP352</f>
        <v>-0.00347297415783941</v>
      </c>
      <c r="GS352" s="60" t="n">
        <f aca="false">GR352^2-4*GQ352</f>
        <v>-0.0473386230523248</v>
      </c>
      <c r="GT352" s="60" t="n">
        <f aca="false">IF(GS352&gt;=0,(GR352+IF(GR352&gt;=0,1,-1)*SQRT(GS352))/2,0)</f>
        <v>0</v>
      </c>
      <c r="GU352" s="60" t="n">
        <f aca="false">IF(AND(GS352&gt;=0,GT352&lt;&gt;0),MIN(GT352,GQ352/GT352),-1)</f>
        <v>-1</v>
      </c>
      <c r="GV352" s="60" t="n">
        <f aca="false">AND(GS352&gt;=0,GU352&gt;FY352,ABS(GP352-GU352)&gt;=0.00005*MAX(GP352,GU352))</f>
        <v>0</v>
      </c>
      <c r="GW352" s="60" t="n">
        <f aca="false">IF(GV352,IFERROR((((GU352+FZ352)*GU352+GA352)*GU352+GB352)/((3*GU352+2*FZ352)*GU352+GA352),0),0)</f>
        <v>0</v>
      </c>
      <c r="GX352" s="60" t="n">
        <f aca="false">IF(ABS(GW352)&lt;0.1*ABS(GU352),GU352-GW352,GU352)</f>
        <v>-1</v>
      </c>
      <c r="GY352" s="60" t="n">
        <f aca="false">IF(GV352,IFERROR((((GX352+FZ352)*GX352+GA352)*GX352+GB352)/((3*GX352+2*FZ352)*GX352+GA352),0),0)</f>
        <v>0</v>
      </c>
      <c r="GZ352" s="60" t="n">
        <f aca="false">IF(ABS(GY352)&lt;0.1*ABS(GX352),GX352-GY352,GX352)</f>
        <v>-1</v>
      </c>
      <c r="HA352" s="60" t="n">
        <f aca="false">IF(GV352,MAX(GP352,GZ352),GP352)</f>
        <v>0.91158844983184</v>
      </c>
      <c r="HB352" s="60" t="n">
        <f aca="false">IF(GV352,MIN(GP352,GZ352),-1)</f>
        <v>-1</v>
      </c>
      <c r="HC352" s="60" t="n">
        <f aca="false">CHOOSE($C$7,FX352/HA352,FX352/FY352*LN(1+FY352/HA352),FX352/(2*SQRT(2)*FY352)*LN((HA352+(1+SQRT(2))*FY352)/(HA352+(1-SQRT(2))*FY352)))</f>
        <v>0.218240791233887</v>
      </c>
      <c r="HD352" s="60" t="n">
        <f aca="false">HA352-1-LN(HA352-FY352)-HC352</f>
        <v>-0.107840271021729</v>
      </c>
      <c r="HE352" s="60" t="n">
        <f aca="false">IF(GV352,CHOOSE($C$7,FX352/HB352,FX352/FY352*LN(1+FY352/HB352),FX352/(2*SQRT(2)*FY352)*LN((HB352+(1+SQRT(2))*FY352)/(HB352+(1-SQRT(2))*FY352))),0)</f>
        <v>0</v>
      </c>
      <c r="HF352" s="60" t="n">
        <f aca="false">IF(GV352,HB352-1-LN(HB352-FY352)-HE352,0)</f>
        <v>0</v>
      </c>
      <c r="HG352" s="60" t="n">
        <f aca="false">AND(GV352,HF352&lt;HD352)</f>
        <v>0</v>
      </c>
      <c r="HH352" s="60" t="n">
        <f aca="false">IF(HG352,HB352,HA352)</f>
        <v>0.91158844983184</v>
      </c>
      <c r="HI352" s="60" t="n">
        <f aca="false">IF(HG352,HE352,HC352)</f>
        <v>0.218240791233887</v>
      </c>
      <c r="HJ352" s="60" t="n">
        <f aca="false">LN(HH352-FY352)</f>
        <v>-0.198812070380318</v>
      </c>
      <c r="HK352" s="60" t="n">
        <f aca="false">$E$27/FW352*(HH352-1)-HJ352-HI352*(2*FJ352/FV352-$E$27/FW352)</f>
        <v>-0.107840271021729</v>
      </c>
      <c r="HL352" s="60" t="n">
        <f aca="false">$F$27/FW352*(HH352-1)-HJ352-HI352*(2*FK352/FV352-$F$27/FW352)</f>
        <v>0.198812070380318</v>
      </c>
      <c r="HM352" s="60" t="n">
        <f aca="false">$G$27/FW352*(HH352-1)-HJ352-HI352*(2*FL352/FV352-$G$27/FW352)</f>
        <v>0.198812070380318</v>
      </c>
      <c r="HN352" s="60" t="n">
        <f aca="false">$H$27/FW352*(HH352-1)-HJ352-HI352*(2*FM352/FV352-$H$27/FW352)</f>
        <v>0.198812070380318</v>
      </c>
      <c r="HO352" s="60" t="n">
        <f aca="false">$I$27/FW352*(HH352-1)-HJ352-HI352*(2*FN352/FV352-$I$27/FW352)</f>
        <v>0.198812070380318</v>
      </c>
      <c r="HP352" s="60" t="n">
        <f aca="false">$J$27/FW352*(HH352-1)-HJ352-HI352*(2*FO352/FV352-$J$27/FW352)</f>
        <v>0.198812070380318</v>
      </c>
      <c r="HQ352" s="60" t="n">
        <f aca="false">$K$27/FW352*(HH352-1)-HJ352-HI352*(2*FP352/FV352-$K$27/FW352)</f>
        <v>0.198812070380318</v>
      </c>
      <c r="HR352" s="60" t="n">
        <f aca="false">$L$27/FW352*(HH352-1)-HJ352-HI352*(2*FQ352/FV352-$L$27/FW352)</f>
        <v>0.198812070380318</v>
      </c>
      <c r="HS352" s="60" t="n">
        <f aca="false">$M$27/FW352*(HH352-1)-HJ352-HI352*(2*FR352/FV352-$M$27/FW352)</f>
        <v>0.198812070380318</v>
      </c>
      <c r="HT352" s="60" t="n">
        <f aca="false">$N$27/FW352*(HH352-1)-HJ352-HI352*(2*FS352/FV352-$N$27/FW352)</f>
        <v>0.198812070380318</v>
      </c>
      <c r="HU352" s="60" t="n">
        <f aca="false">$O$27/FW352*(HH352-1)-HJ352-HI352*(2*FT352/FV352-$O$27/FW352)</f>
        <v>0.198812070380318</v>
      </c>
      <c r="HV352" s="60" t="n">
        <f aca="false">$P$27/FW352*(HH352-1)-HJ352-HI352*(2*FU352/FV352-$P$27/FW352)</f>
        <v>0.198812070380318</v>
      </c>
      <c r="HW352" s="60" t="n">
        <f aca="false">FY352/HH352&gt;$C$22</f>
        <v>0</v>
      </c>
      <c r="HX352" s="60" t="n">
        <f aca="false">IF($E$13&gt;0,MAX(-300,MIN(300,EW352-HK352)),0)</f>
        <v>0</v>
      </c>
      <c r="HY352" s="60" t="n">
        <f aca="false">IF($F$13&gt;0,MAX(-300,MIN(300,EX352-HL352)),0)</f>
        <v>0</v>
      </c>
      <c r="HZ352" s="60" t="n">
        <f aca="false">IF($G$13&gt;0,MAX(-300,MIN(300,EY352-HM352)),0)</f>
        <v>0</v>
      </c>
      <c r="IA352" s="60" t="n">
        <f aca="false">IF($H$13&gt;0,MAX(-300,MIN(300,EZ352-HN352)),0)</f>
        <v>0</v>
      </c>
      <c r="IB352" s="60" t="n">
        <f aca="false">IF($I$13&gt;0,MAX(-300,MIN(300,FA352-HO352)),0)</f>
        <v>0</v>
      </c>
      <c r="IC352" s="60" t="n">
        <f aca="false">IF($J$13&gt;0,MAX(-300,MIN(300,FB352-HP352)),0)</f>
        <v>0</v>
      </c>
      <c r="ID352" s="60" t="n">
        <f aca="false">IF($K$13&gt;0,MAX(-300,MIN(300,FC352-HQ352)),0)</f>
        <v>0</v>
      </c>
      <c r="IE352" s="60" t="n">
        <f aca="false">IF($L$13&gt;0,MAX(-300,MIN(300,FD352-HR352)),0)</f>
        <v>0</v>
      </c>
      <c r="IF352" s="60" t="n">
        <f aca="false">IF($M$13&gt;0,MAX(-300,MIN(300,FE352-HS352)),0)</f>
        <v>0</v>
      </c>
      <c r="IG352" s="60" t="n">
        <f aca="false">IF($N$13&gt;0,MAX(-300,MIN(300,FF352-HT352)),0)</f>
        <v>0</v>
      </c>
      <c r="IH352" s="60" t="n">
        <f aca="false">IF($O$13&gt;0,MAX(-300,MIN(300,FG352-HU352)),0)</f>
        <v>0</v>
      </c>
      <c r="II352" s="60" t="n">
        <f aca="false">IF($P$13&gt;0,MAX(-300,MIN(300,FH352-HV352)),0)</f>
        <v>0</v>
      </c>
      <c r="IJ352" s="60" t="n">
        <f aca="false">SUMXMY2(HX352:II352,B352:M352)</f>
        <v>0</v>
      </c>
      <c r="IK352" s="60" t="n">
        <f aca="false">SUMSQ(B352:M352)</f>
        <v>0</v>
      </c>
    </row>
    <row r="353" customFormat="false" ht="15" hidden="false" customHeight="false" outlineLevel="0" collapsed="false">
      <c r="A353" s="59" t="n">
        <v>56</v>
      </c>
      <c r="B353" s="60" t="n">
        <f aca="false">HX352</f>
        <v>0</v>
      </c>
      <c r="C353" s="60" t="n">
        <f aca="false">HY352</f>
        <v>0</v>
      </c>
      <c r="D353" s="60" t="n">
        <f aca="false">HZ352</f>
        <v>0</v>
      </c>
      <c r="E353" s="60" t="n">
        <f aca="false">IA352</f>
        <v>0</v>
      </c>
      <c r="F353" s="60" t="n">
        <f aca="false">IB352</f>
        <v>0</v>
      </c>
      <c r="G353" s="60" t="n">
        <f aca="false">IC352</f>
        <v>0</v>
      </c>
      <c r="H353" s="60" t="n">
        <f aca="false">ID352</f>
        <v>0</v>
      </c>
      <c r="I353" s="60" t="n">
        <f aca="false">IE352</f>
        <v>0</v>
      </c>
      <c r="J353" s="60" t="n">
        <f aca="false">IF352</f>
        <v>0</v>
      </c>
      <c r="K353" s="60" t="n">
        <f aca="false">IG352</f>
        <v>0</v>
      </c>
      <c r="L353" s="60" t="n">
        <f aca="false">IH352</f>
        <v>0</v>
      </c>
      <c r="M353" s="60" t="n">
        <f aca="false">II352</f>
        <v>0</v>
      </c>
      <c r="N353" s="60" t="n">
        <f aca="false">EXP(B353)</f>
        <v>1</v>
      </c>
      <c r="O353" s="60" t="n">
        <f aca="false">EXP(C353)</f>
        <v>1</v>
      </c>
      <c r="P353" s="60" t="n">
        <f aca="false">EXP(D353)</f>
        <v>1</v>
      </c>
      <c r="Q353" s="60" t="n">
        <f aca="false">EXP(E353)</f>
        <v>1</v>
      </c>
      <c r="R353" s="60" t="n">
        <f aca="false">EXP(F353)</f>
        <v>1</v>
      </c>
      <c r="S353" s="60" t="n">
        <f aca="false">EXP(G353)</f>
        <v>1</v>
      </c>
      <c r="T353" s="60" t="n">
        <f aca="false">EXP(H353)</f>
        <v>1</v>
      </c>
      <c r="U353" s="60" t="n">
        <f aca="false">EXP(I353)</f>
        <v>1</v>
      </c>
      <c r="V353" s="60" t="n">
        <f aca="false">EXP(J353)</f>
        <v>1</v>
      </c>
      <c r="W353" s="60" t="n">
        <f aca="false">EXP(K353)</f>
        <v>1</v>
      </c>
      <c r="X353" s="60" t="n">
        <f aca="false">EXP(L353)</f>
        <v>1</v>
      </c>
      <c r="Y353" s="60" t="n">
        <f aca="false">EXP(M353)</f>
        <v>1</v>
      </c>
      <c r="Z353" s="60" t="n">
        <f aca="false">MAX(N353:Y353)</f>
        <v>1</v>
      </c>
      <c r="AA353" s="60" t="n">
        <f aca="false">MIN(N353:Y353)</f>
        <v>1</v>
      </c>
      <c r="AB353" s="60" t="n">
        <f aca="false">AND(Z353&gt;1,AA353&lt;1)</f>
        <v>0</v>
      </c>
      <c r="AC353" s="60" t="n">
        <f aca="false">IF(AB353,1/(1-Z353),0)</f>
        <v>0</v>
      </c>
      <c r="AD353" s="60" t="n">
        <f aca="false">IF(AB353,1/(1-AA353),1)</f>
        <v>1</v>
      </c>
      <c r="AE353" s="60" t="n">
        <f aca="false">IF(AB353,MIN(MAX(BI352,AC353+0.000000001*(AD353-AC353)),AD353-0.000000001*(AD353-AC353)),IF(AA353&gt;=1,1,0))</f>
        <v>1</v>
      </c>
      <c r="AF353" s="60" t="n">
        <f aca="false">SUMPRODUCT($E$13:$P$13*(N353:Y353-1)/(1+AE353*(N353:Y353-1)))</f>
        <v>0</v>
      </c>
      <c r="AG353" s="60" t="n">
        <f aca="false">-SUMPRODUCT($E$13:$P$13*(N353:Y353-1)^2/(1+AE353*(N353:Y353-1))^2)</f>
        <v>-0</v>
      </c>
      <c r="AH353" s="60" t="n">
        <f aca="false">IF(OR(NOT(AB353),AG353=0),AE353,IF(AE353-AF353/AG353&lt;=AC353,(AE353+AC353)/2,IF(AE353-AF353/AG353&gt;=AD353,(AE353+AD353)/2,AE353-AF353/AG353)))</f>
        <v>1</v>
      </c>
      <c r="AI353" s="60" t="n">
        <f aca="false">SUMPRODUCT($E$13:$P$13*(N353:Y353-1)/(1+AH353*(N353:Y353-1)))</f>
        <v>0</v>
      </c>
      <c r="AJ353" s="60" t="n">
        <f aca="false">-SUMPRODUCT($E$13:$P$13*(N353:Y353-1)^2/(1+AH353*(N353:Y353-1))^2)</f>
        <v>-0</v>
      </c>
      <c r="AK353" s="60" t="n">
        <f aca="false">IF(OR(NOT(AB353),AJ353=0),AH353,IF(AH353-AI353/AJ353&lt;=AC353,(AH353+AC353)/2,IF(AH353-AI353/AJ353&gt;=AD353,(AH353+AD353)/2,AH353-AI353/AJ353)))</f>
        <v>1</v>
      </c>
      <c r="AL353" s="60" t="n">
        <f aca="false">SUMPRODUCT($E$13:$P$13*(N353:Y353-1)/(1+AK353*(N353:Y353-1)))</f>
        <v>0</v>
      </c>
      <c r="AM353" s="60" t="n">
        <f aca="false">-SUMPRODUCT($E$13:$P$13*(N353:Y353-1)^2/(1+AK353*(N353:Y353-1))^2)</f>
        <v>-0</v>
      </c>
      <c r="AN353" s="60" t="n">
        <f aca="false">IF(OR(NOT(AB353),AM353=0),AK353,IF(AK353-AL353/AM353&lt;=AC353,(AK353+AC353)/2,IF(AK353-AL353/AM353&gt;=AD353,(AK353+AD353)/2,AK353-AL353/AM353)))</f>
        <v>1</v>
      </c>
      <c r="AO353" s="60" t="n">
        <f aca="false">SUMPRODUCT($E$13:$P$13*(N353:Y353-1)/(1+AN353*(N353:Y353-1)))</f>
        <v>0</v>
      </c>
      <c r="AP353" s="60" t="n">
        <f aca="false">-SUMPRODUCT($E$13:$P$13*(N353:Y353-1)^2/(1+AN353*(N353:Y353-1))^2)</f>
        <v>-0</v>
      </c>
      <c r="AQ353" s="60" t="n">
        <f aca="false">IF(OR(NOT(AB353),AP353=0),AN353,IF(AN353-AO353/AP353&lt;=AC353,(AN353+AC353)/2,IF(AN353-AO353/AP353&gt;=AD353,(AN353+AD353)/2,AN353-AO353/AP353)))</f>
        <v>1</v>
      </c>
      <c r="AR353" s="60" t="n">
        <f aca="false">SUMPRODUCT($E$13:$P$13*(N353:Y353-1)/(1+AQ353*(N353:Y353-1)))</f>
        <v>0</v>
      </c>
      <c r="AS353" s="60" t="n">
        <f aca="false">-SUMPRODUCT($E$13:$P$13*(N353:Y353-1)^2/(1+AQ353*(N353:Y353-1))^2)</f>
        <v>-0</v>
      </c>
      <c r="AT353" s="60" t="n">
        <f aca="false">IF(OR(NOT(AB353),AS353=0),AQ353,IF(AQ353-AR353/AS353&lt;=AC353,(AQ353+AC353)/2,IF(AQ353-AR353/AS353&gt;=AD353,(AQ353+AD353)/2,AQ353-AR353/AS353)))</f>
        <v>1</v>
      </c>
      <c r="AU353" s="60" t="n">
        <f aca="false">SUMPRODUCT($E$13:$P$13*(N353:Y353-1)/(1+AT353*(N353:Y353-1)))</f>
        <v>0</v>
      </c>
      <c r="AV353" s="60" t="n">
        <f aca="false">-SUMPRODUCT($E$13:$P$13*(N353:Y353-1)^2/(1+AT353*(N353:Y353-1))^2)</f>
        <v>-0</v>
      </c>
      <c r="AW353" s="60" t="n">
        <f aca="false">IF(OR(NOT(AB353),AV353=0),AT353,IF(AT353-AU353/AV353&lt;=AC353,(AT353+AC353)/2,IF(AT353-AU353/AV353&gt;=AD353,(AT353+AD353)/2,AT353-AU353/AV353)))</f>
        <v>1</v>
      </c>
      <c r="AX353" s="60" t="n">
        <f aca="false">SUMPRODUCT($E$13:$P$13*(N353:Y353-1)/(1+AW353*(N353:Y353-1)))</f>
        <v>0</v>
      </c>
      <c r="AY353" s="60" t="n">
        <f aca="false">-SUMPRODUCT($E$13:$P$13*(N353:Y353-1)^2/(1+AW353*(N353:Y353-1))^2)</f>
        <v>-0</v>
      </c>
      <c r="AZ353" s="60" t="n">
        <f aca="false">IF(OR(NOT(AB353),AY353=0),AW353,IF(AW353-AX353/AY353&lt;=AC353,(AW353+AC353)/2,IF(AW353-AX353/AY353&gt;=AD353,(AW353+AD353)/2,AW353-AX353/AY353)))</f>
        <v>1</v>
      </c>
      <c r="BA353" s="60" t="n">
        <f aca="false">SUMPRODUCT($E$13:$P$13*(N353:Y353-1)/(1+AZ353*(N353:Y353-1)))</f>
        <v>0</v>
      </c>
      <c r="BB353" s="60" t="n">
        <f aca="false">-SUMPRODUCT($E$13:$P$13*(N353:Y353-1)^2/(1+AZ353*(N353:Y353-1))^2)</f>
        <v>-0</v>
      </c>
      <c r="BC353" s="60" t="n">
        <f aca="false">IF(OR(NOT(AB353),BB353=0),AZ353,IF(AZ353-BA353/BB353&lt;=AC353,(AZ353+AC353)/2,IF(AZ353-BA353/BB353&gt;=AD353,(AZ353+AD353)/2,AZ353-BA353/BB353)))</f>
        <v>1</v>
      </c>
      <c r="BD353" s="60" t="n">
        <f aca="false">SUMPRODUCT($E$13:$P$13*(N353:Y353-1)/(1+BC353*(N353:Y353-1)))</f>
        <v>0</v>
      </c>
      <c r="BE353" s="60" t="n">
        <f aca="false">-SUMPRODUCT($E$13:$P$13*(N353:Y353-1)^2/(1+BC353*(N353:Y353-1))^2)</f>
        <v>-0</v>
      </c>
      <c r="BF353" s="60" t="n">
        <f aca="false">IF(OR(NOT(AB353),BE353=0),BC353,IF(BC353-BD353/BE353&lt;=AC353,(BC353+AC353)/2,IF(BC353-BD353/BE353&gt;=AD353,(BC353+AD353)/2,BC353-BD353/BE353)))</f>
        <v>1</v>
      </c>
      <c r="BG353" s="60" t="n">
        <f aca="false">SUMPRODUCT($E$13:$P$13*(N353:Y353-1)/(1+BF353*(N353:Y353-1)))</f>
        <v>0</v>
      </c>
      <c r="BH353" s="60" t="n">
        <f aca="false">-SUMPRODUCT($E$13:$P$13*(N353:Y353-1)^2/(1+BF353*(N353:Y353-1))^2)</f>
        <v>-0</v>
      </c>
      <c r="BI353" s="60" t="n">
        <f aca="false">IF(OR(NOT(AB353),BH353=0),BF353,IF(BF353-BG353/BH353&lt;=AC353,(BF353+AC353)/2,IF(BF353-BG353/BH353&gt;=AD353,(BF353+AD353)/2,BF353-BG353/BH353)))</f>
        <v>1</v>
      </c>
      <c r="BJ353" s="60" t="n">
        <f aca="false">$E$13/(1+BI353*(N353-1))</f>
        <v>1</v>
      </c>
      <c r="BK353" s="60" t="n">
        <f aca="false">$F$13/(1+BI353*(O353-1))</f>
        <v>0</v>
      </c>
      <c r="BL353" s="60" t="n">
        <f aca="false">$G$13/(1+BI353*(P353-1))</f>
        <v>0</v>
      </c>
      <c r="BM353" s="60" t="n">
        <f aca="false">$H$13/(1+BI353*(Q353-1))</f>
        <v>0</v>
      </c>
      <c r="BN353" s="60" t="n">
        <f aca="false">$I$13/(1+BI353*(R353-1))</f>
        <v>0</v>
      </c>
      <c r="BO353" s="60" t="n">
        <f aca="false">$J$13/(1+BI353*(S353-1))</f>
        <v>0</v>
      </c>
      <c r="BP353" s="60" t="n">
        <f aca="false">$K$13/(1+BI353*(T353-1))</f>
        <v>0</v>
      </c>
      <c r="BQ353" s="60" t="n">
        <f aca="false">$L$13/(1+BI353*(U353-1))</f>
        <v>0</v>
      </c>
      <c r="BR353" s="60" t="n">
        <f aca="false">$M$13/(1+BI353*(V353-1))</f>
        <v>0</v>
      </c>
      <c r="BS353" s="60" t="n">
        <f aca="false">$N$13/(1+BI353*(W353-1))</f>
        <v>0</v>
      </c>
      <c r="BT353" s="60" t="n">
        <f aca="false">$O$13/(1+BI353*(X353-1))</f>
        <v>0</v>
      </c>
      <c r="BU353" s="60" t="n">
        <f aca="false">$P$13/(1+BI353*(Y353-1))</f>
        <v>0</v>
      </c>
      <c r="BV353" s="60" t="n">
        <f aca="false">SUM(BJ353:BU353)</f>
        <v>1</v>
      </c>
      <c r="BW353" s="60" t="n">
        <f aca="false">SUMPRODUCT(N353:Y353,BJ353:BU353)</f>
        <v>1</v>
      </c>
      <c r="BX353" s="60" t="n">
        <f aca="false">BJ353/BV353</f>
        <v>1</v>
      </c>
      <c r="BY353" s="60" t="n">
        <f aca="false">BK353/BV353</f>
        <v>0</v>
      </c>
      <c r="BZ353" s="60" t="n">
        <f aca="false">BL353/BV353</f>
        <v>0</v>
      </c>
      <c r="CA353" s="60" t="n">
        <f aca="false">BM353/BV353</f>
        <v>0</v>
      </c>
      <c r="CB353" s="60" t="n">
        <f aca="false">BN353/BV353</f>
        <v>0</v>
      </c>
      <c r="CC353" s="60" t="n">
        <f aca="false">BO353/BV353</f>
        <v>0</v>
      </c>
      <c r="CD353" s="60" t="n">
        <f aca="false">BP353/BV353</f>
        <v>0</v>
      </c>
      <c r="CE353" s="60" t="n">
        <f aca="false">BQ353/BV353</f>
        <v>0</v>
      </c>
      <c r="CF353" s="60" t="n">
        <f aca="false">BR353/BV353</f>
        <v>0</v>
      </c>
      <c r="CG353" s="60" t="n">
        <f aca="false">BS353/BV353</f>
        <v>0</v>
      </c>
      <c r="CH353" s="60" t="n">
        <f aca="false">BT353/BV353</f>
        <v>0</v>
      </c>
      <c r="CI353" s="60" t="n">
        <f aca="false">BU353/BV353</f>
        <v>0</v>
      </c>
      <c r="CJ353" s="60" t="n">
        <f aca="false">N353*BJ353/BW353</f>
        <v>1</v>
      </c>
      <c r="CK353" s="60" t="n">
        <f aca="false">O353*BK353/BW353</f>
        <v>0</v>
      </c>
      <c r="CL353" s="60" t="n">
        <f aca="false">P353*BL353/BW353</f>
        <v>0</v>
      </c>
      <c r="CM353" s="60" t="n">
        <f aca="false">Q353*BM353/BW353</f>
        <v>0</v>
      </c>
      <c r="CN353" s="60" t="n">
        <f aca="false">R353*BN353/BW353</f>
        <v>0</v>
      </c>
      <c r="CO353" s="60" t="n">
        <f aca="false">S353*BO353/BW353</f>
        <v>0</v>
      </c>
      <c r="CP353" s="60" t="n">
        <f aca="false">T353*BP353/BW353</f>
        <v>0</v>
      </c>
      <c r="CQ353" s="60" t="n">
        <f aca="false">U353*BQ353/BW353</f>
        <v>0</v>
      </c>
      <c r="CR353" s="60" t="n">
        <f aca="false">V353*BR353/BW353</f>
        <v>0</v>
      </c>
      <c r="CS353" s="60" t="n">
        <f aca="false">W353*BS353/BW353</f>
        <v>0</v>
      </c>
      <c r="CT353" s="60" t="n">
        <f aca="false">X353*BT353/BW353</f>
        <v>0</v>
      </c>
      <c r="CU353" s="60" t="n">
        <f aca="false">Y353*BU353/BW353</f>
        <v>0</v>
      </c>
      <c r="CV353" s="60" t="n">
        <f aca="false">$E$28*SUMPRODUCT($E$31:$P$31,BX353:CI353,$E$28:$P$28)</f>
        <v>0.184416866619846</v>
      </c>
      <c r="CW353" s="60" t="n">
        <f aca="false">$F$28*SUMPRODUCT($E$32:$P$32,BX353:CI353,$E$28:$P$28)</f>
        <v>0</v>
      </c>
      <c r="CX353" s="60" t="n">
        <f aca="false">$G$28*SUMPRODUCT($E$33:$P$33,BX353:CI353,$E$28:$P$28)</f>
        <v>0</v>
      </c>
      <c r="CY353" s="60" t="n">
        <f aca="false">$H$28*SUMPRODUCT($E$34:$P$34,BX353:CI353,$E$28:$P$28)</f>
        <v>0</v>
      </c>
      <c r="CZ353" s="60" t="n">
        <f aca="false">$I$28*SUMPRODUCT($E$35:$P$35,BX353:CI353,$E$28:$P$28)</f>
        <v>0</v>
      </c>
      <c r="DA353" s="60" t="n">
        <f aca="false">$J$28*SUMPRODUCT($E$36:$P$36,BX353:CI353,$E$28:$P$28)</f>
        <v>0</v>
      </c>
      <c r="DB353" s="60" t="n">
        <f aca="false">$K$28*SUMPRODUCT($E$37:$P$37,BX353:CI353,$E$28:$P$28)</f>
        <v>0</v>
      </c>
      <c r="DC353" s="60" t="n">
        <f aca="false">$L$28*SUMPRODUCT($E$38:$P$38,BX353:CI353,$E$28:$P$28)</f>
        <v>0</v>
      </c>
      <c r="DD353" s="60" t="n">
        <f aca="false">$M$28*SUMPRODUCT($E$39:$P$39,BX353:CI353,$E$28:$P$28)</f>
        <v>0</v>
      </c>
      <c r="DE353" s="60" t="n">
        <f aca="false">$N$28*SUMPRODUCT($E$40:$P$40,BX353:CI353,$E$28:$P$28)</f>
        <v>0</v>
      </c>
      <c r="DF353" s="60" t="n">
        <f aca="false">$O$28*SUMPRODUCT($E$41:$P$41,BX353:CI353,$E$28:$P$28)</f>
        <v>0</v>
      </c>
      <c r="DG353" s="60" t="n">
        <f aca="false">$P$28*SUMPRODUCT($E$42:$P$42,BX353:CI353,$E$28:$P$28)</f>
        <v>0</v>
      </c>
      <c r="DH353" s="60" t="n">
        <f aca="false">SUMPRODUCT(BX353:CI353,CV353:DG353)</f>
        <v>0.184416866619846</v>
      </c>
      <c r="DI353" s="60" t="n">
        <f aca="false">SUMPRODUCT(BX353:CI353,$E$27:$P$27)</f>
        <v>2.67389635063809E-005</v>
      </c>
      <c r="DJ353" s="60" t="n">
        <f aca="false">DH353*$C$9/($C$10*$C$8)^2</f>
        <v>0.21776909410545</v>
      </c>
      <c r="DK353" s="60" t="n">
        <f aca="false">DI353*$C$9/($C$10*$C$8)</f>
        <v>0.0918845243259994</v>
      </c>
      <c r="DL353" s="60" t="n">
        <f aca="false">CHOOSE($C$7,-(1+DK353),-1,-(1-DK353))</f>
        <v>-0.908115475674001</v>
      </c>
      <c r="DM353" s="60" t="n">
        <f aca="false">CHOOSE($C$7,DJ353,DJ353-DK353-DK353^2,DJ353-3*DK353^2-2*DK353)</f>
        <v>0.00867174802160559</v>
      </c>
      <c r="DN353" s="60" t="n">
        <f aca="false">CHOOSE($C$7,-DJ353*DK353,-DJ353*DK353,-(DJ353*DK353-DK353^2-DK353^3))</f>
        <v>-0.0107910842936637</v>
      </c>
      <c r="DO353" s="60" t="n">
        <f aca="false">DM353-DL353^2/3</f>
        <v>-0.266219491031267</v>
      </c>
      <c r="DP353" s="60" t="n">
        <f aca="false">2*DL353^3/27-DL353*DM353/3+DN353</f>
        <v>-0.0636400988362784</v>
      </c>
      <c r="DQ353" s="60" t="n">
        <f aca="false">DP353^2/4+DO353^3/27</f>
        <v>0.000313710901361829</v>
      </c>
      <c r="DR353" s="60" t="n">
        <f aca="false">-DP353/2-IF(DP353&gt;=0,1,-1)*SQRT(MAX(DQ353,0))</f>
        <v>0.0495319352963236</v>
      </c>
      <c r="DS353" s="60" t="n">
        <f aca="false">SIGN(DR353)*ABS(DR353)^(1/3)</f>
        <v>0.367249967174439</v>
      </c>
      <c r="DT353" s="60" t="n">
        <f aca="false">IF(DS353=0,0,DS353-DO353/(3*DS353))</f>
        <v>0.60888329127384</v>
      </c>
      <c r="DU353" s="60" t="n">
        <f aca="false">2*SQRT(MAX(-DO353,0)/3)</f>
        <v>0.595784626668918</v>
      </c>
      <c r="DV353" s="60" t="n">
        <f aca="false">ACOS(IF(DU353=0,0,MAX(-1,MIN(1,3*DP353/(DO353*DU353)))))</f>
        <v>0</v>
      </c>
      <c r="DW353" s="60" t="n">
        <f aca="false">DU353*COS(DV353/3)</f>
        <v>0.595784626668918</v>
      </c>
      <c r="DX353" s="60" t="n">
        <f aca="false">IF(DQ353&lt;0,DW353,DT353)-DL353/3</f>
        <v>0.91158844983184</v>
      </c>
      <c r="DY353" s="60" t="n">
        <f aca="false">IFERROR((((DX353+DL353)*DX353+DM353)*DX353+DN353)/((3*DX353+2*DL353)*DX353+DM353),0)</f>
        <v>0</v>
      </c>
      <c r="DZ353" s="60" t="n">
        <f aca="false">IF(ABS(DY353)&lt;0.1*ABS(DX353),DX353-DY353,DX353)</f>
        <v>0.91158844983184</v>
      </c>
      <c r="EA353" s="60" t="n">
        <f aca="false">IFERROR((((DZ353+DL353)*DZ353+DM353)*DZ353+DN353)/((3*DZ353+2*DL353)*DZ353+DM353),0)</f>
        <v>0</v>
      </c>
      <c r="EB353" s="60" t="n">
        <f aca="false">IF(ABS(EA353)&lt;0.1*ABS(DZ353),DZ353-EA353,DZ353)</f>
        <v>0.91158844983184</v>
      </c>
      <c r="EC353" s="60" t="n">
        <f aca="false">-DN353/EB353</f>
        <v>0.0118376711504565</v>
      </c>
      <c r="ED353" s="60" t="n">
        <f aca="false">(DM353-EC353)/EB353</f>
        <v>-0.00347297415783941</v>
      </c>
      <c r="EE353" s="60" t="n">
        <f aca="false">ED353^2-4*EC353</f>
        <v>-0.0473386230523248</v>
      </c>
      <c r="EF353" s="60" t="n">
        <f aca="false">IF(EE353&gt;=0,(ED353+IF(ED353&gt;=0,1,-1)*SQRT(EE353))/2,0)</f>
        <v>0</v>
      </c>
      <c r="EG353" s="60" t="n">
        <f aca="false">IF(AND(EE353&gt;=0,EF353&lt;&gt;0),MIN(EF353,EC353/EF353),-1)</f>
        <v>-1</v>
      </c>
      <c r="EH353" s="60" t="n">
        <f aca="false">AND(EE353&gt;=0,EG353&gt;DK353,ABS(EB353-EG353)&gt;=0.00005*MAX(EB353,EG353))</f>
        <v>0</v>
      </c>
      <c r="EI353" s="60" t="n">
        <f aca="false">IF(EH353,IFERROR((((EG353+DL353)*EG353+DM353)*EG353+DN353)/((3*EG353+2*DL353)*EG353+DM353),0),0)</f>
        <v>0</v>
      </c>
      <c r="EJ353" s="60" t="n">
        <f aca="false">IF(ABS(EI353)&lt;0.1*ABS(EG353),EG353-EI353,EG353)</f>
        <v>-1</v>
      </c>
      <c r="EK353" s="60" t="n">
        <f aca="false">IF(EH353,IFERROR((((EJ353+DL353)*EJ353+DM353)*EJ353+DN353)/((3*EJ353+2*DL353)*EJ353+DM353),0),0)</f>
        <v>0</v>
      </c>
      <c r="EL353" s="60" t="n">
        <f aca="false">IF(ABS(EK353)&lt;0.1*ABS(EJ353),EJ353-EK353,EJ353)</f>
        <v>-1</v>
      </c>
      <c r="EM353" s="60" t="n">
        <f aca="false">IF(EH353,MAX(EB353,EL353),EB353)</f>
        <v>0.91158844983184</v>
      </c>
      <c r="EN353" s="60" t="n">
        <f aca="false">IF(EH353,MIN(EB353,EL353),-1)</f>
        <v>-1</v>
      </c>
      <c r="EO353" s="60" t="n">
        <f aca="false">CHOOSE($C$7,DJ353/EM353,DJ353/DK353*LN(1+DK353/EM353),DJ353/(2*SQRT(2)*DK353)*LN((EM353+(1+SQRT(2))*DK353)/(EM353+(1-SQRT(2))*DK353)))</f>
        <v>0.218240791233887</v>
      </c>
      <c r="EP353" s="60" t="n">
        <f aca="false">EM353-1-LN(EM353-DK353)-EO353</f>
        <v>-0.107840271021729</v>
      </c>
      <c r="EQ353" s="60" t="n">
        <f aca="false">IF(EH353,CHOOSE($C$7,DJ353/EN353,DJ353/DK353*LN(1+DK353/EN353),DJ353/(2*SQRT(2)*DK353)*LN((EN353+(1+SQRT(2))*DK353)/(EN353+(1-SQRT(2))*DK353))),0)</f>
        <v>0</v>
      </c>
      <c r="ER353" s="60" t="n">
        <f aca="false">IF(EH353,EN353-1-LN(EN353-DK353)-EQ353,0)</f>
        <v>0</v>
      </c>
      <c r="ES353" s="60" t="n">
        <f aca="false">AND(EH353,ER353&lt;EP353)</f>
        <v>0</v>
      </c>
      <c r="ET353" s="60" t="n">
        <f aca="false">IF(ES353,EN353,EM353)</f>
        <v>0.91158844983184</v>
      </c>
      <c r="EU353" s="60" t="n">
        <f aca="false">IF(ES353,EQ353,EO353)</f>
        <v>0.218240791233887</v>
      </c>
      <c r="EV353" s="60" t="n">
        <f aca="false">LN(ET353-DK353)</f>
        <v>-0.198812070380318</v>
      </c>
      <c r="EW353" s="60" t="n">
        <f aca="false">$E$27/DI353*(ET353-1)-EV353-EU353*(2*CV353/DH353-$E$27/DI353)</f>
        <v>-0.107840271021729</v>
      </c>
      <c r="EX353" s="60" t="n">
        <f aca="false">$F$27/DI353*(ET353-1)-EV353-EU353*(2*CW353/DH353-$F$27/DI353)</f>
        <v>0.198812070380318</v>
      </c>
      <c r="EY353" s="60" t="n">
        <f aca="false">$G$27/DI353*(ET353-1)-EV353-EU353*(2*CX353/DH353-$G$27/DI353)</f>
        <v>0.198812070380318</v>
      </c>
      <c r="EZ353" s="60" t="n">
        <f aca="false">$H$27/DI353*(ET353-1)-EV353-EU353*(2*CY353/DH353-$H$27/DI353)</f>
        <v>0.198812070380318</v>
      </c>
      <c r="FA353" s="60" t="n">
        <f aca="false">$I$27/DI353*(ET353-1)-EV353-EU353*(2*CZ353/DH353-$I$27/DI353)</f>
        <v>0.198812070380318</v>
      </c>
      <c r="FB353" s="60" t="n">
        <f aca="false">$J$27/DI353*(ET353-1)-EV353-EU353*(2*DA353/DH353-$J$27/DI353)</f>
        <v>0.198812070380318</v>
      </c>
      <c r="FC353" s="60" t="n">
        <f aca="false">$K$27/DI353*(ET353-1)-EV353-EU353*(2*DB353/DH353-$K$27/DI353)</f>
        <v>0.198812070380318</v>
      </c>
      <c r="FD353" s="60" t="n">
        <f aca="false">$L$27/DI353*(ET353-1)-EV353-EU353*(2*DC353/DH353-$L$27/DI353)</f>
        <v>0.198812070380318</v>
      </c>
      <c r="FE353" s="60" t="n">
        <f aca="false">$M$27/DI353*(ET353-1)-EV353-EU353*(2*DD353/DH353-$M$27/DI353)</f>
        <v>0.198812070380318</v>
      </c>
      <c r="FF353" s="60" t="n">
        <f aca="false">$N$27/DI353*(ET353-1)-EV353-EU353*(2*DE353/DH353-$N$27/DI353)</f>
        <v>0.198812070380318</v>
      </c>
      <c r="FG353" s="60" t="n">
        <f aca="false">$O$27/DI353*(ET353-1)-EV353-EU353*(2*DF353/DH353-$O$27/DI353)</f>
        <v>0.198812070380318</v>
      </c>
      <c r="FH353" s="60" t="n">
        <f aca="false">$P$27/DI353*(ET353-1)-EV353-EU353*(2*DG353/DH353-$P$27/DI353)</f>
        <v>0.198812070380318</v>
      </c>
      <c r="FI353" s="60" t="n">
        <f aca="false">DK353/ET353&gt;$C$22</f>
        <v>0</v>
      </c>
      <c r="FJ353" s="60" t="n">
        <f aca="false">$E$28*SUMPRODUCT($E$31:$P$31,CJ353:CU353,$E$28:$P$28)</f>
        <v>0.184416866619846</v>
      </c>
      <c r="FK353" s="60" t="n">
        <f aca="false">$F$28*SUMPRODUCT($E$32:$P$32,CJ353:CU353,$E$28:$P$28)</f>
        <v>0</v>
      </c>
      <c r="FL353" s="60" t="n">
        <f aca="false">$G$28*SUMPRODUCT($E$33:$P$33,CJ353:CU353,$E$28:$P$28)</f>
        <v>0</v>
      </c>
      <c r="FM353" s="60" t="n">
        <f aca="false">$H$28*SUMPRODUCT($E$34:$P$34,CJ353:CU353,$E$28:$P$28)</f>
        <v>0</v>
      </c>
      <c r="FN353" s="60" t="n">
        <f aca="false">$I$28*SUMPRODUCT($E$35:$P$35,CJ353:CU353,$E$28:$P$28)</f>
        <v>0</v>
      </c>
      <c r="FO353" s="60" t="n">
        <f aca="false">$J$28*SUMPRODUCT($E$36:$P$36,CJ353:CU353,$E$28:$P$28)</f>
        <v>0</v>
      </c>
      <c r="FP353" s="60" t="n">
        <f aca="false">$K$28*SUMPRODUCT($E$37:$P$37,CJ353:CU353,$E$28:$P$28)</f>
        <v>0</v>
      </c>
      <c r="FQ353" s="60" t="n">
        <f aca="false">$L$28*SUMPRODUCT($E$38:$P$38,CJ353:CU353,$E$28:$P$28)</f>
        <v>0</v>
      </c>
      <c r="FR353" s="60" t="n">
        <f aca="false">$M$28*SUMPRODUCT($E$39:$P$39,CJ353:CU353,$E$28:$P$28)</f>
        <v>0</v>
      </c>
      <c r="FS353" s="60" t="n">
        <f aca="false">$N$28*SUMPRODUCT($E$40:$P$40,CJ353:CU353,$E$28:$P$28)</f>
        <v>0</v>
      </c>
      <c r="FT353" s="60" t="n">
        <f aca="false">$O$28*SUMPRODUCT($E$41:$P$41,CJ353:CU353,$E$28:$P$28)</f>
        <v>0</v>
      </c>
      <c r="FU353" s="60" t="n">
        <f aca="false">$P$28*SUMPRODUCT($E$42:$P$42,CJ353:CU353,$E$28:$P$28)</f>
        <v>0</v>
      </c>
      <c r="FV353" s="60" t="n">
        <f aca="false">SUMPRODUCT(CJ353:CU353,FJ353:FU353)</f>
        <v>0.184416866619846</v>
      </c>
      <c r="FW353" s="60" t="n">
        <f aca="false">SUMPRODUCT(CJ353:CU353,$E$27:$P$27)</f>
        <v>2.67389635063809E-005</v>
      </c>
      <c r="FX353" s="60" t="n">
        <f aca="false">FV353*$C$9/($C$10*$C$8)^2</f>
        <v>0.21776909410545</v>
      </c>
      <c r="FY353" s="60" t="n">
        <f aca="false">FW353*$C$9/($C$10*$C$8)</f>
        <v>0.0918845243259994</v>
      </c>
      <c r="FZ353" s="60" t="n">
        <f aca="false">CHOOSE($C$7,-(1+FY353),-1,-(1-FY353))</f>
        <v>-0.908115475674001</v>
      </c>
      <c r="GA353" s="60" t="n">
        <f aca="false">CHOOSE($C$7,FX353,FX353-FY353-FY353^2,FX353-3*FY353^2-2*FY353)</f>
        <v>0.00867174802160559</v>
      </c>
      <c r="GB353" s="60" t="n">
        <f aca="false">CHOOSE($C$7,-FX353*FY353,-FX353*FY353,-(FX353*FY353-FY353^2-FY353^3))</f>
        <v>-0.0107910842936637</v>
      </c>
      <c r="GC353" s="60" t="n">
        <f aca="false">GA353-FZ353^2/3</f>
        <v>-0.266219491031267</v>
      </c>
      <c r="GD353" s="60" t="n">
        <f aca="false">2*FZ353^3/27-FZ353*GA353/3+GB353</f>
        <v>-0.0636400988362784</v>
      </c>
      <c r="GE353" s="60" t="n">
        <f aca="false">GD353^2/4+GC353^3/27</f>
        <v>0.000313710901361829</v>
      </c>
      <c r="GF353" s="60" t="n">
        <f aca="false">-GD353/2-IF(GD353&gt;=0,1,-1)*SQRT(MAX(GE353,0))</f>
        <v>0.0495319352963236</v>
      </c>
      <c r="GG353" s="60" t="n">
        <f aca="false">SIGN(GF353)*ABS(GF353)^(1/3)</f>
        <v>0.367249967174439</v>
      </c>
      <c r="GH353" s="60" t="n">
        <f aca="false">IF(GG353=0,0,GG353-GC353/(3*GG353))</f>
        <v>0.60888329127384</v>
      </c>
      <c r="GI353" s="60" t="n">
        <f aca="false">2*SQRT(MAX(-GC353,0)/3)</f>
        <v>0.595784626668918</v>
      </c>
      <c r="GJ353" s="60" t="n">
        <f aca="false">ACOS(IF(GI353=0,0,MAX(-1,MIN(1,3*GD353/(GC353*GI353)))))</f>
        <v>0</v>
      </c>
      <c r="GK353" s="60" t="n">
        <f aca="false">GI353*COS(GJ353/3)</f>
        <v>0.595784626668918</v>
      </c>
      <c r="GL353" s="60" t="n">
        <f aca="false">IF(GE353&lt;0,GK353,GH353)-FZ353/3</f>
        <v>0.91158844983184</v>
      </c>
      <c r="GM353" s="60" t="n">
        <f aca="false">IFERROR((((GL353+FZ353)*GL353+GA353)*GL353+GB353)/((3*GL353+2*FZ353)*GL353+GA353),0)</f>
        <v>0</v>
      </c>
      <c r="GN353" s="60" t="n">
        <f aca="false">IF(ABS(GM353)&lt;0.1*ABS(GL353),GL353-GM353,GL353)</f>
        <v>0.91158844983184</v>
      </c>
      <c r="GO353" s="60" t="n">
        <f aca="false">IFERROR((((GN353+FZ353)*GN353+GA353)*GN353+GB353)/((3*GN353+2*FZ353)*GN353+GA353),0)</f>
        <v>0</v>
      </c>
      <c r="GP353" s="60" t="n">
        <f aca="false">IF(ABS(GO353)&lt;0.1*ABS(GN353),GN353-GO353,GN353)</f>
        <v>0.91158844983184</v>
      </c>
      <c r="GQ353" s="60" t="n">
        <f aca="false">-GB353/GP353</f>
        <v>0.0118376711504565</v>
      </c>
      <c r="GR353" s="60" t="n">
        <f aca="false">(GA353-GQ353)/GP353</f>
        <v>-0.00347297415783941</v>
      </c>
      <c r="GS353" s="60" t="n">
        <f aca="false">GR353^2-4*GQ353</f>
        <v>-0.0473386230523248</v>
      </c>
      <c r="GT353" s="60" t="n">
        <f aca="false">IF(GS353&gt;=0,(GR353+IF(GR353&gt;=0,1,-1)*SQRT(GS353))/2,0)</f>
        <v>0</v>
      </c>
      <c r="GU353" s="60" t="n">
        <f aca="false">IF(AND(GS353&gt;=0,GT353&lt;&gt;0),MIN(GT353,GQ353/GT353),-1)</f>
        <v>-1</v>
      </c>
      <c r="GV353" s="60" t="n">
        <f aca="false">AND(GS353&gt;=0,GU353&gt;FY353,ABS(GP353-GU353)&gt;=0.00005*MAX(GP353,GU353))</f>
        <v>0</v>
      </c>
      <c r="GW353" s="60" t="n">
        <f aca="false">IF(GV353,IFERROR((((GU353+FZ353)*GU353+GA353)*GU353+GB353)/((3*GU353+2*FZ353)*GU353+GA353),0),0)</f>
        <v>0</v>
      </c>
      <c r="GX353" s="60" t="n">
        <f aca="false">IF(ABS(GW353)&lt;0.1*ABS(GU353),GU353-GW353,GU353)</f>
        <v>-1</v>
      </c>
      <c r="GY353" s="60" t="n">
        <f aca="false">IF(GV353,IFERROR((((GX353+FZ353)*GX353+GA353)*GX353+GB353)/((3*GX353+2*FZ353)*GX353+GA353),0),0)</f>
        <v>0</v>
      </c>
      <c r="GZ353" s="60" t="n">
        <f aca="false">IF(ABS(GY353)&lt;0.1*ABS(GX353),GX353-GY353,GX353)</f>
        <v>-1</v>
      </c>
      <c r="HA353" s="60" t="n">
        <f aca="false">IF(GV353,MAX(GP353,GZ353),GP353)</f>
        <v>0.91158844983184</v>
      </c>
      <c r="HB353" s="60" t="n">
        <f aca="false">IF(GV353,MIN(GP353,GZ353),-1)</f>
        <v>-1</v>
      </c>
      <c r="HC353" s="60" t="n">
        <f aca="false">CHOOSE($C$7,FX353/HA353,FX353/FY353*LN(1+FY353/HA353),FX353/(2*SQRT(2)*FY353)*LN((HA353+(1+SQRT(2))*FY353)/(HA353+(1-SQRT(2))*FY353)))</f>
        <v>0.218240791233887</v>
      </c>
      <c r="HD353" s="60" t="n">
        <f aca="false">HA353-1-LN(HA353-FY353)-HC353</f>
        <v>-0.107840271021729</v>
      </c>
      <c r="HE353" s="60" t="n">
        <f aca="false">IF(GV353,CHOOSE($C$7,FX353/HB353,FX353/FY353*LN(1+FY353/HB353),FX353/(2*SQRT(2)*FY353)*LN((HB353+(1+SQRT(2))*FY353)/(HB353+(1-SQRT(2))*FY353))),0)</f>
        <v>0</v>
      </c>
      <c r="HF353" s="60" t="n">
        <f aca="false">IF(GV353,HB353-1-LN(HB353-FY353)-HE353,0)</f>
        <v>0</v>
      </c>
      <c r="HG353" s="60" t="n">
        <f aca="false">AND(GV353,HF353&lt;HD353)</f>
        <v>0</v>
      </c>
      <c r="HH353" s="60" t="n">
        <f aca="false">IF(HG353,HB353,HA353)</f>
        <v>0.91158844983184</v>
      </c>
      <c r="HI353" s="60" t="n">
        <f aca="false">IF(HG353,HE353,HC353)</f>
        <v>0.218240791233887</v>
      </c>
      <c r="HJ353" s="60" t="n">
        <f aca="false">LN(HH353-FY353)</f>
        <v>-0.198812070380318</v>
      </c>
      <c r="HK353" s="60" t="n">
        <f aca="false">$E$27/FW353*(HH353-1)-HJ353-HI353*(2*FJ353/FV353-$E$27/FW353)</f>
        <v>-0.107840271021729</v>
      </c>
      <c r="HL353" s="60" t="n">
        <f aca="false">$F$27/FW353*(HH353-1)-HJ353-HI353*(2*FK353/FV353-$F$27/FW353)</f>
        <v>0.198812070380318</v>
      </c>
      <c r="HM353" s="60" t="n">
        <f aca="false">$G$27/FW353*(HH353-1)-HJ353-HI353*(2*FL353/FV353-$G$27/FW353)</f>
        <v>0.198812070380318</v>
      </c>
      <c r="HN353" s="60" t="n">
        <f aca="false">$H$27/FW353*(HH353-1)-HJ353-HI353*(2*FM353/FV353-$H$27/FW353)</f>
        <v>0.198812070380318</v>
      </c>
      <c r="HO353" s="60" t="n">
        <f aca="false">$I$27/FW353*(HH353-1)-HJ353-HI353*(2*FN353/FV353-$I$27/FW353)</f>
        <v>0.198812070380318</v>
      </c>
      <c r="HP353" s="60" t="n">
        <f aca="false">$J$27/FW353*(HH353-1)-HJ353-HI353*(2*FO353/FV353-$J$27/FW353)</f>
        <v>0.198812070380318</v>
      </c>
      <c r="HQ353" s="60" t="n">
        <f aca="false">$K$27/FW353*(HH353-1)-HJ353-HI353*(2*FP353/FV353-$K$27/FW353)</f>
        <v>0.198812070380318</v>
      </c>
      <c r="HR353" s="60" t="n">
        <f aca="false">$L$27/FW353*(HH353-1)-HJ353-HI353*(2*FQ353/FV353-$L$27/FW353)</f>
        <v>0.198812070380318</v>
      </c>
      <c r="HS353" s="60" t="n">
        <f aca="false">$M$27/FW353*(HH353-1)-HJ353-HI353*(2*FR353/FV353-$M$27/FW353)</f>
        <v>0.198812070380318</v>
      </c>
      <c r="HT353" s="60" t="n">
        <f aca="false">$N$27/FW353*(HH353-1)-HJ353-HI353*(2*FS353/FV353-$N$27/FW353)</f>
        <v>0.198812070380318</v>
      </c>
      <c r="HU353" s="60" t="n">
        <f aca="false">$O$27/FW353*(HH353-1)-HJ353-HI353*(2*FT353/FV353-$O$27/FW353)</f>
        <v>0.198812070380318</v>
      </c>
      <c r="HV353" s="60" t="n">
        <f aca="false">$P$27/FW353*(HH353-1)-HJ353-HI353*(2*FU353/FV353-$P$27/FW353)</f>
        <v>0.198812070380318</v>
      </c>
      <c r="HW353" s="60" t="n">
        <f aca="false">FY353/HH353&gt;$C$22</f>
        <v>0</v>
      </c>
      <c r="HX353" s="60" t="n">
        <f aca="false">IF($E$13&gt;0,MAX(-300,MIN(300,EW353-HK353)),0)</f>
        <v>0</v>
      </c>
      <c r="HY353" s="60" t="n">
        <f aca="false">IF($F$13&gt;0,MAX(-300,MIN(300,EX353-HL353)),0)</f>
        <v>0</v>
      </c>
      <c r="HZ353" s="60" t="n">
        <f aca="false">IF($G$13&gt;0,MAX(-300,MIN(300,EY353-HM353)),0)</f>
        <v>0</v>
      </c>
      <c r="IA353" s="60" t="n">
        <f aca="false">IF($H$13&gt;0,MAX(-300,MIN(300,EZ353-HN353)),0)</f>
        <v>0</v>
      </c>
      <c r="IB353" s="60" t="n">
        <f aca="false">IF($I$13&gt;0,MAX(-300,MIN(300,FA353-HO353)),0)</f>
        <v>0</v>
      </c>
      <c r="IC353" s="60" t="n">
        <f aca="false">IF($J$13&gt;0,MAX(-300,MIN(300,FB353-HP353)),0)</f>
        <v>0</v>
      </c>
      <c r="ID353" s="60" t="n">
        <f aca="false">IF($K$13&gt;0,MAX(-300,MIN(300,FC353-HQ353)),0)</f>
        <v>0</v>
      </c>
      <c r="IE353" s="60" t="n">
        <f aca="false">IF($L$13&gt;0,MAX(-300,MIN(300,FD353-HR353)),0)</f>
        <v>0</v>
      </c>
      <c r="IF353" s="60" t="n">
        <f aca="false">IF($M$13&gt;0,MAX(-300,MIN(300,FE353-HS353)),0)</f>
        <v>0</v>
      </c>
      <c r="IG353" s="60" t="n">
        <f aca="false">IF($N$13&gt;0,MAX(-300,MIN(300,FF353-HT353)),0)</f>
        <v>0</v>
      </c>
      <c r="IH353" s="60" t="n">
        <f aca="false">IF($O$13&gt;0,MAX(-300,MIN(300,FG353-HU353)),0)</f>
        <v>0</v>
      </c>
      <c r="II353" s="60" t="n">
        <f aca="false">IF($P$13&gt;0,MAX(-300,MIN(300,FH353-HV353)),0)</f>
        <v>0</v>
      </c>
      <c r="IJ353" s="60" t="n">
        <f aca="false">SUMXMY2(HX353:II353,B353:M353)</f>
        <v>0</v>
      </c>
      <c r="IK353" s="60" t="n">
        <f aca="false">SUMSQ(B353:M353)</f>
        <v>0</v>
      </c>
    </row>
    <row r="354" customFormat="false" ht="15" hidden="false" customHeight="false" outlineLevel="0" collapsed="false">
      <c r="A354" s="59" t="n">
        <v>57</v>
      </c>
      <c r="B354" s="60" t="n">
        <f aca="false">HX353</f>
        <v>0</v>
      </c>
      <c r="C354" s="60" t="n">
        <f aca="false">HY353</f>
        <v>0</v>
      </c>
      <c r="D354" s="60" t="n">
        <f aca="false">HZ353</f>
        <v>0</v>
      </c>
      <c r="E354" s="60" t="n">
        <f aca="false">IA353</f>
        <v>0</v>
      </c>
      <c r="F354" s="60" t="n">
        <f aca="false">IB353</f>
        <v>0</v>
      </c>
      <c r="G354" s="60" t="n">
        <f aca="false">IC353</f>
        <v>0</v>
      </c>
      <c r="H354" s="60" t="n">
        <f aca="false">ID353</f>
        <v>0</v>
      </c>
      <c r="I354" s="60" t="n">
        <f aca="false">IE353</f>
        <v>0</v>
      </c>
      <c r="J354" s="60" t="n">
        <f aca="false">IF353</f>
        <v>0</v>
      </c>
      <c r="K354" s="60" t="n">
        <f aca="false">IG353</f>
        <v>0</v>
      </c>
      <c r="L354" s="60" t="n">
        <f aca="false">IH353</f>
        <v>0</v>
      </c>
      <c r="M354" s="60" t="n">
        <f aca="false">II353</f>
        <v>0</v>
      </c>
      <c r="N354" s="60" t="n">
        <f aca="false">EXP(B354)</f>
        <v>1</v>
      </c>
      <c r="O354" s="60" t="n">
        <f aca="false">EXP(C354)</f>
        <v>1</v>
      </c>
      <c r="P354" s="60" t="n">
        <f aca="false">EXP(D354)</f>
        <v>1</v>
      </c>
      <c r="Q354" s="60" t="n">
        <f aca="false">EXP(E354)</f>
        <v>1</v>
      </c>
      <c r="R354" s="60" t="n">
        <f aca="false">EXP(F354)</f>
        <v>1</v>
      </c>
      <c r="S354" s="60" t="n">
        <f aca="false">EXP(G354)</f>
        <v>1</v>
      </c>
      <c r="T354" s="60" t="n">
        <f aca="false">EXP(H354)</f>
        <v>1</v>
      </c>
      <c r="U354" s="60" t="n">
        <f aca="false">EXP(I354)</f>
        <v>1</v>
      </c>
      <c r="V354" s="60" t="n">
        <f aca="false">EXP(J354)</f>
        <v>1</v>
      </c>
      <c r="W354" s="60" t="n">
        <f aca="false">EXP(K354)</f>
        <v>1</v>
      </c>
      <c r="X354" s="60" t="n">
        <f aca="false">EXP(L354)</f>
        <v>1</v>
      </c>
      <c r="Y354" s="60" t="n">
        <f aca="false">EXP(M354)</f>
        <v>1</v>
      </c>
      <c r="Z354" s="60" t="n">
        <f aca="false">MAX(N354:Y354)</f>
        <v>1</v>
      </c>
      <c r="AA354" s="60" t="n">
        <f aca="false">MIN(N354:Y354)</f>
        <v>1</v>
      </c>
      <c r="AB354" s="60" t="n">
        <f aca="false">AND(Z354&gt;1,AA354&lt;1)</f>
        <v>0</v>
      </c>
      <c r="AC354" s="60" t="n">
        <f aca="false">IF(AB354,1/(1-Z354),0)</f>
        <v>0</v>
      </c>
      <c r="AD354" s="60" t="n">
        <f aca="false">IF(AB354,1/(1-AA354),1)</f>
        <v>1</v>
      </c>
      <c r="AE354" s="60" t="n">
        <f aca="false">IF(AB354,MIN(MAX(BI353,AC354+0.000000001*(AD354-AC354)),AD354-0.000000001*(AD354-AC354)),IF(AA354&gt;=1,1,0))</f>
        <v>1</v>
      </c>
      <c r="AF354" s="60" t="n">
        <f aca="false">SUMPRODUCT($E$13:$P$13*(N354:Y354-1)/(1+AE354*(N354:Y354-1)))</f>
        <v>0</v>
      </c>
      <c r="AG354" s="60" t="n">
        <f aca="false">-SUMPRODUCT($E$13:$P$13*(N354:Y354-1)^2/(1+AE354*(N354:Y354-1))^2)</f>
        <v>-0</v>
      </c>
      <c r="AH354" s="60" t="n">
        <f aca="false">IF(OR(NOT(AB354),AG354=0),AE354,IF(AE354-AF354/AG354&lt;=AC354,(AE354+AC354)/2,IF(AE354-AF354/AG354&gt;=AD354,(AE354+AD354)/2,AE354-AF354/AG354)))</f>
        <v>1</v>
      </c>
      <c r="AI354" s="60" t="n">
        <f aca="false">SUMPRODUCT($E$13:$P$13*(N354:Y354-1)/(1+AH354*(N354:Y354-1)))</f>
        <v>0</v>
      </c>
      <c r="AJ354" s="60" t="n">
        <f aca="false">-SUMPRODUCT($E$13:$P$13*(N354:Y354-1)^2/(1+AH354*(N354:Y354-1))^2)</f>
        <v>-0</v>
      </c>
      <c r="AK354" s="60" t="n">
        <f aca="false">IF(OR(NOT(AB354),AJ354=0),AH354,IF(AH354-AI354/AJ354&lt;=AC354,(AH354+AC354)/2,IF(AH354-AI354/AJ354&gt;=AD354,(AH354+AD354)/2,AH354-AI354/AJ354)))</f>
        <v>1</v>
      </c>
      <c r="AL354" s="60" t="n">
        <f aca="false">SUMPRODUCT($E$13:$P$13*(N354:Y354-1)/(1+AK354*(N354:Y354-1)))</f>
        <v>0</v>
      </c>
      <c r="AM354" s="60" t="n">
        <f aca="false">-SUMPRODUCT($E$13:$P$13*(N354:Y354-1)^2/(1+AK354*(N354:Y354-1))^2)</f>
        <v>-0</v>
      </c>
      <c r="AN354" s="60" t="n">
        <f aca="false">IF(OR(NOT(AB354),AM354=0),AK354,IF(AK354-AL354/AM354&lt;=AC354,(AK354+AC354)/2,IF(AK354-AL354/AM354&gt;=AD354,(AK354+AD354)/2,AK354-AL354/AM354)))</f>
        <v>1</v>
      </c>
      <c r="AO354" s="60" t="n">
        <f aca="false">SUMPRODUCT($E$13:$P$13*(N354:Y354-1)/(1+AN354*(N354:Y354-1)))</f>
        <v>0</v>
      </c>
      <c r="AP354" s="60" t="n">
        <f aca="false">-SUMPRODUCT($E$13:$P$13*(N354:Y354-1)^2/(1+AN354*(N354:Y354-1))^2)</f>
        <v>-0</v>
      </c>
      <c r="AQ354" s="60" t="n">
        <f aca="false">IF(OR(NOT(AB354),AP354=0),AN354,IF(AN354-AO354/AP354&lt;=AC354,(AN354+AC354)/2,IF(AN354-AO354/AP354&gt;=AD354,(AN354+AD354)/2,AN354-AO354/AP354)))</f>
        <v>1</v>
      </c>
      <c r="AR354" s="60" t="n">
        <f aca="false">SUMPRODUCT($E$13:$P$13*(N354:Y354-1)/(1+AQ354*(N354:Y354-1)))</f>
        <v>0</v>
      </c>
      <c r="AS354" s="60" t="n">
        <f aca="false">-SUMPRODUCT($E$13:$P$13*(N354:Y354-1)^2/(1+AQ354*(N354:Y354-1))^2)</f>
        <v>-0</v>
      </c>
      <c r="AT354" s="60" t="n">
        <f aca="false">IF(OR(NOT(AB354),AS354=0),AQ354,IF(AQ354-AR354/AS354&lt;=AC354,(AQ354+AC354)/2,IF(AQ354-AR354/AS354&gt;=AD354,(AQ354+AD354)/2,AQ354-AR354/AS354)))</f>
        <v>1</v>
      </c>
      <c r="AU354" s="60" t="n">
        <f aca="false">SUMPRODUCT($E$13:$P$13*(N354:Y354-1)/(1+AT354*(N354:Y354-1)))</f>
        <v>0</v>
      </c>
      <c r="AV354" s="60" t="n">
        <f aca="false">-SUMPRODUCT($E$13:$P$13*(N354:Y354-1)^2/(1+AT354*(N354:Y354-1))^2)</f>
        <v>-0</v>
      </c>
      <c r="AW354" s="60" t="n">
        <f aca="false">IF(OR(NOT(AB354),AV354=0),AT354,IF(AT354-AU354/AV354&lt;=AC354,(AT354+AC354)/2,IF(AT354-AU354/AV354&gt;=AD354,(AT354+AD354)/2,AT354-AU354/AV354)))</f>
        <v>1</v>
      </c>
      <c r="AX354" s="60" t="n">
        <f aca="false">SUMPRODUCT($E$13:$P$13*(N354:Y354-1)/(1+AW354*(N354:Y354-1)))</f>
        <v>0</v>
      </c>
      <c r="AY354" s="60" t="n">
        <f aca="false">-SUMPRODUCT($E$13:$P$13*(N354:Y354-1)^2/(1+AW354*(N354:Y354-1))^2)</f>
        <v>-0</v>
      </c>
      <c r="AZ354" s="60" t="n">
        <f aca="false">IF(OR(NOT(AB354),AY354=0),AW354,IF(AW354-AX354/AY354&lt;=AC354,(AW354+AC354)/2,IF(AW354-AX354/AY354&gt;=AD354,(AW354+AD354)/2,AW354-AX354/AY354)))</f>
        <v>1</v>
      </c>
      <c r="BA354" s="60" t="n">
        <f aca="false">SUMPRODUCT($E$13:$P$13*(N354:Y354-1)/(1+AZ354*(N354:Y354-1)))</f>
        <v>0</v>
      </c>
      <c r="BB354" s="60" t="n">
        <f aca="false">-SUMPRODUCT($E$13:$P$13*(N354:Y354-1)^2/(1+AZ354*(N354:Y354-1))^2)</f>
        <v>-0</v>
      </c>
      <c r="BC354" s="60" t="n">
        <f aca="false">IF(OR(NOT(AB354),BB354=0),AZ354,IF(AZ354-BA354/BB354&lt;=AC354,(AZ354+AC354)/2,IF(AZ354-BA354/BB354&gt;=AD354,(AZ354+AD354)/2,AZ354-BA354/BB354)))</f>
        <v>1</v>
      </c>
      <c r="BD354" s="60" t="n">
        <f aca="false">SUMPRODUCT($E$13:$P$13*(N354:Y354-1)/(1+BC354*(N354:Y354-1)))</f>
        <v>0</v>
      </c>
      <c r="BE354" s="60" t="n">
        <f aca="false">-SUMPRODUCT($E$13:$P$13*(N354:Y354-1)^2/(1+BC354*(N354:Y354-1))^2)</f>
        <v>-0</v>
      </c>
      <c r="BF354" s="60" t="n">
        <f aca="false">IF(OR(NOT(AB354),BE354=0),BC354,IF(BC354-BD354/BE354&lt;=AC354,(BC354+AC354)/2,IF(BC354-BD354/BE354&gt;=AD354,(BC354+AD354)/2,BC354-BD354/BE354)))</f>
        <v>1</v>
      </c>
      <c r="BG354" s="60" t="n">
        <f aca="false">SUMPRODUCT($E$13:$P$13*(N354:Y354-1)/(1+BF354*(N354:Y354-1)))</f>
        <v>0</v>
      </c>
      <c r="BH354" s="60" t="n">
        <f aca="false">-SUMPRODUCT($E$13:$P$13*(N354:Y354-1)^2/(1+BF354*(N354:Y354-1))^2)</f>
        <v>-0</v>
      </c>
      <c r="BI354" s="60" t="n">
        <f aca="false">IF(OR(NOT(AB354),BH354=0),BF354,IF(BF354-BG354/BH354&lt;=AC354,(BF354+AC354)/2,IF(BF354-BG354/BH354&gt;=AD354,(BF354+AD354)/2,BF354-BG354/BH354)))</f>
        <v>1</v>
      </c>
      <c r="BJ354" s="60" t="n">
        <f aca="false">$E$13/(1+BI354*(N354-1))</f>
        <v>1</v>
      </c>
      <c r="BK354" s="60" t="n">
        <f aca="false">$F$13/(1+BI354*(O354-1))</f>
        <v>0</v>
      </c>
      <c r="BL354" s="60" t="n">
        <f aca="false">$G$13/(1+BI354*(P354-1))</f>
        <v>0</v>
      </c>
      <c r="BM354" s="60" t="n">
        <f aca="false">$H$13/(1+BI354*(Q354-1))</f>
        <v>0</v>
      </c>
      <c r="BN354" s="60" t="n">
        <f aca="false">$I$13/(1+BI354*(R354-1))</f>
        <v>0</v>
      </c>
      <c r="BO354" s="60" t="n">
        <f aca="false">$J$13/(1+BI354*(S354-1))</f>
        <v>0</v>
      </c>
      <c r="BP354" s="60" t="n">
        <f aca="false">$K$13/(1+BI354*(T354-1))</f>
        <v>0</v>
      </c>
      <c r="BQ354" s="60" t="n">
        <f aca="false">$L$13/(1+BI354*(U354-1))</f>
        <v>0</v>
      </c>
      <c r="BR354" s="60" t="n">
        <f aca="false">$M$13/(1+BI354*(V354-1))</f>
        <v>0</v>
      </c>
      <c r="BS354" s="60" t="n">
        <f aca="false">$N$13/(1+BI354*(W354-1))</f>
        <v>0</v>
      </c>
      <c r="BT354" s="60" t="n">
        <f aca="false">$O$13/(1+BI354*(X354-1))</f>
        <v>0</v>
      </c>
      <c r="BU354" s="60" t="n">
        <f aca="false">$P$13/(1+BI354*(Y354-1))</f>
        <v>0</v>
      </c>
      <c r="BV354" s="60" t="n">
        <f aca="false">SUM(BJ354:BU354)</f>
        <v>1</v>
      </c>
      <c r="BW354" s="60" t="n">
        <f aca="false">SUMPRODUCT(N354:Y354,BJ354:BU354)</f>
        <v>1</v>
      </c>
      <c r="BX354" s="60" t="n">
        <f aca="false">BJ354/BV354</f>
        <v>1</v>
      </c>
      <c r="BY354" s="60" t="n">
        <f aca="false">BK354/BV354</f>
        <v>0</v>
      </c>
      <c r="BZ354" s="60" t="n">
        <f aca="false">BL354/BV354</f>
        <v>0</v>
      </c>
      <c r="CA354" s="60" t="n">
        <f aca="false">BM354/BV354</f>
        <v>0</v>
      </c>
      <c r="CB354" s="60" t="n">
        <f aca="false">BN354/BV354</f>
        <v>0</v>
      </c>
      <c r="CC354" s="60" t="n">
        <f aca="false">BO354/BV354</f>
        <v>0</v>
      </c>
      <c r="CD354" s="60" t="n">
        <f aca="false">BP354/BV354</f>
        <v>0</v>
      </c>
      <c r="CE354" s="60" t="n">
        <f aca="false">BQ354/BV354</f>
        <v>0</v>
      </c>
      <c r="CF354" s="60" t="n">
        <f aca="false">BR354/BV354</f>
        <v>0</v>
      </c>
      <c r="CG354" s="60" t="n">
        <f aca="false">BS354/BV354</f>
        <v>0</v>
      </c>
      <c r="CH354" s="60" t="n">
        <f aca="false">BT354/BV354</f>
        <v>0</v>
      </c>
      <c r="CI354" s="60" t="n">
        <f aca="false">BU354/BV354</f>
        <v>0</v>
      </c>
      <c r="CJ354" s="60" t="n">
        <f aca="false">N354*BJ354/BW354</f>
        <v>1</v>
      </c>
      <c r="CK354" s="60" t="n">
        <f aca="false">O354*BK354/BW354</f>
        <v>0</v>
      </c>
      <c r="CL354" s="60" t="n">
        <f aca="false">P354*BL354/BW354</f>
        <v>0</v>
      </c>
      <c r="CM354" s="60" t="n">
        <f aca="false">Q354*BM354/BW354</f>
        <v>0</v>
      </c>
      <c r="CN354" s="60" t="n">
        <f aca="false">R354*BN354/BW354</f>
        <v>0</v>
      </c>
      <c r="CO354" s="60" t="n">
        <f aca="false">S354*BO354/BW354</f>
        <v>0</v>
      </c>
      <c r="CP354" s="60" t="n">
        <f aca="false">T354*BP354/BW354</f>
        <v>0</v>
      </c>
      <c r="CQ354" s="60" t="n">
        <f aca="false">U354*BQ354/BW354</f>
        <v>0</v>
      </c>
      <c r="CR354" s="60" t="n">
        <f aca="false">V354*BR354/BW354</f>
        <v>0</v>
      </c>
      <c r="CS354" s="60" t="n">
        <f aca="false">W354*BS354/BW354</f>
        <v>0</v>
      </c>
      <c r="CT354" s="60" t="n">
        <f aca="false">X354*BT354/BW354</f>
        <v>0</v>
      </c>
      <c r="CU354" s="60" t="n">
        <f aca="false">Y354*BU354/BW354</f>
        <v>0</v>
      </c>
      <c r="CV354" s="60" t="n">
        <f aca="false">$E$28*SUMPRODUCT($E$31:$P$31,BX354:CI354,$E$28:$P$28)</f>
        <v>0.184416866619846</v>
      </c>
      <c r="CW354" s="60" t="n">
        <f aca="false">$F$28*SUMPRODUCT($E$32:$P$32,BX354:CI354,$E$28:$P$28)</f>
        <v>0</v>
      </c>
      <c r="CX354" s="60" t="n">
        <f aca="false">$G$28*SUMPRODUCT($E$33:$P$33,BX354:CI354,$E$28:$P$28)</f>
        <v>0</v>
      </c>
      <c r="CY354" s="60" t="n">
        <f aca="false">$H$28*SUMPRODUCT($E$34:$P$34,BX354:CI354,$E$28:$P$28)</f>
        <v>0</v>
      </c>
      <c r="CZ354" s="60" t="n">
        <f aca="false">$I$28*SUMPRODUCT($E$35:$P$35,BX354:CI354,$E$28:$P$28)</f>
        <v>0</v>
      </c>
      <c r="DA354" s="60" t="n">
        <f aca="false">$J$28*SUMPRODUCT($E$36:$P$36,BX354:CI354,$E$28:$P$28)</f>
        <v>0</v>
      </c>
      <c r="DB354" s="60" t="n">
        <f aca="false">$K$28*SUMPRODUCT($E$37:$P$37,BX354:CI354,$E$28:$P$28)</f>
        <v>0</v>
      </c>
      <c r="DC354" s="60" t="n">
        <f aca="false">$L$28*SUMPRODUCT($E$38:$P$38,BX354:CI354,$E$28:$P$28)</f>
        <v>0</v>
      </c>
      <c r="DD354" s="60" t="n">
        <f aca="false">$M$28*SUMPRODUCT($E$39:$P$39,BX354:CI354,$E$28:$P$28)</f>
        <v>0</v>
      </c>
      <c r="DE354" s="60" t="n">
        <f aca="false">$N$28*SUMPRODUCT($E$40:$P$40,BX354:CI354,$E$28:$P$28)</f>
        <v>0</v>
      </c>
      <c r="DF354" s="60" t="n">
        <f aca="false">$O$28*SUMPRODUCT($E$41:$P$41,BX354:CI354,$E$28:$P$28)</f>
        <v>0</v>
      </c>
      <c r="DG354" s="60" t="n">
        <f aca="false">$P$28*SUMPRODUCT($E$42:$P$42,BX354:CI354,$E$28:$P$28)</f>
        <v>0</v>
      </c>
      <c r="DH354" s="60" t="n">
        <f aca="false">SUMPRODUCT(BX354:CI354,CV354:DG354)</f>
        <v>0.184416866619846</v>
      </c>
      <c r="DI354" s="60" t="n">
        <f aca="false">SUMPRODUCT(BX354:CI354,$E$27:$P$27)</f>
        <v>2.67389635063809E-005</v>
      </c>
      <c r="DJ354" s="60" t="n">
        <f aca="false">DH354*$C$9/($C$10*$C$8)^2</f>
        <v>0.21776909410545</v>
      </c>
      <c r="DK354" s="60" t="n">
        <f aca="false">DI354*$C$9/($C$10*$C$8)</f>
        <v>0.0918845243259994</v>
      </c>
      <c r="DL354" s="60" t="n">
        <f aca="false">CHOOSE($C$7,-(1+DK354),-1,-(1-DK354))</f>
        <v>-0.908115475674001</v>
      </c>
      <c r="DM354" s="60" t="n">
        <f aca="false">CHOOSE($C$7,DJ354,DJ354-DK354-DK354^2,DJ354-3*DK354^2-2*DK354)</f>
        <v>0.00867174802160559</v>
      </c>
      <c r="DN354" s="60" t="n">
        <f aca="false">CHOOSE($C$7,-DJ354*DK354,-DJ354*DK354,-(DJ354*DK354-DK354^2-DK354^3))</f>
        <v>-0.0107910842936637</v>
      </c>
      <c r="DO354" s="60" t="n">
        <f aca="false">DM354-DL354^2/3</f>
        <v>-0.266219491031267</v>
      </c>
      <c r="DP354" s="60" t="n">
        <f aca="false">2*DL354^3/27-DL354*DM354/3+DN354</f>
        <v>-0.0636400988362784</v>
      </c>
      <c r="DQ354" s="60" t="n">
        <f aca="false">DP354^2/4+DO354^3/27</f>
        <v>0.000313710901361829</v>
      </c>
      <c r="DR354" s="60" t="n">
        <f aca="false">-DP354/2-IF(DP354&gt;=0,1,-1)*SQRT(MAX(DQ354,0))</f>
        <v>0.0495319352963236</v>
      </c>
      <c r="DS354" s="60" t="n">
        <f aca="false">SIGN(DR354)*ABS(DR354)^(1/3)</f>
        <v>0.367249967174439</v>
      </c>
      <c r="DT354" s="60" t="n">
        <f aca="false">IF(DS354=0,0,DS354-DO354/(3*DS354))</f>
        <v>0.60888329127384</v>
      </c>
      <c r="DU354" s="60" t="n">
        <f aca="false">2*SQRT(MAX(-DO354,0)/3)</f>
        <v>0.595784626668918</v>
      </c>
      <c r="DV354" s="60" t="n">
        <f aca="false">ACOS(IF(DU354=0,0,MAX(-1,MIN(1,3*DP354/(DO354*DU354)))))</f>
        <v>0</v>
      </c>
      <c r="DW354" s="60" t="n">
        <f aca="false">DU354*COS(DV354/3)</f>
        <v>0.595784626668918</v>
      </c>
      <c r="DX354" s="60" t="n">
        <f aca="false">IF(DQ354&lt;0,DW354,DT354)-DL354/3</f>
        <v>0.91158844983184</v>
      </c>
      <c r="DY354" s="60" t="n">
        <f aca="false">IFERROR((((DX354+DL354)*DX354+DM354)*DX354+DN354)/((3*DX354+2*DL354)*DX354+DM354),0)</f>
        <v>0</v>
      </c>
      <c r="DZ354" s="60" t="n">
        <f aca="false">IF(ABS(DY354)&lt;0.1*ABS(DX354),DX354-DY354,DX354)</f>
        <v>0.91158844983184</v>
      </c>
      <c r="EA354" s="60" t="n">
        <f aca="false">IFERROR((((DZ354+DL354)*DZ354+DM354)*DZ354+DN354)/((3*DZ354+2*DL354)*DZ354+DM354),0)</f>
        <v>0</v>
      </c>
      <c r="EB354" s="60" t="n">
        <f aca="false">IF(ABS(EA354)&lt;0.1*ABS(DZ354),DZ354-EA354,DZ354)</f>
        <v>0.91158844983184</v>
      </c>
      <c r="EC354" s="60" t="n">
        <f aca="false">-DN354/EB354</f>
        <v>0.0118376711504565</v>
      </c>
      <c r="ED354" s="60" t="n">
        <f aca="false">(DM354-EC354)/EB354</f>
        <v>-0.00347297415783941</v>
      </c>
      <c r="EE354" s="60" t="n">
        <f aca="false">ED354^2-4*EC354</f>
        <v>-0.0473386230523248</v>
      </c>
      <c r="EF354" s="60" t="n">
        <f aca="false">IF(EE354&gt;=0,(ED354+IF(ED354&gt;=0,1,-1)*SQRT(EE354))/2,0)</f>
        <v>0</v>
      </c>
      <c r="EG354" s="60" t="n">
        <f aca="false">IF(AND(EE354&gt;=0,EF354&lt;&gt;0),MIN(EF354,EC354/EF354),-1)</f>
        <v>-1</v>
      </c>
      <c r="EH354" s="60" t="n">
        <f aca="false">AND(EE354&gt;=0,EG354&gt;DK354,ABS(EB354-EG354)&gt;=0.00005*MAX(EB354,EG354))</f>
        <v>0</v>
      </c>
      <c r="EI354" s="60" t="n">
        <f aca="false">IF(EH354,IFERROR((((EG354+DL354)*EG354+DM354)*EG354+DN354)/((3*EG354+2*DL354)*EG354+DM354),0),0)</f>
        <v>0</v>
      </c>
      <c r="EJ354" s="60" t="n">
        <f aca="false">IF(ABS(EI354)&lt;0.1*ABS(EG354),EG354-EI354,EG354)</f>
        <v>-1</v>
      </c>
      <c r="EK354" s="60" t="n">
        <f aca="false">IF(EH354,IFERROR((((EJ354+DL354)*EJ354+DM354)*EJ354+DN354)/((3*EJ354+2*DL354)*EJ354+DM354),0),0)</f>
        <v>0</v>
      </c>
      <c r="EL354" s="60" t="n">
        <f aca="false">IF(ABS(EK354)&lt;0.1*ABS(EJ354),EJ354-EK354,EJ354)</f>
        <v>-1</v>
      </c>
      <c r="EM354" s="60" t="n">
        <f aca="false">IF(EH354,MAX(EB354,EL354),EB354)</f>
        <v>0.91158844983184</v>
      </c>
      <c r="EN354" s="60" t="n">
        <f aca="false">IF(EH354,MIN(EB354,EL354),-1)</f>
        <v>-1</v>
      </c>
      <c r="EO354" s="60" t="n">
        <f aca="false">CHOOSE($C$7,DJ354/EM354,DJ354/DK354*LN(1+DK354/EM354),DJ354/(2*SQRT(2)*DK354)*LN((EM354+(1+SQRT(2))*DK354)/(EM354+(1-SQRT(2))*DK354)))</f>
        <v>0.218240791233887</v>
      </c>
      <c r="EP354" s="60" t="n">
        <f aca="false">EM354-1-LN(EM354-DK354)-EO354</f>
        <v>-0.107840271021729</v>
      </c>
      <c r="EQ354" s="60" t="n">
        <f aca="false">IF(EH354,CHOOSE($C$7,DJ354/EN354,DJ354/DK354*LN(1+DK354/EN354),DJ354/(2*SQRT(2)*DK354)*LN((EN354+(1+SQRT(2))*DK354)/(EN354+(1-SQRT(2))*DK354))),0)</f>
        <v>0</v>
      </c>
      <c r="ER354" s="60" t="n">
        <f aca="false">IF(EH354,EN354-1-LN(EN354-DK354)-EQ354,0)</f>
        <v>0</v>
      </c>
      <c r="ES354" s="60" t="n">
        <f aca="false">AND(EH354,ER354&lt;EP354)</f>
        <v>0</v>
      </c>
      <c r="ET354" s="60" t="n">
        <f aca="false">IF(ES354,EN354,EM354)</f>
        <v>0.91158844983184</v>
      </c>
      <c r="EU354" s="60" t="n">
        <f aca="false">IF(ES354,EQ354,EO354)</f>
        <v>0.218240791233887</v>
      </c>
      <c r="EV354" s="60" t="n">
        <f aca="false">LN(ET354-DK354)</f>
        <v>-0.198812070380318</v>
      </c>
      <c r="EW354" s="60" t="n">
        <f aca="false">$E$27/DI354*(ET354-1)-EV354-EU354*(2*CV354/DH354-$E$27/DI354)</f>
        <v>-0.107840271021729</v>
      </c>
      <c r="EX354" s="60" t="n">
        <f aca="false">$F$27/DI354*(ET354-1)-EV354-EU354*(2*CW354/DH354-$F$27/DI354)</f>
        <v>0.198812070380318</v>
      </c>
      <c r="EY354" s="60" t="n">
        <f aca="false">$G$27/DI354*(ET354-1)-EV354-EU354*(2*CX354/DH354-$G$27/DI354)</f>
        <v>0.198812070380318</v>
      </c>
      <c r="EZ354" s="60" t="n">
        <f aca="false">$H$27/DI354*(ET354-1)-EV354-EU354*(2*CY354/DH354-$H$27/DI354)</f>
        <v>0.198812070380318</v>
      </c>
      <c r="FA354" s="60" t="n">
        <f aca="false">$I$27/DI354*(ET354-1)-EV354-EU354*(2*CZ354/DH354-$I$27/DI354)</f>
        <v>0.198812070380318</v>
      </c>
      <c r="FB354" s="60" t="n">
        <f aca="false">$J$27/DI354*(ET354-1)-EV354-EU354*(2*DA354/DH354-$J$27/DI354)</f>
        <v>0.198812070380318</v>
      </c>
      <c r="FC354" s="60" t="n">
        <f aca="false">$K$27/DI354*(ET354-1)-EV354-EU354*(2*DB354/DH354-$K$27/DI354)</f>
        <v>0.198812070380318</v>
      </c>
      <c r="FD354" s="60" t="n">
        <f aca="false">$L$27/DI354*(ET354-1)-EV354-EU354*(2*DC354/DH354-$L$27/DI354)</f>
        <v>0.198812070380318</v>
      </c>
      <c r="FE354" s="60" t="n">
        <f aca="false">$M$27/DI354*(ET354-1)-EV354-EU354*(2*DD354/DH354-$M$27/DI354)</f>
        <v>0.198812070380318</v>
      </c>
      <c r="FF354" s="60" t="n">
        <f aca="false">$N$27/DI354*(ET354-1)-EV354-EU354*(2*DE354/DH354-$N$27/DI354)</f>
        <v>0.198812070380318</v>
      </c>
      <c r="FG354" s="60" t="n">
        <f aca="false">$O$27/DI354*(ET354-1)-EV354-EU354*(2*DF354/DH354-$O$27/DI354)</f>
        <v>0.198812070380318</v>
      </c>
      <c r="FH354" s="60" t="n">
        <f aca="false">$P$27/DI354*(ET354-1)-EV354-EU354*(2*DG354/DH354-$P$27/DI354)</f>
        <v>0.198812070380318</v>
      </c>
      <c r="FI354" s="60" t="n">
        <f aca="false">DK354/ET354&gt;$C$22</f>
        <v>0</v>
      </c>
      <c r="FJ354" s="60" t="n">
        <f aca="false">$E$28*SUMPRODUCT($E$31:$P$31,CJ354:CU354,$E$28:$P$28)</f>
        <v>0.184416866619846</v>
      </c>
      <c r="FK354" s="60" t="n">
        <f aca="false">$F$28*SUMPRODUCT($E$32:$P$32,CJ354:CU354,$E$28:$P$28)</f>
        <v>0</v>
      </c>
      <c r="FL354" s="60" t="n">
        <f aca="false">$G$28*SUMPRODUCT($E$33:$P$33,CJ354:CU354,$E$28:$P$28)</f>
        <v>0</v>
      </c>
      <c r="FM354" s="60" t="n">
        <f aca="false">$H$28*SUMPRODUCT($E$34:$P$34,CJ354:CU354,$E$28:$P$28)</f>
        <v>0</v>
      </c>
      <c r="FN354" s="60" t="n">
        <f aca="false">$I$28*SUMPRODUCT($E$35:$P$35,CJ354:CU354,$E$28:$P$28)</f>
        <v>0</v>
      </c>
      <c r="FO354" s="60" t="n">
        <f aca="false">$J$28*SUMPRODUCT($E$36:$P$36,CJ354:CU354,$E$28:$P$28)</f>
        <v>0</v>
      </c>
      <c r="FP354" s="60" t="n">
        <f aca="false">$K$28*SUMPRODUCT($E$37:$P$37,CJ354:CU354,$E$28:$P$28)</f>
        <v>0</v>
      </c>
      <c r="FQ354" s="60" t="n">
        <f aca="false">$L$28*SUMPRODUCT($E$38:$P$38,CJ354:CU354,$E$28:$P$28)</f>
        <v>0</v>
      </c>
      <c r="FR354" s="60" t="n">
        <f aca="false">$M$28*SUMPRODUCT($E$39:$P$39,CJ354:CU354,$E$28:$P$28)</f>
        <v>0</v>
      </c>
      <c r="FS354" s="60" t="n">
        <f aca="false">$N$28*SUMPRODUCT($E$40:$P$40,CJ354:CU354,$E$28:$P$28)</f>
        <v>0</v>
      </c>
      <c r="FT354" s="60" t="n">
        <f aca="false">$O$28*SUMPRODUCT($E$41:$P$41,CJ354:CU354,$E$28:$P$28)</f>
        <v>0</v>
      </c>
      <c r="FU354" s="60" t="n">
        <f aca="false">$P$28*SUMPRODUCT($E$42:$P$42,CJ354:CU354,$E$28:$P$28)</f>
        <v>0</v>
      </c>
      <c r="FV354" s="60" t="n">
        <f aca="false">SUMPRODUCT(CJ354:CU354,FJ354:FU354)</f>
        <v>0.184416866619846</v>
      </c>
      <c r="FW354" s="60" t="n">
        <f aca="false">SUMPRODUCT(CJ354:CU354,$E$27:$P$27)</f>
        <v>2.67389635063809E-005</v>
      </c>
      <c r="FX354" s="60" t="n">
        <f aca="false">FV354*$C$9/($C$10*$C$8)^2</f>
        <v>0.21776909410545</v>
      </c>
      <c r="FY354" s="60" t="n">
        <f aca="false">FW354*$C$9/($C$10*$C$8)</f>
        <v>0.0918845243259994</v>
      </c>
      <c r="FZ354" s="60" t="n">
        <f aca="false">CHOOSE($C$7,-(1+FY354),-1,-(1-FY354))</f>
        <v>-0.908115475674001</v>
      </c>
      <c r="GA354" s="60" t="n">
        <f aca="false">CHOOSE($C$7,FX354,FX354-FY354-FY354^2,FX354-3*FY354^2-2*FY354)</f>
        <v>0.00867174802160559</v>
      </c>
      <c r="GB354" s="60" t="n">
        <f aca="false">CHOOSE($C$7,-FX354*FY354,-FX354*FY354,-(FX354*FY354-FY354^2-FY354^3))</f>
        <v>-0.0107910842936637</v>
      </c>
      <c r="GC354" s="60" t="n">
        <f aca="false">GA354-FZ354^2/3</f>
        <v>-0.266219491031267</v>
      </c>
      <c r="GD354" s="60" t="n">
        <f aca="false">2*FZ354^3/27-FZ354*GA354/3+GB354</f>
        <v>-0.0636400988362784</v>
      </c>
      <c r="GE354" s="60" t="n">
        <f aca="false">GD354^2/4+GC354^3/27</f>
        <v>0.000313710901361829</v>
      </c>
      <c r="GF354" s="60" t="n">
        <f aca="false">-GD354/2-IF(GD354&gt;=0,1,-1)*SQRT(MAX(GE354,0))</f>
        <v>0.0495319352963236</v>
      </c>
      <c r="GG354" s="60" t="n">
        <f aca="false">SIGN(GF354)*ABS(GF354)^(1/3)</f>
        <v>0.367249967174439</v>
      </c>
      <c r="GH354" s="60" t="n">
        <f aca="false">IF(GG354=0,0,GG354-GC354/(3*GG354))</f>
        <v>0.60888329127384</v>
      </c>
      <c r="GI354" s="60" t="n">
        <f aca="false">2*SQRT(MAX(-GC354,0)/3)</f>
        <v>0.595784626668918</v>
      </c>
      <c r="GJ354" s="60" t="n">
        <f aca="false">ACOS(IF(GI354=0,0,MAX(-1,MIN(1,3*GD354/(GC354*GI354)))))</f>
        <v>0</v>
      </c>
      <c r="GK354" s="60" t="n">
        <f aca="false">GI354*COS(GJ354/3)</f>
        <v>0.595784626668918</v>
      </c>
      <c r="GL354" s="60" t="n">
        <f aca="false">IF(GE354&lt;0,GK354,GH354)-FZ354/3</f>
        <v>0.91158844983184</v>
      </c>
      <c r="GM354" s="60" t="n">
        <f aca="false">IFERROR((((GL354+FZ354)*GL354+GA354)*GL354+GB354)/((3*GL354+2*FZ354)*GL354+GA354),0)</f>
        <v>0</v>
      </c>
      <c r="GN354" s="60" t="n">
        <f aca="false">IF(ABS(GM354)&lt;0.1*ABS(GL354),GL354-GM354,GL354)</f>
        <v>0.91158844983184</v>
      </c>
      <c r="GO354" s="60" t="n">
        <f aca="false">IFERROR((((GN354+FZ354)*GN354+GA354)*GN354+GB354)/((3*GN354+2*FZ354)*GN354+GA354),0)</f>
        <v>0</v>
      </c>
      <c r="GP354" s="60" t="n">
        <f aca="false">IF(ABS(GO354)&lt;0.1*ABS(GN354),GN354-GO354,GN354)</f>
        <v>0.91158844983184</v>
      </c>
      <c r="GQ354" s="60" t="n">
        <f aca="false">-GB354/GP354</f>
        <v>0.0118376711504565</v>
      </c>
      <c r="GR354" s="60" t="n">
        <f aca="false">(GA354-GQ354)/GP354</f>
        <v>-0.00347297415783941</v>
      </c>
      <c r="GS354" s="60" t="n">
        <f aca="false">GR354^2-4*GQ354</f>
        <v>-0.0473386230523248</v>
      </c>
      <c r="GT354" s="60" t="n">
        <f aca="false">IF(GS354&gt;=0,(GR354+IF(GR354&gt;=0,1,-1)*SQRT(GS354))/2,0)</f>
        <v>0</v>
      </c>
      <c r="GU354" s="60" t="n">
        <f aca="false">IF(AND(GS354&gt;=0,GT354&lt;&gt;0),MIN(GT354,GQ354/GT354),-1)</f>
        <v>-1</v>
      </c>
      <c r="GV354" s="60" t="n">
        <f aca="false">AND(GS354&gt;=0,GU354&gt;FY354,ABS(GP354-GU354)&gt;=0.00005*MAX(GP354,GU354))</f>
        <v>0</v>
      </c>
      <c r="GW354" s="60" t="n">
        <f aca="false">IF(GV354,IFERROR((((GU354+FZ354)*GU354+GA354)*GU354+GB354)/((3*GU354+2*FZ354)*GU354+GA354),0),0)</f>
        <v>0</v>
      </c>
      <c r="GX354" s="60" t="n">
        <f aca="false">IF(ABS(GW354)&lt;0.1*ABS(GU354),GU354-GW354,GU354)</f>
        <v>-1</v>
      </c>
      <c r="GY354" s="60" t="n">
        <f aca="false">IF(GV354,IFERROR((((GX354+FZ354)*GX354+GA354)*GX354+GB354)/((3*GX354+2*FZ354)*GX354+GA354),0),0)</f>
        <v>0</v>
      </c>
      <c r="GZ354" s="60" t="n">
        <f aca="false">IF(ABS(GY354)&lt;0.1*ABS(GX354),GX354-GY354,GX354)</f>
        <v>-1</v>
      </c>
      <c r="HA354" s="60" t="n">
        <f aca="false">IF(GV354,MAX(GP354,GZ354),GP354)</f>
        <v>0.91158844983184</v>
      </c>
      <c r="HB354" s="60" t="n">
        <f aca="false">IF(GV354,MIN(GP354,GZ354),-1)</f>
        <v>-1</v>
      </c>
      <c r="HC354" s="60" t="n">
        <f aca="false">CHOOSE($C$7,FX354/HA354,FX354/FY354*LN(1+FY354/HA354),FX354/(2*SQRT(2)*FY354)*LN((HA354+(1+SQRT(2))*FY354)/(HA354+(1-SQRT(2))*FY354)))</f>
        <v>0.218240791233887</v>
      </c>
      <c r="HD354" s="60" t="n">
        <f aca="false">HA354-1-LN(HA354-FY354)-HC354</f>
        <v>-0.107840271021729</v>
      </c>
      <c r="HE354" s="60" t="n">
        <f aca="false">IF(GV354,CHOOSE($C$7,FX354/HB354,FX354/FY354*LN(1+FY354/HB354),FX354/(2*SQRT(2)*FY354)*LN((HB354+(1+SQRT(2))*FY354)/(HB354+(1-SQRT(2))*FY354))),0)</f>
        <v>0</v>
      </c>
      <c r="HF354" s="60" t="n">
        <f aca="false">IF(GV354,HB354-1-LN(HB354-FY354)-HE354,0)</f>
        <v>0</v>
      </c>
      <c r="HG354" s="60" t="n">
        <f aca="false">AND(GV354,HF354&lt;HD354)</f>
        <v>0</v>
      </c>
      <c r="HH354" s="60" t="n">
        <f aca="false">IF(HG354,HB354,HA354)</f>
        <v>0.91158844983184</v>
      </c>
      <c r="HI354" s="60" t="n">
        <f aca="false">IF(HG354,HE354,HC354)</f>
        <v>0.218240791233887</v>
      </c>
      <c r="HJ354" s="60" t="n">
        <f aca="false">LN(HH354-FY354)</f>
        <v>-0.198812070380318</v>
      </c>
      <c r="HK354" s="60" t="n">
        <f aca="false">$E$27/FW354*(HH354-1)-HJ354-HI354*(2*FJ354/FV354-$E$27/FW354)</f>
        <v>-0.107840271021729</v>
      </c>
      <c r="HL354" s="60" t="n">
        <f aca="false">$F$27/FW354*(HH354-1)-HJ354-HI354*(2*FK354/FV354-$F$27/FW354)</f>
        <v>0.198812070380318</v>
      </c>
      <c r="HM354" s="60" t="n">
        <f aca="false">$G$27/FW354*(HH354-1)-HJ354-HI354*(2*FL354/FV354-$G$27/FW354)</f>
        <v>0.198812070380318</v>
      </c>
      <c r="HN354" s="60" t="n">
        <f aca="false">$H$27/FW354*(HH354-1)-HJ354-HI354*(2*FM354/FV354-$H$27/FW354)</f>
        <v>0.198812070380318</v>
      </c>
      <c r="HO354" s="60" t="n">
        <f aca="false">$I$27/FW354*(HH354-1)-HJ354-HI354*(2*FN354/FV354-$I$27/FW354)</f>
        <v>0.198812070380318</v>
      </c>
      <c r="HP354" s="60" t="n">
        <f aca="false">$J$27/FW354*(HH354-1)-HJ354-HI354*(2*FO354/FV354-$J$27/FW354)</f>
        <v>0.198812070380318</v>
      </c>
      <c r="HQ354" s="60" t="n">
        <f aca="false">$K$27/FW354*(HH354-1)-HJ354-HI354*(2*FP354/FV354-$K$27/FW354)</f>
        <v>0.198812070380318</v>
      </c>
      <c r="HR354" s="60" t="n">
        <f aca="false">$L$27/FW354*(HH354-1)-HJ354-HI354*(2*FQ354/FV354-$L$27/FW354)</f>
        <v>0.198812070380318</v>
      </c>
      <c r="HS354" s="60" t="n">
        <f aca="false">$M$27/FW354*(HH354-1)-HJ354-HI354*(2*FR354/FV354-$M$27/FW354)</f>
        <v>0.198812070380318</v>
      </c>
      <c r="HT354" s="60" t="n">
        <f aca="false">$N$27/FW354*(HH354-1)-HJ354-HI354*(2*FS354/FV354-$N$27/FW354)</f>
        <v>0.198812070380318</v>
      </c>
      <c r="HU354" s="60" t="n">
        <f aca="false">$O$27/FW354*(HH354-1)-HJ354-HI354*(2*FT354/FV354-$O$27/FW354)</f>
        <v>0.198812070380318</v>
      </c>
      <c r="HV354" s="60" t="n">
        <f aca="false">$P$27/FW354*(HH354-1)-HJ354-HI354*(2*FU354/FV354-$P$27/FW354)</f>
        <v>0.198812070380318</v>
      </c>
      <c r="HW354" s="60" t="n">
        <f aca="false">FY354/HH354&gt;$C$22</f>
        <v>0</v>
      </c>
      <c r="HX354" s="60" t="n">
        <f aca="false">IF($E$13&gt;0,MAX(-300,MIN(300,EW354-HK354)),0)</f>
        <v>0</v>
      </c>
      <c r="HY354" s="60" t="n">
        <f aca="false">IF($F$13&gt;0,MAX(-300,MIN(300,EX354-HL354)),0)</f>
        <v>0</v>
      </c>
      <c r="HZ354" s="60" t="n">
        <f aca="false">IF($G$13&gt;0,MAX(-300,MIN(300,EY354-HM354)),0)</f>
        <v>0</v>
      </c>
      <c r="IA354" s="60" t="n">
        <f aca="false">IF($H$13&gt;0,MAX(-300,MIN(300,EZ354-HN354)),0)</f>
        <v>0</v>
      </c>
      <c r="IB354" s="60" t="n">
        <f aca="false">IF($I$13&gt;0,MAX(-300,MIN(300,FA354-HO354)),0)</f>
        <v>0</v>
      </c>
      <c r="IC354" s="60" t="n">
        <f aca="false">IF($J$13&gt;0,MAX(-300,MIN(300,FB354-HP354)),0)</f>
        <v>0</v>
      </c>
      <c r="ID354" s="60" t="n">
        <f aca="false">IF($K$13&gt;0,MAX(-300,MIN(300,FC354-HQ354)),0)</f>
        <v>0</v>
      </c>
      <c r="IE354" s="60" t="n">
        <f aca="false">IF($L$13&gt;0,MAX(-300,MIN(300,FD354-HR354)),0)</f>
        <v>0</v>
      </c>
      <c r="IF354" s="60" t="n">
        <f aca="false">IF($M$13&gt;0,MAX(-300,MIN(300,FE354-HS354)),0)</f>
        <v>0</v>
      </c>
      <c r="IG354" s="60" t="n">
        <f aca="false">IF($N$13&gt;0,MAX(-300,MIN(300,FF354-HT354)),0)</f>
        <v>0</v>
      </c>
      <c r="IH354" s="60" t="n">
        <f aca="false">IF($O$13&gt;0,MAX(-300,MIN(300,FG354-HU354)),0)</f>
        <v>0</v>
      </c>
      <c r="II354" s="60" t="n">
        <f aca="false">IF($P$13&gt;0,MAX(-300,MIN(300,FH354-HV354)),0)</f>
        <v>0</v>
      </c>
      <c r="IJ354" s="60" t="n">
        <f aca="false">SUMXMY2(HX354:II354,B354:M354)</f>
        <v>0</v>
      </c>
      <c r="IK354" s="60" t="n">
        <f aca="false">SUMSQ(B354:M354)</f>
        <v>0</v>
      </c>
    </row>
    <row r="355" customFormat="false" ht="15" hidden="false" customHeight="false" outlineLevel="0" collapsed="false">
      <c r="A355" s="59" t="n">
        <v>58</v>
      </c>
      <c r="B355" s="60" t="n">
        <f aca="false">HX354</f>
        <v>0</v>
      </c>
      <c r="C355" s="60" t="n">
        <f aca="false">HY354</f>
        <v>0</v>
      </c>
      <c r="D355" s="60" t="n">
        <f aca="false">HZ354</f>
        <v>0</v>
      </c>
      <c r="E355" s="60" t="n">
        <f aca="false">IA354</f>
        <v>0</v>
      </c>
      <c r="F355" s="60" t="n">
        <f aca="false">IB354</f>
        <v>0</v>
      </c>
      <c r="G355" s="60" t="n">
        <f aca="false">IC354</f>
        <v>0</v>
      </c>
      <c r="H355" s="60" t="n">
        <f aca="false">ID354</f>
        <v>0</v>
      </c>
      <c r="I355" s="60" t="n">
        <f aca="false">IE354</f>
        <v>0</v>
      </c>
      <c r="J355" s="60" t="n">
        <f aca="false">IF354</f>
        <v>0</v>
      </c>
      <c r="K355" s="60" t="n">
        <f aca="false">IG354</f>
        <v>0</v>
      </c>
      <c r="L355" s="60" t="n">
        <f aca="false">IH354</f>
        <v>0</v>
      </c>
      <c r="M355" s="60" t="n">
        <f aca="false">II354</f>
        <v>0</v>
      </c>
      <c r="N355" s="60" t="n">
        <f aca="false">EXP(B355)</f>
        <v>1</v>
      </c>
      <c r="O355" s="60" t="n">
        <f aca="false">EXP(C355)</f>
        <v>1</v>
      </c>
      <c r="P355" s="60" t="n">
        <f aca="false">EXP(D355)</f>
        <v>1</v>
      </c>
      <c r="Q355" s="60" t="n">
        <f aca="false">EXP(E355)</f>
        <v>1</v>
      </c>
      <c r="R355" s="60" t="n">
        <f aca="false">EXP(F355)</f>
        <v>1</v>
      </c>
      <c r="S355" s="60" t="n">
        <f aca="false">EXP(G355)</f>
        <v>1</v>
      </c>
      <c r="T355" s="60" t="n">
        <f aca="false">EXP(H355)</f>
        <v>1</v>
      </c>
      <c r="U355" s="60" t="n">
        <f aca="false">EXP(I355)</f>
        <v>1</v>
      </c>
      <c r="V355" s="60" t="n">
        <f aca="false">EXP(J355)</f>
        <v>1</v>
      </c>
      <c r="W355" s="60" t="n">
        <f aca="false">EXP(K355)</f>
        <v>1</v>
      </c>
      <c r="X355" s="60" t="n">
        <f aca="false">EXP(L355)</f>
        <v>1</v>
      </c>
      <c r="Y355" s="60" t="n">
        <f aca="false">EXP(M355)</f>
        <v>1</v>
      </c>
      <c r="Z355" s="60" t="n">
        <f aca="false">MAX(N355:Y355)</f>
        <v>1</v>
      </c>
      <c r="AA355" s="60" t="n">
        <f aca="false">MIN(N355:Y355)</f>
        <v>1</v>
      </c>
      <c r="AB355" s="60" t="n">
        <f aca="false">AND(Z355&gt;1,AA355&lt;1)</f>
        <v>0</v>
      </c>
      <c r="AC355" s="60" t="n">
        <f aca="false">IF(AB355,1/(1-Z355),0)</f>
        <v>0</v>
      </c>
      <c r="AD355" s="60" t="n">
        <f aca="false">IF(AB355,1/(1-AA355),1)</f>
        <v>1</v>
      </c>
      <c r="AE355" s="60" t="n">
        <f aca="false">IF(AB355,MIN(MAX(BI354,AC355+0.000000001*(AD355-AC355)),AD355-0.000000001*(AD355-AC355)),IF(AA355&gt;=1,1,0))</f>
        <v>1</v>
      </c>
      <c r="AF355" s="60" t="n">
        <f aca="false">SUMPRODUCT($E$13:$P$13*(N355:Y355-1)/(1+AE355*(N355:Y355-1)))</f>
        <v>0</v>
      </c>
      <c r="AG355" s="60" t="n">
        <f aca="false">-SUMPRODUCT($E$13:$P$13*(N355:Y355-1)^2/(1+AE355*(N355:Y355-1))^2)</f>
        <v>-0</v>
      </c>
      <c r="AH355" s="60" t="n">
        <f aca="false">IF(OR(NOT(AB355),AG355=0),AE355,IF(AE355-AF355/AG355&lt;=AC355,(AE355+AC355)/2,IF(AE355-AF355/AG355&gt;=AD355,(AE355+AD355)/2,AE355-AF355/AG355)))</f>
        <v>1</v>
      </c>
      <c r="AI355" s="60" t="n">
        <f aca="false">SUMPRODUCT($E$13:$P$13*(N355:Y355-1)/(1+AH355*(N355:Y355-1)))</f>
        <v>0</v>
      </c>
      <c r="AJ355" s="60" t="n">
        <f aca="false">-SUMPRODUCT($E$13:$P$13*(N355:Y355-1)^2/(1+AH355*(N355:Y355-1))^2)</f>
        <v>-0</v>
      </c>
      <c r="AK355" s="60" t="n">
        <f aca="false">IF(OR(NOT(AB355),AJ355=0),AH355,IF(AH355-AI355/AJ355&lt;=AC355,(AH355+AC355)/2,IF(AH355-AI355/AJ355&gt;=AD355,(AH355+AD355)/2,AH355-AI355/AJ355)))</f>
        <v>1</v>
      </c>
      <c r="AL355" s="60" t="n">
        <f aca="false">SUMPRODUCT($E$13:$P$13*(N355:Y355-1)/(1+AK355*(N355:Y355-1)))</f>
        <v>0</v>
      </c>
      <c r="AM355" s="60" t="n">
        <f aca="false">-SUMPRODUCT($E$13:$P$13*(N355:Y355-1)^2/(1+AK355*(N355:Y355-1))^2)</f>
        <v>-0</v>
      </c>
      <c r="AN355" s="60" t="n">
        <f aca="false">IF(OR(NOT(AB355),AM355=0),AK355,IF(AK355-AL355/AM355&lt;=AC355,(AK355+AC355)/2,IF(AK355-AL355/AM355&gt;=AD355,(AK355+AD355)/2,AK355-AL355/AM355)))</f>
        <v>1</v>
      </c>
      <c r="AO355" s="60" t="n">
        <f aca="false">SUMPRODUCT($E$13:$P$13*(N355:Y355-1)/(1+AN355*(N355:Y355-1)))</f>
        <v>0</v>
      </c>
      <c r="AP355" s="60" t="n">
        <f aca="false">-SUMPRODUCT($E$13:$P$13*(N355:Y355-1)^2/(1+AN355*(N355:Y355-1))^2)</f>
        <v>-0</v>
      </c>
      <c r="AQ355" s="60" t="n">
        <f aca="false">IF(OR(NOT(AB355),AP355=0),AN355,IF(AN355-AO355/AP355&lt;=AC355,(AN355+AC355)/2,IF(AN355-AO355/AP355&gt;=AD355,(AN355+AD355)/2,AN355-AO355/AP355)))</f>
        <v>1</v>
      </c>
      <c r="AR355" s="60" t="n">
        <f aca="false">SUMPRODUCT($E$13:$P$13*(N355:Y355-1)/(1+AQ355*(N355:Y355-1)))</f>
        <v>0</v>
      </c>
      <c r="AS355" s="60" t="n">
        <f aca="false">-SUMPRODUCT($E$13:$P$13*(N355:Y355-1)^2/(1+AQ355*(N355:Y355-1))^2)</f>
        <v>-0</v>
      </c>
      <c r="AT355" s="60" t="n">
        <f aca="false">IF(OR(NOT(AB355),AS355=0),AQ355,IF(AQ355-AR355/AS355&lt;=AC355,(AQ355+AC355)/2,IF(AQ355-AR355/AS355&gt;=AD355,(AQ355+AD355)/2,AQ355-AR355/AS355)))</f>
        <v>1</v>
      </c>
      <c r="AU355" s="60" t="n">
        <f aca="false">SUMPRODUCT($E$13:$P$13*(N355:Y355-1)/(1+AT355*(N355:Y355-1)))</f>
        <v>0</v>
      </c>
      <c r="AV355" s="60" t="n">
        <f aca="false">-SUMPRODUCT($E$13:$P$13*(N355:Y355-1)^2/(1+AT355*(N355:Y355-1))^2)</f>
        <v>-0</v>
      </c>
      <c r="AW355" s="60" t="n">
        <f aca="false">IF(OR(NOT(AB355),AV355=0),AT355,IF(AT355-AU355/AV355&lt;=AC355,(AT355+AC355)/2,IF(AT355-AU355/AV355&gt;=AD355,(AT355+AD355)/2,AT355-AU355/AV355)))</f>
        <v>1</v>
      </c>
      <c r="AX355" s="60" t="n">
        <f aca="false">SUMPRODUCT($E$13:$P$13*(N355:Y355-1)/(1+AW355*(N355:Y355-1)))</f>
        <v>0</v>
      </c>
      <c r="AY355" s="60" t="n">
        <f aca="false">-SUMPRODUCT($E$13:$P$13*(N355:Y355-1)^2/(1+AW355*(N355:Y355-1))^2)</f>
        <v>-0</v>
      </c>
      <c r="AZ355" s="60" t="n">
        <f aca="false">IF(OR(NOT(AB355),AY355=0),AW355,IF(AW355-AX355/AY355&lt;=AC355,(AW355+AC355)/2,IF(AW355-AX355/AY355&gt;=AD355,(AW355+AD355)/2,AW355-AX355/AY355)))</f>
        <v>1</v>
      </c>
      <c r="BA355" s="60" t="n">
        <f aca="false">SUMPRODUCT($E$13:$P$13*(N355:Y355-1)/(1+AZ355*(N355:Y355-1)))</f>
        <v>0</v>
      </c>
      <c r="BB355" s="60" t="n">
        <f aca="false">-SUMPRODUCT($E$13:$P$13*(N355:Y355-1)^2/(1+AZ355*(N355:Y355-1))^2)</f>
        <v>-0</v>
      </c>
      <c r="BC355" s="60" t="n">
        <f aca="false">IF(OR(NOT(AB355),BB355=0),AZ355,IF(AZ355-BA355/BB355&lt;=AC355,(AZ355+AC355)/2,IF(AZ355-BA355/BB355&gt;=AD355,(AZ355+AD355)/2,AZ355-BA355/BB355)))</f>
        <v>1</v>
      </c>
      <c r="BD355" s="60" t="n">
        <f aca="false">SUMPRODUCT($E$13:$P$13*(N355:Y355-1)/(1+BC355*(N355:Y355-1)))</f>
        <v>0</v>
      </c>
      <c r="BE355" s="60" t="n">
        <f aca="false">-SUMPRODUCT($E$13:$P$13*(N355:Y355-1)^2/(1+BC355*(N355:Y355-1))^2)</f>
        <v>-0</v>
      </c>
      <c r="BF355" s="60" t="n">
        <f aca="false">IF(OR(NOT(AB355),BE355=0),BC355,IF(BC355-BD355/BE355&lt;=AC355,(BC355+AC355)/2,IF(BC355-BD355/BE355&gt;=AD355,(BC355+AD355)/2,BC355-BD355/BE355)))</f>
        <v>1</v>
      </c>
      <c r="BG355" s="60" t="n">
        <f aca="false">SUMPRODUCT($E$13:$P$13*(N355:Y355-1)/(1+BF355*(N355:Y355-1)))</f>
        <v>0</v>
      </c>
      <c r="BH355" s="60" t="n">
        <f aca="false">-SUMPRODUCT($E$13:$P$13*(N355:Y355-1)^2/(1+BF355*(N355:Y355-1))^2)</f>
        <v>-0</v>
      </c>
      <c r="BI355" s="60" t="n">
        <f aca="false">IF(OR(NOT(AB355),BH355=0),BF355,IF(BF355-BG355/BH355&lt;=AC355,(BF355+AC355)/2,IF(BF355-BG355/BH355&gt;=AD355,(BF355+AD355)/2,BF355-BG355/BH355)))</f>
        <v>1</v>
      </c>
      <c r="BJ355" s="60" t="n">
        <f aca="false">$E$13/(1+BI355*(N355-1))</f>
        <v>1</v>
      </c>
      <c r="BK355" s="60" t="n">
        <f aca="false">$F$13/(1+BI355*(O355-1))</f>
        <v>0</v>
      </c>
      <c r="BL355" s="60" t="n">
        <f aca="false">$G$13/(1+BI355*(P355-1))</f>
        <v>0</v>
      </c>
      <c r="BM355" s="60" t="n">
        <f aca="false">$H$13/(1+BI355*(Q355-1))</f>
        <v>0</v>
      </c>
      <c r="BN355" s="60" t="n">
        <f aca="false">$I$13/(1+BI355*(R355-1))</f>
        <v>0</v>
      </c>
      <c r="BO355" s="60" t="n">
        <f aca="false">$J$13/(1+BI355*(S355-1))</f>
        <v>0</v>
      </c>
      <c r="BP355" s="60" t="n">
        <f aca="false">$K$13/(1+BI355*(T355-1))</f>
        <v>0</v>
      </c>
      <c r="BQ355" s="60" t="n">
        <f aca="false">$L$13/(1+BI355*(U355-1))</f>
        <v>0</v>
      </c>
      <c r="BR355" s="60" t="n">
        <f aca="false">$M$13/(1+BI355*(V355-1))</f>
        <v>0</v>
      </c>
      <c r="BS355" s="60" t="n">
        <f aca="false">$N$13/(1+BI355*(W355-1))</f>
        <v>0</v>
      </c>
      <c r="BT355" s="60" t="n">
        <f aca="false">$O$13/(1+BI355*(X355-1))</f>
        <v>0</v>
      </c>
      <c r="BU355" s="60" t="n">
        <f aca="false">$P$13/(1+BI355*(Y355-1))</f>
        <v>0</v>
      </c>
      <c r="BV355" s="60" t="n">
        <f aca="false">SUM(BJ355:BU355)</f>
        <v>1</v>
      </c>
      <c r="BW355" s="60" t="n">
        <f aca="false">SUMPRODUCT(N355:Y355,BJ355:BU355)</f>
        <v>1</v>
      </c>
      <c r="BX355" s="60" t="n">
        <f aca="false">BJ355/BV355</f>
        <v>1</v>
      </c>
      <c r="BY355" s="60" t="n">
        <f aca="false">BK355/BV355</f>
        <v>0</v>
      </c>
      <c r="BZ355" s="60" t="n">
        <f aca="false">BL355/BV355</f>
        <v>0</v>
      </c>
      <c r="CA355" s="60" t="n">
        <f aca="false">BM355/BV355</f>
        <v>0</v>
      </c>
      <c r="CB355" s="60" t="n">
        <f aca="false">BN355/BV355</f>
        <v>0</v>
      </c>
      <c r="CC355" s="60" t="n">
        <f aca="false">BO355/BV355</f>
        <v>0</v>
      </c>
      <c r="CD355" s="60" t="n">
        <f aca="false">BP355/BV355</f>
        <v>0</v>
      </c>
      <c r="CE355" s="60" t="n">
        <f aca="false">BQ355/BV355</f>
        <v>0</v>
      </c>
      <c r="CF355" s="60" t="n">
        <f aca="false">BR355/BV355</f>
        <v>0</v>
      </c>
      <c r="CG355" s="60" t="n">
        <f aca="false">BS355/BV355</f>
        <v>0</v>
      </c>
      <c r="CH355" s="60" t="n">
        <f aca="false">BT355/BV355</f>
        <v>0</v>
      </c>
      <c r="CI355" s="60" t="n">
        <f aca="false">BU355/BV355</f>
        <v>0</v>
      </c>
      <c r="CJ355" s="60" t="n">
        <f aca="false">N355*BJ355/BW355</f>
        <v>1</v>
      </c>
      <c r="CK355" s="60" t="n">
        <f aca="false">O355*BK355/BW355</f>
        <v>0</v>
      </c>
      <c r="CL355" s="60" t="n">
        <f aca="false">P355*BL355/BW355</f>
        <v>0</v>
      </c>
      <c r="CM355" s="60" t="n">
        <f aca="false">Q355*BM355/BW355</f>
        <v>0</v>
      </c>
      <c r="CN355" s="60" t="n">
        <f aca="false">R355*BN355/BW355</f>
        <v>0</v>
      </c>
      <c r="CO355" s="60" t="n">
        <f aca="false">S355*BO355/BW355</f>
        <v>0</v>
      </c>
      <c r="CP355" s="60" t="n">
        <f aca="false">T355*BP355/BW355</f>
        <v>0</v>
      </c>
      <c r="CQ355" s="60" t="n">
        <f aca="false">U355*BQ355/BW355</f>
        <v>0</v>
      </c>
      <c r="CR355" s="60" t="n">
        <f aca="false">V355*BR355/BW355</f>
        <v>0</v>
      </c>
      <c r="CS355" s="60" t="n">
        <f aca="false">W355*BS355/BW355</f>
        <v>0</v>
      </c>
      <c r="CT355" s="60" t="n">
        <f aca="false">X355*BT355/BW355</f>
        <v>0</v>
      </c>
      <c r="CU355" s="60" t="n">
        <f aca="false">Y355*BU355/BW355</f>
        <v>0</v>
      </c>
      <c r="CV355" s="60" t="n">
        <f aca="false">$E$28*SUMPRODUCT($E$31:$P$31,BX355:CI355,$E$28:$P$28)</f>
        <v>0.184416866619846</v>
      </c>
      <c r="CW355" s="60" t="n">
        <f aca="false">$F$28*SUMPRODUCT($E$32:$P$32,BX355:CI355,$E$28:$P$28)</f>
        <v>0</v>
      </c>
      <c r="CX355" s="60" t="n">
        <f aca="false">$G$28*SUMPRODUCT($E$33:$P$33,BX355:CI355,$E$28:$P$28)</f>
        <v>0</v>
      </c>
      <c r="CY355" s="60" t="n">
        <f aca="false">$H$28*SUMPRODUCT($E$34:$P$34,BX355:CI355,$E$28:$P$28)</f>
        <v>0</v>
      </c>
      <c r="CZ355" s="60" t="n">
        <f aca="false">$I$28*SUMPRODUCT($E$35:$P$35,BX355:CI355,$E$28:$P$28)</f>
        <v>0</v>
      </c>
      <c r="DA355" s="60" t="n">
        <f aca="false">$J$28*SUMPRODUCT($E$36:$P$36,BX355:CI355,$E$28:$P$28)</f>
        <v>0</v>
      </c>
      <c r="DB355" s="60" t="n">
        <f aca="false">$K$28*SUMPRODUCT($E$37:$P$37,BX355:CI355,$E$28:$P$28)</f>
        <v>0</v>
      </c>
      <c r="DC355" s="60" t="n">
        <f aca="false">$L$28*SUMPRODUCT($E$38:$P$38,BX355:CI355,$E$28:$P$28)</f>
        <v>0</v>
      </c>
      <c r="DD355" s="60" t="n">
        <f aca="false">$M$28*SUMPRODUCT($E$39:$P$39,BX355:CI355,$E$28:$P$28)</f>
        <v>0</v>
      </c>
      <c r="DE355" s="60" t="n">
        <f aca="false">$N$28*SUMPRODUCT($E$40:$P$40,BX355:CI355,$E$28:$P$28)</f>
        <v>0</v>
      </c>
      <c r="DF355" s="60" t="n">
        <f aca="false">$O$28*SUMPRODUCT($E$41:$P$41,BX355:CI355,$E$28:$P$28)</f>
        <v>0</v>
      </c>
      <c r="DG355" s="60" t="n">
        <f aca="false">$P$28*SUMPRODUCT($E$42:$P$42,BX355:CI355,$E$28:$P$28)</f>
        <v>0</v>
      </c>
      <c r="DH355" s="60" t="n">
        <f aca="false">SUMPRODUCT(BX355:CI355,CV355:DG355)</f>
        <v>0.184416866619846</v>
      </c>
      <c r="DI355" s="60" t="n">
        <f aca="false">SUMPRODUCT(BX355:CI355,$E$27:$P$27)</f>
        <v>2.67389635063809E-005</v>
      </c>
      <c r="DJ355" s="60" t="n">
        <f aca="false">DH355*$C$9/($C$10*$C$8)^2</f>
        <v>0.21776909410545</v>
      </c>
      <c r="DK355" s="60" t="n">
        <f aca="false">DI355*$C$9/($C$10*$C$8)</f>
        <v>0.0918845243259994</v>
      </c>
      <c r="DL355" s="60" t="n">
        <f aca="false">CHOOSE($C$7,-(1+DK355),-1,-(1-DK355))</f>
        <v>-0.908115475674001</v>
      </c>
      <c r="DM355" s="60" t="n">
        <f aca="false">CHOOSE($C$7,DJ355,DJ355-DK355-DK355^2,DJ355-3*DK355^2-2*DK355)</f>
        <v>0.00867174802160559</v>
      </c>
      <c r="DN355" s="60" t="n">
        <f aca="false">CHOOSE($C$7,-DJ355*DK355,-DJ355*DK355,-(DJ355*DK355-DK355^2-DK355^3))</f>
        <v>-0.0107910842936637</v>
      </c>
      <c r="DO355" s="60" t="n">
        <f aca="false">DM355-DL355^2/3</f>
        <v>-0.266219491031267</v>
      </c>
      <c r="DP355" s="60" t="n">
        <f aca="false">2*DL355^3/27-DL355*DM355/3+DN355</f>
        <v>-0.0636400988362784</v>
      </c>
      <c r="DQ355" s="60" t="n">
        <f aca="false">DP355^2/4+DO355^3/27</f>
        <v>0.000313710901361829</v>
      </c>
      <c r="DR355" s="60" t="n">
        <f aca="false">-DP355/2-IF(DP355&gt;=0,1,-1)*SQRT(MAX(DQ355,0))</f>
        <v>0.0495319352963236</v>
      </c>
      <c r="DS355" s="60" t="n">
        <f aca="false">SIGN(DR355)*ABS(DR355)^(1/3)</f>
        <v>0.367249967174439</v>
      </c>
      <c r="DT355" s="60" t="n">
        <f aca="false">IF(DS355=0,0,DS355-DO355/(3*DS355))</f>
        <v>0.60888329127384</v>
      </c>
      <c r="DU355" s="60" t="n">
        <f aca="false">2*SQRT(MAX(-DO355,0)/3)</f>
        <v>0.595784626668918</v>
      </c>
      <c r="DV355" s="60" t="n">
        <f aca="false">ACOS(IF(DU355=0,0,MAX(-1,MIN(1,3*DP355/(DO355*DU355)))))</f>
        <v>0</v>
      </c>
      <c r="DW355" s="60" t="n">
        <f aca="false">DU355*COS(DV355/3)</f>
        <v>0.595784626668918</v>
      </c>
      <c r="DX355" s="60" t="n">
        <f aca="false">IF(DQ355&lt;0,DW355,DT355)-DL355/3</f>
        <v>0.91158844983184</v>
      </c>
      <c r="DY355" s="60" t="n">
        <f aca="false">IFERROR((((DX355+DL355)*DX355+DM355)*DX355+DN355)/((3*DX355+2*DL355)*DX355+DM355),0)</f>
        <v>0</v>
      </c>
      <c r="DZ355" s="60" t="n">
        <f aca="false">IF(ABS(DY355)&lt;0.1*ABS(DX355),DX355-DY355,DX355)</f>
        <v>0.91158844983184</v>
      </c>
      <c r="EA355" s="60" t="n">
        <f aca="false">IFERROR((((DZ355+DL355)*DZ355+DM355)*DZ355+DN355)/((3*DZ355+2*DL355)*DZ355+DM355),0)</f>
        <v>0</v>
      </c>
      <c r="EB355" s="60" t="n">
        <f aca="false">IF(ABS(EA355)&lt;0.1*ABS(DZ355),DZ355-EA355,DZ355)</f>
        <v>0.91158844983184</v>
      </c>
      <c r="EC355" s="60" t="n">
        <f aca="false">-DN355/EB355</f>
        <v>0.0118376711504565</v>
      </c>
      <c r="ED355" s="60" t="n">
        <f aca="false">(DM355-EC355)/EB355</f>
        <v>-0.00347297415783941</v>
      </c>
      <c r="EE355" s="60" t="n">
        <f aca="false">ED355^2-4*EC355</f>
        <v>-0.0473386230523248</v>
      </c>
      <c r="EF355" s="60" t="n">
        <f aca="false">IF(EE355&gt;=0,(ED355+IF(ED355&gt;=0,1,-1)*SQRT(EE355))/2,0)</f>
        <v>0</v>
      </c>
      <c r="EG355" s="60" t="n">
        <f aca="false">IF(AND(EE355&gt;=0,EF355&lt;&gt;0),MIN(EF355,EC355/EF355),-1)</f>
        <v>-1</v>
      </c>
      <c r="EH355" s="60" t="n">
        <f aca="false">AND(EE355&gt;=0,EG355&gt;DK355,ABS(EB355-EG355)&gt;=0.00005*MAX(EB355,EG355))</f>
        <v>0</v>
      </c>
      <c r="EI355" s="60" t="n">
        <f aca="false">IF(EH355,IFERROR((((EG355+DL355)*EG355+DM355)*EG355+DN355)/((3*EG355+2*DL355)*EG355+DM355),0),0)</f>
        <v>0</v>
      </c>
      <c r="EJ355" s="60" t="n">
        <f aca="false">IF(ABS(EI355)&lt;0.1*ABS(EG355),EG355-EI355,EG355)</f>
        <v>-1</v>
      </c>
      <c r="EK355" s="60" t="n">
        <f aca="false">IF(EH355,IFERROR((((EJ355+DL355)*EJ355+DM355)*EJ355+DN355)/((3*EJ355+2*DL355)*EJ355+DM355),0),0)</f>
        <v>0</v>
      </c>
      <c r="EL355" s="60" t="n">
        <f aca="false">IF(ABS(EK355)&lt;0.1*ABS(EJ355),EJ355-EK355,EJ355)</f>
        <v>-1</v>
      </c>
      <c r="EM355" s="60" t="n">
        <f aca="false">IF(EH355,MAX(EB355,EL355),EB355)</f>
        <v>0.91158844983184</v>
      </c>
      <c r="EN355" s="60" t="n">
        <f aca="false">IF(EH355,MIN(EB355,EL355),-1)</f>
        <v>-1</v>
      </c>
      <c r="EO355" s="60" t="n">
        <f aca="false">CHOOSE($C$7,DJ355/EM355,DJ355/DK355*LN(1+DK355/EM355),DJ355/(2*SQRT(2)*DK355)*LN((EM355+(1+SQRT(2))*DK355)/(EM355+(1-SQRT(2))*DK355)))</f>
        <v>0.218240791233887</v>
      </c>
      <c r="EP355" s="60" t="n">
        <f aca="false">EM355-1-LN(EM355-DK355)-EO355</f>
        <v>-0.107840271021729</v>
      </c>
      <c r="EQ355" s="60" t="n">
        <f aca="false">IF(EH355,CHOOSE($C$7,DJ355/EN355,DJ355/DK355*LN(1+DK355/EN355),DJ355/(2*SQRT(2)*DK355)*LN((EN355+(1+SQRT(2))*DK355)/(EN355+(1-SQRT(2))*DK355))),0)</f>
        <v>0</v>
      </c>
      <c r="ER355" s="60" t="n">
        <f aca="false">IF(EH355,EN355-1-LN(EN355-DK355)-EQ355,0)</f>
        <v>0</v>
      </c>
      <c r="ES355" s="60" t="n">
        <f aca="false">AND(EH355,ER355&lt;EP355)</f>
        <v>0</v>
      </c>
      <c r="ET355" s="60" t="n">
        <f aca="false">IF(ES355,EN355,EM355)</f>
        <v>0.91158844983184</v>
      </c>
      <c r="EU355" s="60" t="n">
        <f aca="false">IF(ES355,EQ355,EO355)</f>
        <v>0.218240791233887</v>
      </c>
      <c r="EV355" s="60" t="n">
        <f aca="false">LN(ET355-DK355)</f>
        <v>-0.198812070380318</v>
      </c>
      <c r="EW355" s="60" t="n">
        <f aca="false">$E$27/DI355*(ET355-1)-EV355-EU355*(2*CV355/DH355-$E$27/DI355)</f>
        <v>-0.107840271021729</v>
      </c>
      <c r="EX355" s="60" t="n">
        <f aca="false">$F$27/DI355*(ET355-1)-EV355-EU355*(2*CW355/DH355-$F$27/DI355)</f>
        <v>0.198812070380318</v>
      </c>
      <c r="EY355" s="60" t="n">
        <f aca="false">$G$27/DI355*(ET355-1)-EV355-EU355*(2*CX355/DH355-$G$27/DI355)</f>
        <v>0.198812070380318</v>
      </c>
      <c r="EZ355" s="60" t="n">
        <f aca="false">$H$27/DI355*(ET355-1)-EV355-EU355*(2*CY355/DH355-$H$27/DI355)</f>
        <v>0.198812070380318</v>
      </c>
      <c r="FA355" s="60" t="n">
        <f aca="false">$I$27/DI355*(ET355-1)-EV355-EU355*(2*CZ355/DH355-$I$27/DI355)</f>
        <v>0.198812070380318</v>
      </c>
      <c r="FB355" s="60" t="n">
        <f aca="false">$J$27/DI355*(ET355-1)-EV355-EU355*(2*DA355/DH355-$J$27/DI355)</f>
        <v>0.198812070380318</v>
      </c>
      <c r="FC355" s="60" t="n">
        <f aca="false">$K$27/DI355*(ET355-1)-EV355-EU355*(2*DB355/DH355-$K$27/DI355)</f>
        <v>0.198812070380318</v>
      </c>
      <c r="FD355" s="60" t="n">
        <f aca="false">$L$27/DI355*(ET355-1)-EV355-EU355*(2*DC355/DH355-$L$27/DI355)</f>
        <v>0.198812070380318</v>
      </c>
      <c r="FE355" s="60" t="n">
        <f aca="false">$M$27/DI355*(ET355-1)-EV355-EU355*(2*DD355/DH355-$M$27/DI355)</f>
        <v>0.198812070380318</v>
      </c>
      <c r="FF355" s="60" t="n">
        <f aca="false">$N$27/DI355*(ET355-1)-EV355-EU355*(2*DE355/DH355-$N$27/DI355)</f>
        <v>0.198812070380318</v>
      </c>
      <c r="FG355" s="60" t="n">
        <f aca="false">$O$27/DI355*(ET355-1)-EV355-EU355*(2*DF355/DH355-$O$27/DI355)</f>
        <v>0.198812070380318</v>
      </c>
      <c r="FH355" s="60" t="n">
        <f aca="false">$P$27/DI355*(ET355-1)-EV355-EU355*(2*DG355/DH355-$P$27/DI355)</f>
        <v>0.198812070380318</v>
      </c>
      <c r="FI355" s="60" t="n">
        <f aca="false">DK355/ET355&gt;$C$22</f>
        <v>0</v>
      </c>
      <c r="FJ355" s="60" t="n">
        <f aca="false">$E$28*SUMPRODUCT($E$31:$P$31,CJ355:CU355,$E$28:$P$28)</f>
        <v>0.184416866619846</v>
      </c>
      <c r="FK355" s="60" t="n">
        <f aca="false">$F$28*SUMPRODUCT($E$32:$P$32,CJ355:CU355,$E$28:$P$28)</f>
        <v>0</v>
      </c>
      <c r="FL355" s="60" t="n">
        <f aca="false">$G$28*SUMPRODUCT($E$33:$P$33,CJ355:CU355,$E$28:$P$28)</f>
        <v>0</v>
      </c>
      <c r="FM355" s="60" t="n">
        <f aca="false">$H$28*SUMPRODUCT($E$34:$P$34,CJ355:CU355,$E$28:$P$28)</f>
        <v>0</v>
      </c>
      <c r="FN355" s="60" t="n">
        <f aca="false">$I$28*SUMPRODUCT($E$35:$P$35,CJ355:CU355,$E$28:$P$28)</f>
        <v>0</v>
      </c>
      <c r="FO355" s="60" t="n">
        <f aca="false">$J$28*SUMPRODUCT($E$36:$P$36,CJ355:CU355,$E$28:$P$28)</f>
        <v>0</v>
      </c>
      <c r="FP355" s="60" t="n">
        <f aca="false">$K$28*SUMPRODUCT($E$37:$P$37,CJ355:CU355,$E$28:$P$28)</f>
        <v>0</v>
      </c>
      <c r="FQ355" s="60" t="n">
        <f aca="false">$L$28*SUMPRODUCT($E$38:$P$38,CJ355:CU355,$E$28:$P$28)</f>
        <v>0</v>
      </c>
      <c r="FR355" s="60" t="n">
        <f aca="false">$M$28*SUMPRODUCT($E$39:$P$39,CJ355:CU355,$E$28:$P$28)</f>
        <v>0</v>
      </c>
      <c r="FS355" s="60" t="n">
        <f aca="false">$N$28*SUMPRODUCT($E$40:$P$40,CJ355:CU355,$E$28:$P$28)</f>
        <v>0</v>
      </c>
      <c r="FT355" s="60" t="n">
        <f aca="false">$O$28*SUMPRODUCT($E$41:$P$41,CJ355:CU355,$E$28:$P$28)</f>
        <v>0</v>
      </c>
      <c r="FU355" s="60" t="n">
        <f aca="false">$P$28*SUMPRODUCT($E$42:$P$42,CJ355:CU355,$E$28:$P$28)</f>
        <v>0</v>
      </c>
      <c r="FV355" s="60" t="n">
        <f aca="false">SUMPRODUCT(CJ355:CU355,FJ355:FU355)</f>
        <v>0.184416866619846</v>
      </c>
      <c r="FW355" s="60" t="n">
        <f aca="false">SUMPRODUCT(CJ355:CU355,$E$27:$P$27)</f>
        <v>2.67389635063809E-005</v>
      </c>
      <c r="FX355" s="60" t="n">
        <f aca="false">FV355*$C$9/($C$10*$C$8)^2</f>
        <v>0.21776909410545</v>
      </c>
      <c r="FY355" s="60" t="n">
        <f aca="false">FW355*$C$9/($C$10*$C$8)</f>
        <v>0.0918845243259994</v>
      </c>
      <c r="FZ355" s="60" t="n">
        <f aca="false">CHOOSE($C$7,-(1+FY355),-1,-(1-FY355))</f>
        <v>-0.908115475674001</v>
      </c>
      <c r="GA355" s="60" t="n">
        <f aca="false">CHOOSE($C$7,FX355,FX355-FY355-FY355^2,FX355-3*FY355^2-2*FY355)</f>
        <v>0.00867174802160559</v>
      </c>
      <c r="GB355" s="60" t="n">
        <f aca="false">CHOOSE($C$7,-FX355*FY355,-FX355*FY355,-(FX355*FY355-FY355^2-FY355^3))</f>
        <v>-0.0107910842936637</v>
      </c>
      <c r="GC355" s="60" t="n">
        <f aca="false">GA355-FZ355^2/3</f>
        <v>-0.266219491031267</v>
      </c>
      <c r="GD355" s="60" t="n">
        <f aca="false">2*FZ355^3/27-FZ355*GA355/3+GB355</f>
        <v>-0.0636400988362784</v>
      </c>
      <c r="GE355" s="60" t="n">
        <f aca="false">GD355^2/4+GC355^3/27</f>
        <v>0.000313710901361829</v>
      </c>
      <c r="GF355" s="60" t="n">
        <f aca="false">-GD355/2-IF(GD355&gt;=0,1,-1)*SQRT(MAX(GE355,0))</f>
        <v>0.0495319352963236</v>
      </c>
      <c r="GG355" s="60" t="n">
        <f aca="false">SIGN(GF355)*ABS(GF355)^(1/3)</f>
        <v>0.367249967174439</v>
      </c>
      <c r="GH355" s="60" t="n">
        <f aca="false">IF(GG355=0,0,GG355-GC355/(3*GG355))</f>
        <v>0.60888329127384</v>
      </c>
      <c r="GI355" s="60" t="n">
        <f aca="false">2*SQRT(MAX(-GC355,0)/3)</f>
        <v>0.595784626668918</v>
      </c>
      <c r="GJ355" s="60" t="n">
        <f aca="false">ACOS(IF(GI355=0,0,MAX(-1,MIN(1,3*GD355/(GC355*GI355)))))</f>
        <v>0</v>
      </c>
      <c r="GK355" s="60" t="n">
        <f aca="false">GI355*COS(GJ355/3)</f>
        <v>0.595784626668918</v>
      </c>
      <c r="GL355" s="60" t="n">
        <f aca="false">IF(GE355&lt;0,GK355,GH355)-FZ355/3</f>
        <v>0.91158844983184</v>
      </c>
      <c r="GM355" s="60" t="n">
        <f aca="false">IFERROR((((GL355+FZ355)*GL355+GA355)*GL355+GB355)/((3*GL355+2*FZ355)*GL355+GA355),0)</f>
        <v>0</v>
      </c>
      <c r="GN355" s="60" t="n">
        <f aca="false">IF(ABS(GM355)&lt;0.1*ABS(GL355),GL355-GM355,GL355)</f>
        <v>0.91158844983184</v>
      </c>
      <c r="GO355" s="60" t="n">
        <f aca="false">IFERROR((((GN355+FZ355)*GN355+GA355)*GN355+GB355)/((3*GN355+2*FZ355)*GN355+GA355),0)</f>
        <v>0</v>
      </c>
      <c r="GP355" s="60" t="n">
        <f aca="false">IF(ABS(GO355)&lt;0.1*ABS(GN355),GN355-GO355,GN355)</f>
        <v>0.91158844983184</v>
      </c>
      <c r="GQ355" s="60" t="n">
        <f aca="false">-GB355/GP355</f>
        <v>0.0118376711504565</v>
      </c>
      <c r="GR355" s="60" t="n">
        <f aca="false">(GA355-GQ355)/GP355</f>
        <v>-0.00347297415783941</v>
      </c>
      <c r="GS355" s="60" t="n">
        <f aca="false">GR355^2-4*GQ355</f>
        <v>-0.0473386230523248</v>
      </c>
      <c r="GT355" s="60" t="n">
        <f aca="false">IF(GS355&gt;=0,(GR355+IF(GR355&gt;=0,1,-1)*SQRT(GS355))/2,0)</f>
        <v>0</v>
      </c>
      <c r="GU355" s="60" t="n">
        <f aca="false">IF(AND(GS355&gt;=0,GT355&lt;&gt;0),MIN(GT355,GQ355/GT355),-1)</f>
        <v>-1</v>
      </c>
      <c r="GV355" s="60" t="n">
        <f aca="false">AND(GS355&gt;=0,GU355&gt;FY355,ABS(GP355-GU355)&gt;=0.00005*MAX(GP355,GU355))</f>
        <v>0</v>
      </c>
      <c r="GW355" s="60" t="n">
        <f aca="false">IF(GV355,IFERROR((((GU355+FZ355)*GU355+GA355)*GU355+GB355)/((3*GU355+2*FZ355)*GU355+GA355),0),0)</f>
        <v>0</v>
      </c>
      <c r="GX355" s="60" t="n">
        <f aca="false">IF(ABS(GW355)&lt;0.1*ABS(GU355),GU355-GW355,GU355)</f>
        <v>-1</v>
      </c>
      <c r="GY355" s="60" t="n">
        <f aca="false">IF(GV355,IFERROR((((GX355+FZ355)*GX355+GA355)*GX355+GB355)/((3*GX355+2*FZ355)*GX355+GA355),0),0)</f>
        <v>0</v>
      </c>
      <c r="GZ355" s="60" t="n">
        <f aca="false">IF(ABS(GY355)&lt;0.1*ABS(GX355),GX355-GY355,GX355)</f>
        <v>-1</v>
      </c>
      <c r="HA355" s="60" t="n">
        <f aca="false">IF(GV355,MAX(GP355,GZ355),GP355)</f>
        <v>0.91158844983184</v>
      </c>
      <c r="HB355" s="60" t="n">
        <f aca="false">IF(GV355,MIN(GP355,GZ355),-1)</f>
        <v>-1</v>
      </c>
      <c r="HC355" s="60" t="n">
        <f aca="false">CHOOSE($C$7,FX355/HA355,FX355/FY355*LN(1+FY355/HA355),FX355/(2*SQRT(2)*FY355)*LN((HA355+(1+SQRT(2))*FY355)/(HA355+(1-SQRT(2))*FY355)))</f>
        <v>0.218240791233887</v>
      </c>
      <c r="HD355" s="60" t="n">
        <f aca="false">HA355-1-LN(HA355-FY355)-HC355</f>
        <v>-0.107840271021729</v>
      </c>
      <c r="HE355" s="60" t="n">
        <f aca="false">IF(GV355,CHOOSE($C$7,FX355/HB355,FX355/FY355*LN(1+FY355/HB355),FX355/(2*SQRT(2)*FY355)*LN((HB355+(1+SQRT(2))*FY355)/(HB355+(1-SQRT(2))*FY355))),0)</f>
        <v>0</v>
      </c>
      <c r="HF355" s="60" t="n">
        <f aca="false">IF(GV355,HB355-1-LN(HB355-FY355)-HE355,0)</f>
        <v>0</v>
      </c>
      <c r="HG355" s="60" t="n">
        <f aca="false">AND(GV355,HF355&lt;HD355)</f>
        <v>0</v>
      </c>
      <c r="HH355" s="60" t="n">
        <f aca="false">IF(HG355,HB355,HA355)</f>
        <v>0.91158844983184</v>
      </c>
      <c r="HI355" s="60" t="n">
        <f aca="false">IF(HG355,HE355,HC355)</f>
        <v>0.218240791233887</v>
      </c>
      <c r="HJ355" s="60" t="n">
        <f aca="false">LN(HH355-FY355)</f>
        <v>-0.198812070380318</v>
      </c>
      <c r="HK355" s="60" t="n">
        <f aca="false">$E$27/FW355*(HH355-1)-HJ355-HI355*(2*FJ355/FV355-$E$27/FW355)</f>
        <v>-0.107840271021729</v>
      </c>
      <c r="HL355" s="60" t="n">
        <f aca="false">$F$27/FW355*(HH355-1)-HJ355-HI355*(2*FK355/FV355-$F$27/FW355)</f>
        <v>0.198812070380318</v>
      </c>
      <c r="HM355" s="60" t="n">
        <f aca="false">$G$27/FW355*(HH355-1)-HJ355-HI355*(2*FL355/FV355-$G$27/FW355)</f>
        <v>0.198812070380318</v>
      </c>
      <c r="HN355" s="60" t="n">
        <f aca="false">$H$27/FW355*(HH355-1)-HJ355-HI355*(2*FM355/FV355-$H$27/FW355)</f>
        <v>0.198812070380318</v>
      </c>
      <c r="HO355" s="60" t="n">
        <f aca="false">$I$27/FW355*(HH355-1)-HJ355-HI355*(2*FN355/FV355-$I$27/FW355)</f>
        <v>0.198812070380318</v>
      </c>
      <c r="HP355" s="60" t="n">
        <f aca="false">$J$27/FW355*(HH355-1)-HJ355-HI355*(2*FO355/FV355-$J$27/FW355)</f>
        <v>0.198812070380318</v>
      </c>
      <c r="HQ355" s="60" t="n">
        <f aca="false">$K$27/FW355*(HH355-1)-HJ355-HI355*(2*FP355/FV355-$K$27/FW355)</f>
        <v>0.198812070380318</v>
      </c>
      <c r="HR355" s="60" t="n">
        <f aca="false">$L$27/FW355*(HH355-1)-HJ355-HI355*(2*FQ355/FV355-$L$27/FW355)</f>
        <v>0.198812070380318</v>
      </c>
      <c r="HS355" s="60" t="n">
        <f aca="false">$M$27/FW355*(HH355-1)-HJ355-HI355*(2*FR355/FV355-$M$27/FW355)</f>
        <v>0.198812070380318</v>
      </c>
      <c r="HT355" s="60" t="n">
        <f aca="false">$N$27/FW355*(HH355-1)-HJ355-HI355*(2*FS355/FV355-$N$27/FW355)</f>
        <v>0.198812070380318</v>
      </c>
      <c r="HU355" s="60" t="n">
        <f aca="false">$O$27/FW355*(HH355-1)-HJ355-HI355*(2*FT355/FV355-$O$27/FW355)</f>
        <v>0.198812070380318</v>
      </c>
      <c r="HV355" s="60" t="n">
        <f aca="false">$P$27/FW355*(HH355-1)-HJ355-HI355*(2*FU355/FV355-$P$27/FW355)</f>
        <v>0.198812070380318</v>
      </c>
      <c r="HW355" s="60" t="n">
        <f aca="false">FY355/HH355&gt;$C$22</f>
        <v>0</v>
      </c>
      <c r="HX355" s="60" t="n">
        <f aca="false">IF($E$13&gt;0,MAX(-300,MIN(300,EW355-HK355)),0)</f>
        <v>0</v>
      </c>
      <c r="HY355" s="60" t="n">
        <f aca="false">IF($F$13&gt;0,MAX(-300,MIN(300,EX355-HL355)),0)</f>
        <v>0</v>
      </c>
      <c r="HZ355" s="60" t="n">
        <f aca="false">IF($G$13&gt;0,MAX(-300,MIN(300,EY355-HM355)),0)</f>
        <v>0</v>
      </c>
      <c r="IA355" s="60" t="n">
        <f aca="false">IF($H$13&gt;0,MAX(-300,MIN(300,EZ355-HN355)),0)</f>
        <v>0</v>
      </c>
      <c r="IB355" s="60" t="n">
        <f aca="false">IF($I$13&gt;0,MAX(-300,MIN(300,FA355-HO355)),0)</f>
        <v>0</v>
      </c>
      <c r="IC355" s="60" t="n">
        <f aca="false">IF($J$13&gt;0,MAX(-300,MIN(300,FB355-HP355)),0)</f>
        <v>0</v>
      </c>
      <c r="ID355" s="60" t="n">
        <f aca="false">IF($K$13&gt;0,MAX(-300,MIN(300,FC355-HQ355)),0)</f>
        <v>0</v>
      </c>
      <c r="IE355" s="60" t="n">
        <f aca="false">IF($L$13&gt;0,MAX(-300,MIN(300,FD355-HR355)),0)</f>
        <v>0</v>
      </c>
      <c r="IF355" s="60" t="n">
        <f aca="false">IF($M$13&gt;0,MAX(-300,MIN(300,FE355-HS355)),0)</f>
        <v>0</v>
      </c>
      <c r="IG355" s="60" t="n">
        <f aca="false">IF($N$13&gt;0,MAX(-300,MIN(300,FF355-HT355)),0)</f>
        <v>0</v>
      </c>
      <c r="IH355" s="60" t="n">
        <f aca="false">IF($O$13&gt;0,MAX(-300,MIN(300,FG355-HU355)),0)</f>
        <v>0</v>
      </c>
      <c r="II355" s="60" t="n">
        <f aca="false">IF($P$13&gt;0,MAX(-300,MIN(300,FH355-HV355)),0)</f>
        <v>0</v>
      </c>
      <c r="IJ355" s="60" t="n">
        <f aca="false">SUMXMY2(HX355:II355,B355:M355)</f>
        <v>0</v>
      </c>
      <c r="IK355" s="60" t="n">
        <f aca="false">SUMSQ(B355:M355)</f>
        <v>0</v>
      </c>
    </row>
    <row r="356" customFormat="false" ht="15" hidden="false" customHeight="false" outlineLevel="0" collapsed="false">
      <c r="A356" s="59" t="n">
        <v>59</v>
      </c>
      <c r="B356" s="60" t="n">
        <f aca="false">HX355</f>
        <v>0</v>
      </c>
      <c r="C356" s="60" t="n">
        <f aca="false">HY355</f>
        <v>0</v>
      </c>
      <c r="D356" s="60" t="n">
        <f aca="false">HZ355</f>
        <v>0</v>
      </c>
      <c r="E356" s="60" t="n">
        <f aca="false">IA355</f>
        <v>0</v>
      </c>
      <c r="F356" s="60" t="n">
        <f aca="false">IB355</f>
        <v>0</v>
      </c>
      <c r="G356" s="60" t="n">
        <f aca="false">IC355</f>
        <v>0</v>
      </c>
      <c r="H356" s="60" t="n">
        <f aca="false">ID355</f>
        <v>0</v>
      </c>
      <c r="I356" s="60" t="n">
        <f aca="false">IE355</f>
        <v>0</v>
      </c>
      <c r="J356" s="60" t="n">
        <f aca="false">IF355</f>
        <v>0</v>
      </c>
      <c r="K356" s="60" t="n">
        <f aca="false">IG355</f>
        <v>0</v>
      </c>
      <c r="L356" s="60" t="n">
        <f aca="false">IH355</f>
        <v>0</v>
      </c>
      <c r="M356" s="60" t="n">
        <f aca="false">II355</f>
        <v>0</v>
      </c>
      <c r="N356" s="60" t="n">
        <f aca="false">EXP(B356)</f>
        <v>1</v>
      </c>
      <c r="O356" s="60" t="n">
        <f aca="false">EXP(C356)</f>
        <v>1</v>
      </c>
      <c r="P356" s="60" t="n">
        <f aca="false">EXP(D356)</f>
        <v>1</v>
      </c>
      <c r="Q356" s="60" t="n">
        <f aca="false">EXP(E356)</f>
        <v>1</v>
      </c>
      <c r="R356" s="60" t="n">
        <f aca="false">EXP(F356)</f>
        <v>1</v>
      </c>
      <c r="S356" s="60" t="n">
        <f aca="false">EXP(G356)</f>
        <v>1</v>
      </c>
      <c r="T356" s="60" t="n">
        <f aca="false">EXP(H356)</f>
        <v>1</v>
      </c>
      <c r="U356" s="60" t="n">
        <f aca="false">EXP(I356)</f>
        <v>1</v>
      </c>
      <c r="V356" s="60" t="n">
        <f aca="false">EXP(J356)</f>
        <v>1</v>
      </c>
      <c r="W356" s="60" t="n">
        <f aca="false">EXP(K356)</f>
        <v>1</v>
      </c>
      <c r="X356" s="60" t="n">
        <f aca="false">EXP(L356)</f>
        <v>1</v>
      </c>
      <c r="Y356" s="60" t="n">
        <f aca="false">EXP(M356)</f>
        <v>1</v>
      </c>
      <c r="Z356" s="60" t="n">
        <f aca="false">MAX(N356:Y356)</f>
        <v>1</v>
      </c>
      <c r="AA356" s="60" t="n">
        <f aca="false">MIN(N356:Y356)</f>
        <v>1</v>
      </c>
      <c r="AB356" s="60" t="n">
        <f aca="false">AND(Z356&gt;1,AA356&lt;1)</f>
        <v>0</v>
      </c>
      <c r="AC356" s="60" t="n">
        <f aca="false">IF(AB356,1/(1-Z356),0)</f>
        <v>0</v>
      </c>
      <c r="AD356" s="60" t="n">
        <f aca="false">IF(AB356,1/(1-AA356),1)</f>
        <v>1</v>
      </c>
      <c r="AE356" s="60" t="n">
        <f aca="false">IF(AB356,MIN(MAX(BI355,AC356+0.000000001*(AD356-AC356)),AD356-0.000000001*(AD356-AC356)),IF(AA356&gt;=1,1,0))</f>
        <v>1</v>
      </c>
      <c r="AF356" s="60" t="n">
        <f aca="false">SUMPRODUCT($E$13:$P$13*(N356:Y356-1)/(1+AE356*(N356:Y356-1)))</f>
        <v>0</v>
      </c>
      <c r="AG356" s="60" t="n">
        <f aca="false">-SUMPRODUCT($E$13:$P$13*(N356:Y356-1)^2/(1+AE356*(N356:Y356-1))^2)</f>
        <v>-0</v>
      </c>
      <c r="AH356" s="60" t="n">
        <f aca="false">IF(OR(NOT(AB356),AG356=0),AE356,IF(AE356-AF356/AG356&lt;=AC356,(AE356+AC356)/2,IF(AE356-AF356/AG356&gt;=AD356,(AE356+AD356)/2,AE356-AF356/AG356)))</f>
        <v>1</v>
      </c>
      <c r="AI356" s="60" t="n">
        <f aca="false">SUMPRODUCT($E$13:$P$13*(N356:Y356-1)/(1+AH356*(N356:Y356-1)))</f>
        <v>0</v>
      </c>
      <c r="AJ356" s="60" t="n">
        <f aca="false">-SUMPRODUCT($E$13:$P$13*(N356:Y356-1)^2/(1+AH356*(N356:Y356-1))^2)</f>
        <v>-0</v>
      </c>
      <c r="AK356" s="60" t="n">
        <f aca="false">IF(OR(NOT(AB356),AJ356=0),AH356,IF(AH356-AI356/AJ356&lt;=AC356,(AH356+AC356)/2,IF(AH356-AI356/AJ356&gt;=AD356,(AH356+AD356)/2,AH356-AI356/AJ356)))</f>
        <v>1</v>
      </c>
      <c r="AL356" s="60" t="n">
        <f aca="false">SUMPRODUCT($E$13:$P$13*(N356:Y356-1)/(1+AK356*(N356:Y356-1)))</f>
        <v>0</v>
      </c>
      <c r="AM356" s="60" t="n">
        <f aca="false">-SUMPRODUCT($E$13:$P$13*(N356:Y356-1)^2/(1+AK356*(N356:Y356-1))^2)</f>
        <v>-0</v>
      </c>
      <c r="AN356" s="60" t="n">
        <f aca="false">IF(OR(NOT(AB356),AM356=0),AK356,IF(AK356-AL356/AM356&lt;=AC356,(AK356+AC356)/2,IF(AK356-AL356/AM356&gt;=AD356,(AK356+AD356)/2,AK356-AL356/AM356)))</f>
        <v>1</v>
      </c>
      <c r="AO356" s="60" t="n">
        <f aca="false">SUMPRODUCT($E$13:$P$13*(N356:Y356-1)/(1+AN356*(N356:Y356-1)))</f>
        <v>0</v>
      </c>
      <c r="AP356" s="60" t="n">
        <f aca="false">-SUMPRODUCT($E$13:$P$13*(N356:Y356-1)^2/(1+AN356*(N356:Y356-1))^2)</f>
        <v>-0</v>
      </c>
      <c r="AQ356" s="60" t="n">
        <f aca="false">IF(OR(NOT(AB356),AP356=0),AN356,IF(AN356-AO356/AP356&lt;=AC356,(AN356+AC356)/2,IF(AN356-AO356/AP356&gt;=AD356,(AN356+AD356)/2,AN356-AO356/AP356)))</f>
        <v>1</v>
      </c>
      <c r="AR356" s="60" t="n">
        <f aca="false">SUMPRODUCT($E$13:$P$13*(N356:Y356-1)/(1+AQ356*(N356:Y356-1)))</f>
        <v>0</v>
      </c>
      <c r="AS356" s="60" t="n">
        <f aca="false">-SUMPRODUCT($E$13:$P$13*(N356:Y356-1)^2/(1+AQ356*(N356:Y356-1))^2)</f>
        <v>-0</v>
      </c>
      <c r="AT356" s="60" t="n">
        <f aca="false">IF(OR(NOT(AB356),AS356=0),AQ356,IF(AQ356-AR356/AS356&lt;=AC356,(AQ356+AC356)/2,IF(AQ356-AR356/AS356&gt;=AD356,(AQ356+AD356)/2,AQ356-AR356/AS356)))</f>
        <v>1</v>
      </c>
      <c r="AU356" s="60" t="n">
        <f aca="false">SUMPRODUCT($E$13:$P$13*(N356:Y356-1)/(1+AT356*(N356:Y356-1)))</f>
        <v>0</v>
      </c>
      <c r="AV356" s="60" t="n">
        <f aca="false">-SUMPRODUCT($E$13:$P$13*(N356:Y356-1)^2/(1+AT356*(N356:Y356-1))^2)</f>
        <v>-0</v>
      </c>
      <c r="AW356" s="60" t="n">
        <f aca="false">IF(OR(NOT(AB356),AV356=0),AT356,IF(AT356-AU356/AV356&lt;=AC356,(AT356+AC356)/2,IF(AT356-AU356/AV356&gt;=AD356,(AT356+AD356)/2,AT356-AU356/AV356)))</f>
        <v>1</v>
      </c>
      <c r="AX356" s="60" t="n">
        <f aca="false">SUMPRODUCT($E$13:$P$13*(N356:Y356-1)/(1+AW356*(N356:Y356-1)))</f>
        <v>0</v>
      </c>
      <c r="AY356" s="60" t="n">
        <f aca="false">-SUMPRODUCT($E$13:$P$13*(N356:Y356-1)^2/(1+AW356*(N356:Y356-1))^2)</f>
        <v>-0</v>
      </c>
      <c r="AZ356" s="60" t="n">
        <f aca="false">IF(OR(NOT(AB356),AY356=0),AW356,IF(AW356-AX356/AY356&lt;=AC356,(AW356+AC356)/2,IF(AW356-AX356/AY356&gt;=AD356,(AW356+AD356)/2,AW356-AX356/AY356)))</f>
        <v>1</v>
      </c>
      <c r="BA356" s="60" t="n">
        <f aca="false">SUMPRODUCT($E$13:$P$13*(N356:Y356-1)/(1+AZ356*(N356:Y356-1)))</f>
        <v>0</v>
      </c>
      <c r="BB356" s="60" t="n">
        <f aca="false">-SUMPRODUCT($E$13:$P$13*(N356:Y356-1)^2/(1+AZ356*(N356:Y356-1))^2)</f>
        <v>-0</v>
      </c>
      <c r="BC356" s="60" t="n">
        <f aca="false">IF(OR(NOT(AB356),BB356=0),AZ356,IF(AZ356-BA356/BB356&lt;=AC356,(AZ356+AC356)/2,IF(AZ356-BA356/BB356&gt;=AD356,(AZ356+AD356)/2,AZ356-BA356/BB356)))</f>
        <v>1</v>
      </c>
      <c r="BD356" s="60" t="n">
        <f aca="false">SUMPRODUCT($E$13:$P$13*(N356:Y356-1)/(1+BC356*(N356:Y356-1)))</f>
        <v>0</v>
      </c>
      <c r="BE356" s="60" t="n">
        <f aca="false">-SUMPRODUCT($E$13:$P$13*(N356:Y356-1)^2/(1+BC356*(N356:Y356-1))^2)</f>
        <v>-0</v>
      </c>
      <c r="BF356" s="60" t="n">
        <f aca="false">IF(OR(NOT(AB356),BE356=0),BC356,IF(BC356-BD356/BE356&lt;=AC356,(BC356+AC356)/2,IF(BC356-BD356/BE356&gt;=AD356,(BC356+AD356)/2,BC356-BD356/BE356)))</f>
        <v>1</v>
      </c>
      <c r="BG356" s="60" t="n">
        <f aca="false">SUMPRODUCT($E$13:$P$13*(N356:Y356-1)/(1+BF356*(N356:Y356-1)))</f>
        <v>0</v>
      </c>
      <c r="BH356" s="60" t="n">
        <f aca="false">-SUMPRODUCT($E$13:$P$13*(N356:Y356-1)^2/(1+BF356*(N356:Y356-1))^2)</f>
        <v>-0</v>
      </c>
      <c r="BI356" s="60" t="n">
        <f aca="false">IF(OR(NOT(AB356),BH356=0),BF356,IF(BF356-BG356/BH356&lt;=AC356,(BF356+AC356)/2,IF(BF356-BG356/BH356&gt;=AD356,(BF356+AD356)/2,BF356-BG356/BH356)))</f>
        <v>1</v>
      </c>
      <c r="BJ356" s="60" t="n">
        <f aca="false">$E$13/(1+BI356*(N356-1))</f>
        <v>1</v>
      </c>
      <c r="BK356" s="60" t="n">
        <f aca="false">$F$13/(1+BI356*(O356-1))</f>
        <v>0</v>
      </c>
      <c r="BL356" s="60" t="n">
        <f aca="false">$G$13/(1+BI356*(P356-1))</f>
        <v>0</v>
      </c>
      <c r="BM356" s="60" t="n">
        <f aca="false">$H$13/(1+BI356*(Q356-1))</f>
        <v>0</v>
      </c>
      <c r="BN356" s="60" t="n">
        <f aca="false">$I$13/(1+BI356*(R356-1))</f>
        <v>0</v>
      </c>
      <c r="BO356" s="60" t="n">
        <f aca="false">$J$13/(1+BI356*(S356-1))</f>
        <v>0</v>
      </c>
      <c r="BP356" s="60" t="n">
        <f aca="false">$K$13/(1+BI356*(T356-1))</f>
        <v>0</v>
      </c>
      <c r="BQ356" s="60" t="n">
        <f aca="false">$L$13/(1+BI356*(U356-1))</f>
        <v>0</v>
      </c>
      <c r="BR356" s="60" t="n">
        <f aca="false">$M$13/(1+BI356*(V356-1))</f>
        <v>0</v>
      </c>
      <c r="BS356" s="60" t="n">
        <f aca="false">$N$13/(1+BI356*(W356-1))</f>
        <v>0</v>
      </c>
      <c r="BT356" s="60" t="n">
        <f aca="false">$O$13/(1+BI356*(X356-1))</f>
        <v>0</v>
      </c>
      <c r="BU356" s="60" t="n">
        <f aca="false">$P$13/(1+BI356*(Y356-1))</f>
        <v>0</v>
      </c>
      <c r="BV356" s="60" t="n">
        <f aca="false">SUM(BJ356:BU356)</f>
        <v>1</v>
      </c>
      <c r="BW356" s="60" t="n">
        <f aca="false">SUMPRODUCT(N356:Y356,BJ356:BU356)</f>
        <v>1</v>
      </c>
      <c r="BX356" s="60" t="n">
        <f aca="false">BJ356/BV356</f>
        <v>1</v>
      </c>
      <c r="BY356" s="60" t="n">
        <f aca="false">BK356/BV356</f>
        <v>0</v>
      </c>
      <c r="BZ356" s="60" t="n">
        <f aca="false">BL356/BV356</f>
        <v>0</v>
      </c>
      <c r="CA356" s="60" t="n">
        <f aca="false">BM356/BV356</f>
        <v>0</v>
      </c>
      <c r="CB356" s="60" t="n">
        <f aca="false">BN356/BV356</f>
        <v>0</v>
      </c>
      <c r="CC356" s="60" t="n">
        <f aca="false">BO356/BV356</f>
        <v>0</v>
      </c>
      <c r="CD356" s="60" t="n">
        <f aca="false">BP356/BV356</f>
        <v>0</v>
      </c>
      <c r="CE356" s="60" t="n">
        <f aca="false">BQ356/BV356</f>
        <v>0</v>
      </c>
      <c r="CF356" s="60" t="n">
        <f aca="false">BR356/BV356</f>
        <v>0</v>
      </c>
      <c r="CG356" s="60" t="n">
        <f aca="false">BS356/BV356</f>
        <v>0</v>
      </c>
      <c r="CH356" s="60" t="n">
        <f aca="false">BT356/BV356</f>
        <v>0</v>
      </c>
      <c r="CI356" s="60" t="n">
        <f aca="false">BU356/BV356</f>
        <v>0</v>
      </c>
      <c r="CJ356" s="60" t="n">
        <f aca="false">N356*BJ356/BW356</f>
        <v>1</v>
      </c>
      <c r="CK356" s="60" t="n">
        <f aca="false">O356*BK356/BW356</f>
        <v>0</v>
      </c>
      <c r="CL356" s="60" t="n">
        <f aca="false">P356*BL356/BW356</f>
        <v>0</v>
      </c>
      <c r="CM356" s="60" t="n">
        <f aca="false">Q356*BM356/BW356</f>
        <v>0</v>
      </c>
      <c r="CN356" s="60" t="n">
        <f aca="false">R356*BN356/BW356</f>
        <v>0</v>
      </c>
      <c r="CO356" s="60" t="n">
        <f aca="false">S356*BO356/BW356</f>
        <v>0</v>
      </c>
      <c r="CP356" s="60" t="n">
        <f aca="false">T356*BP356/BW356</f>
        <v>0</v>
      </c>
      <c r="CQ356" s="60" t="n">
        <f aca="false">U356*BQ356/BW356</f>
        <v>0</v>
      </c>
      <c r="CR356" s="60" t="n">
        <f aca="false">V356*BR356/BW356</f>
        <v>0</v>
      </c>
      <c r="CS356" s="60" t="n">
        <f aca="false">W356*BS356/BW356</f>
        <v>0</v>
      </c>
      <c r="CT356" s="60" t="n">
        <f aca="false">X356*BT356/BW356</f>
        <v>0</v>
      </c>
      <c r="CU356" s="60" t="n">
        <f aca="false">Y356*BU356/BW356</f>
        <v>0</v>
      </c>
      <c r="CV356" s="60" t="n">
        <f aca="false">$E$28*SUMPRODUCT($E$31:$P$31,BX356:CI356,$E$28:$P$28)</f>
        <v>0.184416866619846</v>
      </c>
      <c r="CW356" s="60" t="n">
        <f aca="false">$F$28*SUMPRODUCT($E$32:$P$32,BX356:CI356,$E$28:$P$28)</f>
        <v>0</v>
      </c>
      <c r="CX356" s="60" t="n">
        <f aca="false">$G$28*SUMPRODUCT($E$33:$P$33,BX356:CI356,$E$28:$P$28)</f>
        <v>0</v>
      </c>
      <c r="CY356" s="60" t="n">
        <f aca="false">$H$28*SUMPRODUCT($E$34:$P$34,BX356:CI356,$E$28:$P$28)</f>
        <v>0</v>
      </c>
      <c r="CZ356" s="60" t="n">
        <f aca="false">$I$28*SUMPRODUCT($E$35:$P$35,BX356:CI356,$E$28:$P$28)</f>
        <v>0</v>
      </c>
      <c r="DA356" s="60" t="n">
        <f aca="false">$J$28*SUMPRODUCT($E$36:$P$36,BX356:CI356,$E$28:$P$28)</f>
        <v>0</v>
      </c>
      <c r="DB356" s="60" t="n">
        <f aca="false">$K$28*SUMPRODUCT($E$37:$P$37,BX356:CI356,$E$28:$P$28)</f>
        <v>0</v>
      </c>
      <c r="DC356" s="60" t="n">
        <f aca="false">$L$28*SUMPRODUCT($E$38:$P$38,BX356:CI356,$E$28:$P$28)</f>
        <v>0</v>
      </c>
      <c r="DD356" s="60" t="n">
        <f aca="false">$M$28*SUMPRODUCT($E$39:$P$39,BX356:CI356,$E$28:$P$28)</f>
        <v>0</v>
      </c>
      <c r="DE356" s="60" t="n">
        <f aca="false">$N$28*SUMPRODUCT($E$40:$P$40,BX356:CI356,$E$28:$P$28)</f>
        <v>0</v>
      </c>
      <c r="DF356" s="60" t="n">
        <f aca="false">$O$28*SUMPRODUCT($E$41:$P$41,BX356:CI356,$E$28:$P$28)</f>
        <v>0</v>
      </c>
      <c r="DG356" s="60" t="n">
        <f aca="false">$P$28*SUMPRODUCT($E$42:$P$42,BX356:CI356,$E$28:$P$28)</f>
        <v>0</v>
      </c>
      <c r="DH356" s="60" t="n">
        <f aca="false">SUMPRODUCT(BX356:CI356,CV356:DG356)</f>
        <v>0.184416866619846</v>
      </c>
      <c r="DI356" s="60" t="n">
        <f aca="false">SUMPRODUCT(BX356:CI356,$E$27:$P$27)</f>
        <v>2.67389635063809E-005</v>
      </c>
      <c r="DJ356" s="60" t="n">
        <f aca="false">DH356*$C$9/($C$10*$C$8)^2</f>
        <v>0.21776909410545</v>
      </c>
      <c r="DK356" s="60" t="n">
        <f aca="false">DI356*$C$9/($C$10*$C$8)</f>
        <v>0.0918845243259994</v>
      </c>
      <c r="DL356" s="60" t="n">
        <f aca="false">CHOOSE($C$7,-(1+DK356),-1,-(1-DK356))</f>
        <v>-0.908115475674001</v>
      </c>
      <c r="DM356" s="60" t="n">
        <f aca="false">CHOOSE($C$7,DJ356,DJ356-DK356-DK356^2,DJ356-3*DK356^2-2*DK356)</f>
        <v>0.00867174802160559</v>
      </c>
      <c r="DN356" s="60" t="n">
        <f aca="false">CHOOSE($C$7,-DJ356*DK356,-DJ356*DK356,-(DJ356*DK356-DK356^2-DK356^3))</f>
        <v>-0.0107910842936637</v>
      </c>
      <c r="DO356" s="60" t="n">
        <f aca="false">DM356-DL356^2/3</f>
        <v>-0.266219491031267</v>
      </c>
      <c r="DP356" s="60" t="n">
        <f aca="false">2*DL356^3/27-DL356*DM356/3+DN356</f>
        <v>-0.0636400988362784</v>
      </c>
      <c r="DQ356" s="60" t="n">
        <f aca="false">DP356^2/4+DO356^3/27</f>
        <v>0.000313710901361829</v>
      </c>
      <c r="DR356" s="60" t="n">
        <f aca="false">-DP356/2-IF(DP356&gt;=0,1,-1)*SQRT(MAX(DQ356,0))</f>
        <v>0.0495319352963236</v>
      </c>
      <c r="DS356" s="60" t="n">
        <f aca="false">SIGN(DR356)*ABS(DR356)^(1/3)</f>
        <v>0.367249967174439</v>
      </c>
      <c r="DT356" s="60" t="n">
        <f aca="false">IF(DS356=0,0,DS356-DO356/(3*DS356))</f>
        <v>0.60888329127384</v>
      </c>
      <c r="DU356" s="60" t="n">
        <f aca="false">2*SQRT(MAX(-DO356,0)/3)</f>
        <v>0.595784626668918</v>
      </c>
      <c r="DV356" s="60" t="n">
        <f aca="false">ACOS(IF(DU356=0,0,MAX(-1,MIN(1,3*DP356/(DO356*DU356)))))</f>
        <v>0</v>
      </c>
      <c r="DW356" s="60" t="n">
        <f aca="false">DU356*COS(DV356/3)</f>
        <v>0.595784626668918</v>
      </c>
      <c r="DX356" s="60" t="n">
        <f aca="false">IF(DQ356&lt;0,DW356,DT356)-DL356/3</f>
        <v>0.91158844983184</v>
      </c>
      <c r="DY356" s="60" t="n">
        <f aca="false">IFERROR((((DX356+DL356)*DX356+DM356)*DX356+DN356)/((3*DX356+2*DL356)*DX356+DM356),0)</f>
        <v>0</v>
      </c>
      <c r="DZ356" s="60" t="n">
        <f aca="false">IF(ABS(DY356)&lt;0.1*ABS(DX356),DX356-DY356,DX356)</f>
        <v>0.91158844983184</v>
      </c>
      <c r="EA356" s="60" t="n">
        <f aca="false">IFERROR((((DZ356+DL356)*DZ356+DM356)*DZ356+DN356)/((3*DZ356+2*DL356)*DZ356+DM356),0)</f>
        <v>0</v>
      </c>
      <c r="EB356" s="60" t="n">
        <f aca="false">IF(ABS(EA356)&lt;0.1*ABS(DZ356),DZ356-EA356,DZ356)</f>
        <v>0.91158844983184</v>
      </c>
      <c r="EC356" s="60" t="n">
        <f aca="false">-DN356/EB356</f>
        <v>0.0118376711504565</v>
      </c>
      <c r="ED356" s="60" t="n">
        <f aca="false">(DM356-EC356)/EB356</f>
        <v>-0.00347297415783941</v>
      </c>
      <c r="EE356" s="60" t="n">
        <f aca="false">ED356^2-4*EC356</f>
        <v>-0.0473386230523248</v>
      </c>
      <c r="EF356" s="60" t="n">
        <f aca="false">IF(EE356&gt;=0,(ED356+IF(ED356&gt;=0,1,-1)*SQRT(EE356))/2,0)</f>
        <v>0</v>
      </c>
      <c r="EG356" s="60" t="n">
        <f aca="false">IF(AND(EE356&gt;=0,EF356&lt;&gt;0),MIN(EF356,EC356/EF356),-1)</f>
        <v>-1</v>
      </c>
      <c r="EH356" s="60" t="n">
        <f aca="false">AND(EE356&gt;=0,EG356&gt;DK356,ABS(EB356-EG356)&gt;=0.00005*MAX(EB356,EG356))</f>
        <v>0</v>
      </c>
      <c r="EI356" s="60" t="n">
        <f aca="false">IF(EH356,IFERROR((((EG356+DL356)*EG356+DM356)*EG356+DN356)/((3*EG356+2*DL356)*EG356+DM356),0),0)</f>
        <v>0</v>
      </c>
      <c r="EJ356" s="60" t="n">
        <f aca="false">IF(ABS(EI356)&lt;0.1*ABS(EG356),EG356-EI356,EG356)</f>
        <v>-1</v>
      </c>
      <c r="EK356" s="60" t="n">
        <f aca="false">IF(EH356,IFERROR((((EJ356+DL356)*EJ356+DM356)*EJ356+DN356)/((3*EJ356+2*DL356)*EJ356+DM356),0),0)</f>
        <v>0</v>
      </c>
      <c r="EL356" s="60" t="n">
        <f aca="false">IF(ABS(EK356)&lt;0.1*ABS(EJ356),EJ356-EK356,EJ356)</f>
        <v>-1</v>
      </c>
      <c r="EM356" s="60" t="n">
        <f aca="false">IF(EH356,MAX(EB356,EL356),EB356)</f>
        <v>0.91158844983184</v>
      </c>
      <c r="EN356" s="60" t="n">
        <f aca="false">IF(EH356,MIN(EB356,EL356),-1)</f>
        <v>-1</v>
      </c>
      <c r="EO356" s="60" t="n">
        <f aca="false">CHOOSE($C$7,DJ356/EM356,DJ356/DK356*LN(1+DK356/EM356),DJ356/(2*SQRT(2)*DK356)*LN((EM356+(1+SQRT(2))*DK356)/(EM356+(1-SQRT(2))*DK356)))</f>
        <v>0.218240791233887</v>
      </c>
      <c r="EP356" s="60" t="n">
        <f aca="false">EM356-1-LN(EM356-DK356)-EO356</f>
        <v>-0.107840271021729</v>
      </c>
      <c r="EQ356" s="60" t="n">
        <f aca="false">IF(EH356,CHOOSE($C$7,DJ356/EN356,DJ356/DK356*LN(1+DK356/EN356),DJ356/(2*SQRT(2)*DK356)*LN((EN356+(1+SQRT(2))*DK356)/(EN356+(1-SQRT(2))*DK356))),0)</f>
        <v>0</v>
      </c>
      <c r="ER356" s="60" t="n">
        <f aca="false">IF(EH356,EN356-1-LN(EN356-DK356)-EQ356,0)</f>
        <v>0</v>
      </c>
      <c r="ES356" s="60" t="n">
        <f aca="false">AND(EH356,ER356&lt;EP356)</f>
        <v>0</v>
      </c>
      <c r="ET356" s="60" t="n">
        <f aca="false">IF(ES356,EN356,EM356)</f>
        <v>0.91158844983184</v>
      </c>
      <c r="EU356" s="60" t="n">
        <f aca="false">IF(ES356,EQ356,EO356)</f>
        <v>0.218240791233887</v>
      </c>
      <c r="EV356" s="60" t="n">
        <f aca="false">LN(ET356-DK356)</f>
        <v>-0.198812070380318</v>
      </c>
      <c r="EW356" s="60" t="n">
        <f aca="false">$E$27/DI356*(ET356-1)-EV356-EU356*(2*CV356/DH356-$E$27/DI356)</f>
        <v>-0.107840271021729</v>
      </c>
      <c r="EX356" s="60" t="n">
        <f aca="false">$F$27/DI356*(ET356-1)-EV356-EU356*(2*CW356/DH356-$F$27/DI356)</f>
        <v>0.198812070380318</v>
      </c>
      <c r="EY356" s="60" t="n">
        <f aca="false">$G$27/DI356*(ET356-1)-EV356-EU356*(2*CX356/DH356-$G$27/DI356)</f>
        <v>0.198812070380318</v>
      </c>
      <c r="EZ356" s="60" t="n">
        <f aca="false">$H$27/DI356*(ET356-1)-EV356-EU356*(2*CY356/DH356-$H$27/DI356)</f>
        <v>0.198812070380318</v>
      </c>
      <c r="FA356" s="60" t="n">
        <f aca="false">$I$27/DI356*(ET356-1)-EV356-EU356*(2*CZ356/DH356-$I$27/DI356)</f>
        <v>0.198812070380318</v>
      </c>
      <c r="FB356" s="60" t="n">
        <f aca="false">$J$27/DI356*(ET356-1)-EV356-EU356*(2*DA356/DH356-$J$27/DI356)</f>
        <v>0.198812070380318</v>
      </c>
      <c r="FC356" s="60" t="n">
        <f aca="false">$K$27/DI356*(ET356-1)-EV356-EU356*(2*DB356/DH356-$K$27/DI356)</f>
        <v>0.198812070380318</v>
      </c>
      <c r="FD356" s="60" t="n">
        <f aca="false">$L$27/DI356*(ET356-1)-EV356-EU356*(2*DC356/DH356-$L$27/DI356)</f>
        <v>0.198812070380318</v>
      </c>
      <c r="FE356" s="60" t="n">
        <f aca="false">$M$27/DI356*(ET356-1)-EV356-EU356*(2*DD356/DH356-$M$27/DI356)</f>
        <v>0.198812070380318</v>
      </c>
      <c r="FF356" s="60" t="n">
        <f aca="false">$N$27/DI356*(ET356-1)-EV356-EU356*(2*DE356/DH356-$N$27/DI356)</f>
        <v>0.198812070380318</v>
      </c>
      <c r="FG356" s="60" t="n">
        <f aca="false">$O$27/DI356*(ET356-1)-EV356-EU356*(2*DF356/DH356-$O$27/DI356)</f>
        <v>0.198812070380318</v>
      </c>
      <c r="FH356" s="60" t="n">
        <f aca="false">$P$27/DI356*(ET356-1)-EV356-EU356*(2*DG356/DH356-$P$27/DI356)</f>
        <v>0.198812070380318</v>
      </c>
      <c r="FI356" s="60" t="n">
        <f aca="false">DK356/ET356&gt;$C$22</f>
        <v>0</v>
      </c>
      <c r="FJ356" s="60" t="n">
        <f aca="false">$E$28*SUMPRODUCT($E$31:$P$31,CJ356:CU356,$E$28:$P$28)</f>
        <v>0.184416866619846</v>
      </c>
      <c r="FK356" s="60" t="n">
        <f aca="false">$F$28*SUMPRODUCT($E$32:$P$32,CJ356:CU356,$E$28:$P$28)</f>
        <v>0</v>
      </c>
      <c r="FL356" s="60" t="n">
        <f aca="false">$G$28*SUMPRODUCT($E$33:$P$33,CJ356:CU356,$E$28:$P$28)</f>
        <v>0</v>
      </c>
      <c r="FM356" s="60" t="n">
        <f aca="false">$H$28*SUMPRODUCT($E$34:$P$34,CJ356:CU356,$E$28:$P$28)</f>
        <v>0</v>
      </c>
      <c r="FN356" s="60" t="n">
        <f aca="false">$I$28*SUMPRODUCT($E$35:$P$35,CJ356:CU356,$E$28:$P$28)</f>
        <v>0</v>
      </c>
      <c r="FO356" s="60" t="n">
        <f aca="false">$J$28*SUMPRODUCT($E$36:$P$36,CJ356:CU356,$E$28:$P$28)</f>
        <v>0</v>
      </c>
      <c r="FP356" s="60" t="n">
        <f aca="false">$K$28*SUMPRODUCT($E$37:$P$37,CJ356:CU356,$E$28:$P$28)</f>
        <v>0</v>
      </c>
      <c r="FQ356" s="60" t="n">
        <f aca="false">$L$28*SUMPRODUCT($E$38:$P$38,CJ356:CU356,$E$28:$P$28)</f>
        <v>0</v>
      </c>
      <c r="FR356" s="60" t="n">
        <f aca="false">$M$28*SUMPRODUCT($E$39:$P$39,CJ356:CU356,$E$28:$P$28)</f>
        <v>0</v>
      </c>
      <c r="FS356" s="60" t="n">
        <f aca="false">$N$28*SUMPRODUCT($E$40:$P$40,CJ356:CU356,$E$28:$P$28)</f>
        <v>0</v>
      </c>
      <c r="FT356" s="60" t="n">
        <f aca="false">$O$28*SUMPRODUCT($E$41:$P$41,CJ356:CU356,$E$28:$P$28)</f>
        <v>0</v>
      </c>
      <c r="FU356" s="60" t="n">
        <f aca="false">$P$28*SUMPRODUCT($E$42:$P$42,CJ356:CU356,$E$28:$P$28)</f>
        <v>0</v>
      </c>
      <c r="FV356" s="60" t="n">
        <f aca="false">SUMPRODUCT(CJ356:CU356,FJ356:FU356)</f>
        <v>0.184416866619846</v>
      </c>
      <c r="FW356" s="60" t="n">
        <f aca="false">SUMPRODUCT(CJ356:CU356,$E$27:$P$27)</f>
        <v>2.67389635063809E-005</v>
      </c>
      <c r="FX356" s="60" t="n">
        <f aca="false">FV356*$C$9/($C$10*$C$8)^2</f>
        <v>0.21776909410545</v>
      </c>
      <c r="FY356" s="60" t="n">
        <f aca="false">FW356*$C$9/($C$10*$C$8)</f>
        <v>0.0918845243259994</v>
      </c>
      <c r="FZ356" s="60" t="n">
        <f aca="false">CHOOSE($C$7,-(1+FY356),-1,-(1-FY356))</f>
        <v>-0.908115475674001</v>
      </c>
      <c r="GA356" s="60" t="n">
        <f aca="false">CHOOSE($C$7,FX356,FX356-FY356-FY356^2,FX356-3*FY356^2-2*FY356)</f>
        <v>0.00867174802160559</v>
      </c>
      <c r="GB356" s="60" t="n">
        <f aca="false">CHOOSE($C$7,-FX356*FY356,-FX356*FY356,-(FX356*FY356-FY356^2-FY356^3))</f>
        <v>-0.0107910842936637</v>
      </c>
      <c r="GC356" s="60" t="n">
        <f aca="false">GA356-FZ356^2/3</f>
        <v>-0.266219491031267</v>
      </c>
      <c r="GD356" s="60" t="n">
        <f aca="false">2*FZ356^3/27-FZ356*GA356/3+GB356</f>
        <v>-0.0636400988362784</v>
      </c>
      <c r="GE356" s="60" t="n">
        <f aca="false">GD356^2/4+GC356^3/27</f>
        <v>0.000313710901361829</v>
      </c>
      <c r="GF356" s="60" t="n">
        <f aca="false">-GD356/2-IF(GD356&gt;=0,1,-1)*SQRT(MAX(GE356,0))</f>
        <v>0.0495319352963236</v>
      </c>
      <c r="GG356" s="60" t="n">
        <f aca="false">SIGN(GF356)*ABS(GF356)^(1/3)</f>
        <v>0.367249967174439</v>
      </c>
      <c r="GH356" s="60" t="n">
        <f aca="false">IF(GG356=0,0,GG356-GC356/(3*GG356))</f>
        <v>0.60888329127384</v>
      </c>
      <c r="GI356" s="60" t="n">
        <f aca="false">2*SQRT(MAX(-GC356,0)/3)</f>
        <v>0.595784626668918</v>
      </c>
      <c r="GJ356" s="60" t="n">
        <f aca="false">ACOS(IF(GI356=0,0,MAX(-1,MIN(1,3*GD356/(GC356*GI356)))))</f>
        <v>0</v>
      </c>
      <c r="GK356" s="60" t="n">
        <f aca="false">GI356*COS(GJ356/3)</f>
        <v>0.595784626668918</v>
      </c>
      <c r="GL356" s="60" t="n">
        <f aca="false">IF(GE356&lt;0,GK356,GH356)-FZ356/3</f>
        <v>0.91158844983184</v>
      </c>
      <c r="GM356" s="60" t="n">
        <f aca="false">IFERROR((((GL356+FZ356)*GL356+GA356)*GL356+GB356)/((3*GL356+2*FZ356)*GL356+GA356),0)</f>
        <v>0</v>
      </c>
      <c r="GN356" s="60" t="n">
        <f aca="false">IF(ABS(GM356)&lt;0.1*ABS(GL356),GL356-GM356,GL356)</f>
        <v>0.91158844983184</v>
      </c>
      <c r="GO356" s="60" t="n">
        <f aca="false">IFERROR((((GN356+FZ356)*GN356+GA356)*GN356+GB356)/((3*GN356+2*FZ356)*GN356+GA356),0)</f>
        <v>0</v>
      </c>
      <c r="GP356" s="60" t="n">
        <f aca="false">IF(ABS(GO356)&lt;0.1*ABS(GN356),GN356-GO356,GN356)</f>
        <v>0.91158844983184</v>
      </c>
      <c r="GQ356" s="60" t="n">
        <f aca="false">-GB356/GP356</f>
        <v>0.0118376711504565</v>
      </c>
      <c r="GR356" s="60" t="n">
        <f aca="false">(GA356-GQ356)/GP356</f>
        <v>-0.00347297415783941</v>
      </c>
      <c r="GS356" s="60" t="n">
        <f aca="false">GR356^2-4*GQ356</f>
        <v>-0.0473386230523248</v>
      </c>
      <c r="GT356" s="60" t="n">
        <f aca="false">IF(GS356&gt;=0,(GR356+IF(GR356&gt;=0,1,-1)*SQRT(GS356))/2,0)</f>
        <v>0</v>
      </c>
      <c r="GU356" s="60" t="n">
        <f aca="false">IF(AND(GS356&gt;=0,GT356&lt;&gt;0),MIN(GT356,GQ356/GT356),-1)</f>
        <v>-1</v>
      </c>
      <c r="GV356" s="60" t="n">
        <f aca="false">AND(GS356&gt;=0,GU356&gt;FY356,ABS(GP356-GU356)&gt;=0.00005*MAX(GP356,GU356))</f>
        <v>0</v>
      </c>
      <c r="GW356" s="60" t="n">
        <f aca="false">IF(GV356,IFERROR((((GU356+FZ356)*GU356+GA356)*GU356+GB356)/((3*GU356+2*FZ356)*GU356+GA356),0),0)</f>
        <v>0</v>
      </c>
      <c r="GX356" s="60" t="n">
        <f aca="false">IF(ABS(GW356)&lt;0.1*ABS(GU356),GU356-GW356,GU356)</f>
        <v>-1</v>
      </c>
      <c r="GY356" s="60" t="n">
        <f aca="false">IF(GV356,IFERROR((((GX356+FZ356)*GX356+GA356)*GX356+GB356)/((3*GX356+2*FZ356)*GX356+GA356),0),0)</f>
        <v>0</v>
      </c>
      <c r="GZ356" s="60" t="n">
        <f aca="false">IF(ABS(GY356)&lt;0.1*ABS(GX356),GX356-GY356,GX356)</f>
        <v>-1</v>
      </c>
      <c r="HA356" s="60" t="n">
        <f aca="false">IF(GV356,MAX(GP356,GZ356),GP356)</f>
        <v>0.91158844983184</v>
      </c>
      <c r="HB356" s="60" t="n">
        <f aca="false">IF(GV356,MIN(GP356,GZ356),-1)</f>
        <v>-1</v>
      </c>
      <c r="HC356" s="60" t="n">
        <f aca="false">CHOOSE($C$7,FX356/HA356,FX356/FY356*LN(1+FY356/HA356),FX356/(2*SQRT(2)*FY356)*LN((HA356+(1+SQRT(2))*FY356)/(HA356+(1-SQRT(2))*FY356)))</f>
        <v>0.218240791233887</v>
      </c>
      <c r="HD356" s="60" t="n">
        <f aca="false">HA356-1-LN(HA356-FY356)-HC356</f>
        <v>-0.107840271021729</v>
      </c>
      <c r="HE356" s="60" t="n">
        <f aca="false">IF(GV356,CHOOSE($C$7,FX356/HB356,FX356/FY356*LN(1+FY356/HB356),FX356/(2*SQRT(2)*FY356)*LN((HB356+(1+SQRT(2))*FY356)/(HB356+(1-SQRT(2))*FY356))),0)</f>
        <v>0</v>
      </c>
      <c r="HF356" s="60" t="n">
        <f aca="false">IF(GV356,HB356-1-LN(HB356-FY356)-HE356,0)</f>
        <v>0</v>
      </c>
      <c r="HG356" s="60" t="n">
        <f aca="false">AND(GV356,HF356&lt;HD356)</f>
        <v>0</v>
      </c>
      <c r="HH356" s="60" t="n">
        <f aca="false">IF(HG356,HB356,HA356)</f>
        <v>0.91158844983184</v>
      </c>
      <c r="HI356" s="60" t="n">
        <f aca="false">IF(HG356,HE356,HC356)</f>
        <v>0.218240791233887</v>
      </c>
      <c r="HJ356" s="60" t="n">
        <f aca="false">LN(HH356-FY356)</f>
        <v>-0.198812070380318</v>
      </c>
      <c r="HK356" s="60" t="n">
        <f aca="false">$E$27/FW356*(HH356-1)-HJ356-HI356*(2*FJ356/FV356-$E$27/FW356)</f>
        <v>-0.107840271021729</v>
      </c>
      <c r="HL356" s="60" t="n">
        <f aca="false">$F$27/FW356*(HH356-1)-HJ356-HI356*(2*FK356/FV356-$F$27/FW356)</f>
        <v>0.198812070380318</v>
      </c>
      <c r="HM356" s="60" t="n">
        <f aca="false">$G$27/FW356*(HH356-1)-HJ356-HI356*(2*FL356/FV356-$G$27/FW356)</f>
        <v>0.198812070380318</v>
      </c>
      <c r="HN356" s="60" t="n">
        <f aca="false">$H$27/FW356*(HH356-1)-HJ356-HI356*(2*FM356/FV356-$H$27/FW356)</f>
        <v>0.198812070380318</v>
      </c>
      <c r="HO356" s="60" t="n">
        <f aca="false">$I$27/FW356*(HH356-1)-HJ356-HI356*(2*FN356/FV356-$I$27/FW356)</f>
        <v>0.198812070380318</v>
      </c>
      <c r="HP356" s="60" t="n">
        <f aca="false">$J$27/FW356*(HH356-1)-HJ356-HI356*(2*FO356/FV356-$J$27/FW356)</f>
        <v>0.198812070380318</v>
      </c>
      <c r="HQ356" s="60" t="n">
        <f aca="false">$K$27/FW356*(HH356-1)-HJ356-HI356*(2*FP356/FV356-$K$27/FW356)</f>
        <v>0.198812070380318</v>
      </c>
      <c r="HR356" s="60" t="n">
        <f aca="false">$L$27/FW356*(HH356-1)-HJ356-HI356*(2*FQ356/FV356-$L$27/FW356)</f>
        <v>0.198812070380318</v>
      </c>
      <c r="HS356" s="60" t="n">
        <f aca="false">$M$27/FW356*(HH356-1)-HJ356-HI356*(2*FR356/FV356-$M$27/FW356)</f>
        <v>0.198812070380318</v>
      </c>
      <c r="HT356" s="60" t="n">
        <f aca="false">$N$27/FW356*(HH356-1)-HJ356-HI356*(2*FS356/FV356-$N$27/FW356)</f>
        <v>0.198812070380318</v>
      </c>
      <c r="HU356" s="60" t="n">
        <f aca="false">$O$27/FW356*(HH356-1)-HJ356-HI356*(2*FT356/FV356-$O$27/FW356)</f>
        <v>0.198812070380318</v>
      </c>
      <c r="HV356" s="60" t="n">
        <f aca="false">$P$27/FW356*(HH356-1)-HJ356-HI356*(2*FU356/FV356-$P$27/FW356)</f>
        <v>0.198812070380318</v>
      </c>
      <c r="HW356" s="60" t="n">
        <f aca="false">FY356/HH356&gt;$C$22</f>
        <v>0</v>
      </c>
      <c r="HX356" s="60" t="n">
        <f aca="false">IF($E$13&gt;0,MAX(-300,MIN(300,EW356-HK356)),0)</f>
        <v>0</v>
      </c>
      <c r="HY356" s="60" t="n">
        <f aca="false">IF($F$13&gt;0,MAX(-300,MIN(300,EX356-HL356)),0)</f>
        <v>0</v>
      </c>
      <c r="HZ356" s="60" t="n">
        <f aca="false">IF($G$13&gt;0,MAX(-300,MIN(300,EY356-HM356)),0)</f>
        <v>0</v>
      </c>
      <c r="IA356" s="60" t="n">
        <f aca="false">IF($H$13&gt;0,MAX(-300,MIN(300,EZ356-HN356)),0)</f>
        <v>0</v>
      </c>
      <c r="IB356" s="60" t="n">
        <f aca="false">IF($I$13&gt;0,MAX(-300,MIN(300,FA356-HO356)),0)</f>
        <v>0</v>
      </c>
      <c r="IC356" s="60" t="n">
        <f aca="false">IF($J$13&gt;0,MAX(-300,MIN(300,FB356-HP356)),0)</f>
        <v>0</v>
      </c>
      <c r="ID356" s="60" t="n">
        <f aca="false">IF($K$13&gt;0,MAX(-300,MIN(300,FC356-HQ356)),0)</f>
        <v>0</v>
      </c>
      <c r="IE356" s="60" t="n">
        <f aca="false">IF($L$13&gt;0,MAX(-300,MIN(300,FD356-HR356)),0)</f>
        <v>0</v>
      </c>
      <c r="IF356" s="60" t="n">
        <f aca="false">IF($M$13&gt;0,MAX(-300,MIN(300,FE356-HS356)),0)</f>
        <v>0</v>
      </c>
      <c r="IG356" s="60" t="n">
        <f aca="false">IF($N$13&gt;0,MAX(-300,MIN(300,FF356-HT356)),0)</f>
        <v>0</v>
      </c>
      <c r="IH356" s="60" t="n">
        <f aca="false">IF($O$13&gt;0,MAX(-300,MIN(300,FG356-HU356)),0)</f>
        <v>0</v>
      </c>
      <c r="II356" s="60" t="n">
        <f aca="false">IF($P$13&gt;0,MAX(-300,MIN(300,FH356-HV356)),0)</f>
        <v>0</v>
      </c>
      <c r="IJ356" s="60" t="n">
        <f aca="false">SUMXMY2(HX356:II356,B356:M356)</f>
        <v>0</v>
      </c>
      <c r="IK356" s="60" t="n">
        <f aca="false">SUMSQ(B356:M356)</f>
        <v>0</v>
      </c>
    </row>
    <row r="357" customFormat="false" ht="15" hidden="false" customHeight="false" outlineLevel="0" collapsed="false">
      <c r="A357" s="59" t="n">
        <v>60</v>
      </c>
      <c r="B357" s="60" t="n">
        <f aca="false">HX356</f>
        <v>0</v>
      </c>
      <c r="C357" s="60" t="n">
        <f aca="false">HY356</f>
        <v>0</v>
      </c>
      <c r="D357" s="60" t="n">
        <f aca="false">HZ356</f>
        <v>0</v>
      </c>
      <c r="E357" s="60" t="n">
        <f aca="false">IA356</f>
        <v>0</v>
      </c>
      <c r="F357" s="60" t="n">
        <f aca="false">IB356</f>
        <v>0</v>
      </c>
      <c r="G357" s="60" t="n">
        <f aca="false">IC356</f>
        <v>0</v>
      </c>
      <c r="H357" s="60" t="n">
        <f aca="false">ID356</f>
        <v>0</v>
      </c>
      <c r="I357" s="60" t="n">
        <f aca="false">IE356</f>
        <v>0</v>
      </c>
      <c r="J357" s="60" t="n">
        <f aca="false">IF356</f>
        <v>0</v>
      </c>
      <c r="K357" s="60" t="n">
        <f aca="false">IG356</f>
        <v>0</v>
      </c>
      <c r="L357" s="60" t="n">
        <f aca="false">IH356</f>
        <v>0</v>
      </c>
      <c r="M357" s="60" t="n">
        <f aca="false">II356</f>
        <v>0</v>
      </c>
      <c r="N357" s="60" t="n">
        <f aca="false">EXP(B357)</f>
        <v>1</v>
      </c>
      <c r="O357" s="60" t="n">
        <f aca="false">EXP(C357)</f>
        <v>1</v>
      </c>
      <c r="P357" s="60" t="n">
        <f aca="false">EXP(D357)</f>
        <v>1</v>
      </c>
      <c r="Q357" s="60" t="n">
        <f aca="false">EXP(E357)</f>
        <v>1</v>
      </c>
      <c r="R357" s="60" t="n">
        <f aca="false">EXP(F357)</f>
        <v>1</v>
      </c>
      <c r="S357" s="60" t="n">
        <f aca="false">EXP(G357)</f>
        <v>1</v>
      </c>
      <c r="T357" s="60" t="n">
        <f aca="false">EXP(H357)</f>
        <v>1</v>
      </c>
      <c r="U357" s="60" t="n">
        <f aca="false">EXP(I357)</f>
        <v>1</v>
      </c>
      <c r="V357" s="60" t="n">
        <f aca="false">EXP(J357)</f>
        <v>1</v>
      </c>
      <c r="W357" s="60" t="n">
        <f aca="false">EXP(K357)</f>
        <v>1</v>
      </c>
      <c r="X357" s="60" t="n">
        <f aca="false">EXP(L357)</f>
        <v>1</v>
      </c>
      <c r="Y357" s="60" t="n">
        <f aca="false">EXP(M357)</f>
        <v>1</v>
      </c>
      <c r="Z357" s="60" t="n">
        <f aca="false">MAX(N357:Y357)</f>
        <v>1</v>
      </c>
      <c r="AA357" s="60" t="n">
        <f aca="false">MIN(N357:Y357)</f>
        <v>1</v>
      </c>
      <c r="AB357" s="60" t="n">
        <f aca="false">AND(Z357&gt;1,AA357&lt;1)</f>
        <v>0</v>
      </c>
      <c r="AC357" s="60" t="n">
        <f aca="false">IF(AB357,1/(1-Z357),0)</f>
        <v>0</v>
      </c>
      <c r="AD357" s="60" t="n">
        <f aca="false">IF(AB357,1/(1-AA357),1)</f>
        <v>1</v>
      </c>
      <c r="AE357" s="60" t="n">
        <f aca="false">IF(AB357,MIN(MAX(BI356,AC357+0.000000001*(AD357-AC357)),AD357-0.000000001*(AD357-AC357)),IF(AA357&gt;=1,1,0))</f>
        <v>1</v>
      </c>
      <c r="AF357" s="60" t="n">
        <f aca="false">SUMPRODUCT($E$13:$P$13*(N357:Y357-1)/(1+AE357*(N357:Y357-1)))</f>
        <v>0</v>
      </c>
      <c r="AG357" s="60" t="n">
        <f aca="false">-SUMPRODUCT($E$13:$P$13*(N357:Y357-1)^2/(1+AE357*(N357:Y357-1))^2)</f>
        <v>-0</v>
      </c>
      <c r="AH357" s="60" t="n">
        <f aca="false">IF(OR(NOT(AB357),AG357=0),AE357,IF(AE357-AF357/AG357&lt;=AC357,(AE357+AC357)/2,IF(AE357-AF357/AG357&gt;=AD357,(AE357+AD357)/2,AE357-AF357/AG357)))</f>
        <v>1</v>
      </c>
      <c r="AI357" s="60" t="n">
        <f aca="false">SUMPRODUCT($E$13:$P$13*(N357:Y357-1)/(1+AH357*(N357:Y357-1)))</f>
        <v>0</v>
      </c>
      <c r="AJ357" s="60" t="n">
        <f aca="false">-SUMPRODUCT($E$13:$P$13*(N357:Y357-1)^2/(1+AH357*(N357:Y357-1))^2)</f>
        <v>-0</v>
      </c>
      <c r="AK357" s="60" t="n">
        <f aca="false">IF(OR(NOT(AB357),AJ357=0),AH357,IF(AH357-AI357/AJ357&lt;=AC357,(AH357+AC357)/2,IF(AH357-AI357/AJ357&gt;=AD357,(AH357+AD357)/2,AH357-AI357/AJ357)))</f>
        <v>1</v>
      </c>
      <c r="AL357" s="60" t="n">
        <f aca="false">SUMPRODUCT($E$13:$P$13*(N357:Y357-1)/(1+AK357*(N357:Y357-1)))</f>
        <v>0</v>
      </c>
      <c r="AM357" s="60" t="n">
        <f aca="false">-SUMPRODUCT($E$13:$P$13*(N357:Y357-1)^2/(1+AK357*(N357:Y357-1))^2)</f>
        <v>-0</v>
      </c>
      <c r="AN357" s="60" t="n">
        <f aca="false">IF(OR(NOT(AB357),AM357=0),AK357,IF(AK357-AL357/AM357&lt;=AC357,(AK357+AC357)/2,IF(AK357-AL357/AM357&gt;=AD357,(AK357+AD357)/2,AK357-AL357/AM357)))</f>
        <v>1</v>
      </c>
      <c r="AO357" s="60" t="n">
        <f aca="false">SUMPRODUCT($E$13:$P$13*(N357:Y357-1)/(1+AN357*(N357:Y357-1)))</f>
        <v>0</v>
      </c>
      <c r="AP357" s="60" t="n">
        <f aca="false">-SUMPRODUCT($E$13:$P$13*(N357:Y357-1)^2/(1+AN357*(N357:Y357-1))^2)</f>
        <v>-0</v>
      </c>
      <c r="AQ357" s="60" t="n">
        <f aca="false">IF(OR(NOT(AB357),AP357=0),AN357,IF(AN357-AO357/AP357&lt;=AC357,(AN357+AC357)/2,IF(AN357-AO357/AP357&gt;=AD357,(AN357+AD357)/2,AN357-AO357/AP357)))</f>
        <v>1</v>
      </c>
      <c r="AR357" s="60" t="n">
        <f aca="false">SUMPRODUCT($E$13:$P$13*(N357:Y357-1)/(1+AQ357*(N357:Y357-1)))</f>
        <v>0</v>
      </c>
      <c r="AS357" s="60" t="n">
        <f aca="false">-SUMPRODUCT($E$13:$P$13*(N357:Y357-1)^2/(1+AQ357*(N357:Y357-1))^2)</f>
        <v>-0</v>
      </c>
      <c r="AT357" s="60" t="n">
        <f aca="false">IF(OR(NOT(AB357),AS357=0),AQ357,IF(AQ357-AR357/AS357&lt;=AC357,(AQ357+AC357)/2,IF(AQ357-AR357/AS357&gt;=AD357,(AQ357+AD357)/2,AQ357-AR357/AS357)))</f>
        <v>1</v>
      </c>
      <c r="AU357" s="60" t="n">
        <f aca="false">SUMPRODUCT($E$13:$P$13*(N357:Y357-1)/(1+AT357*(N357:Y357-1)))</f>
        <v>0</v>
      </c>
      <c r="AV357" s="60" t="n">
        <f aca="false">-SUMPRODUCT($E$13:$P$13*(N357:Y357-1)^2/(1+AT357*(N357:Y357-1))^2)</f>
        <v>-0</v>
      </c>
      <c r="AW357" s="60" t="n">
        <f aca="false">IF(OR(NOT(AB357),AV357=0),AT357,IF(AT357-AU357/AV357&lt;=AC357,(AT357+AC357)/2,IF(AT357-AU357/AV357&gt;=AD357,(AT357+AD357)/2,AT357-AU357/AV357)))</f>
        <v>1</v>
      </c>
      <c r="AX357" s="60" t="n">
        <f aca="false">SUMPRODUCT($E$13:$P$13*(N357:Y357-1)/(1+AW357*(N357:Y357-1)))</f>
        <v>0</v>
      </c>
      <c r="AY357" s="60" t="n">
        <f aca="false">-SUMPRODUCT($E$13:$P$13*(N357:Y357-1)^2/(1+AW357*(N357:Y357-1))^2)</f>
        <v>-0</v>
      </c>
      <c r="AZ357" s="60" t="n">
        <f aca="false">IF(OR(NOT(AB357),AY357=0),AW357,IF(AW357-AX357/AY357&lt;=AC357,(AW357+AC357)/2,IF(AW357-AX357/AY357&gt;=AD357,(AW357+AD357)/2,AW357-AX357/AY357)))</f>
        <v>1</v>
      </c>
      <c r="BA357" s="60" t="n">
        <f aca="false">SUMPRODUCT($E$13:$P$13*(N357:Y357-1)/(1+AZ357*(N357:Y357-1)))</f>
        <v>0</v>
      </c>
      <c r="BB357" s="60" t="n">
        <f aca="false">-SUMPRODUCT($E$13:$P$13*(N357:Y357-1)^2/(1+AZ357*(N357:Y357-1))^2)</f>
        <v>-0</v>
      </c>
      <c r="BC357" s="60" t="n">
        <f aca="false">IF(OR(NOT(AB357),BB357=0),AZ357,IF(AZ357-BA357/BB357&lt;=AC357,(AZ357+AC357)/2,IF(AZ357-BA357/BB357&gt;=AD357,(AZ357+AD357)/2,AZ357-BA357/BB357)))</f>
        <v>1</v>
      </c>
      <c r="BD357" s="60" t="n">
        <f aca="false">SUMPRODUCT($E$13:$P$13*(N357:Y357-1)/(1+BC357*(N357:Y357-1)))</f>
        <v>0</v>
      </c>
      <c r="BE357" s="60" t="n">
        <f aca="false">-SUMPRODUCT($E$13:$P$13*(N357:Y357-1)^2/(1+BC357*(N357:Y357-1))^2)</f>
        <v>-0</v>
      </c>
      <c r="BF357" s="60" t="n">
        <f aca="false">IF(OR(NOT(AB357),BE357=0),BC357,IF(BC357-BD357/BE357&lt;=AC357,(BC357+AC357)/2,IF(BC357-BD357/BE357&gt;=AD357,(BC357+AD357)/2,BC357-BD357/BE357)))</f>
        <v>1</v>
      </c>
      <c r="BG357" s="60" t="n">
        <f aca="false">SUMPRODUCT($E$13:$P$13*(N357:Y357-1)/(1+BF357*(N357:Y357-1)))</f>
        <v>0</v>
      </c>
      <c r="BH357" s="60" t="n">
        <f aca="false">-SUMPRODUCT($E$13:$P$13*(N357:Y357-1)^2/(1+BF357*(N357:Y357-1))^2)</f>
        <v>-0</v>
      </c>
      <c r="BI357" s="61" t="n">
        <f aca="false">IF(OR(NOT(AB357),BH357=0),BF357,IF(BF357-BG357/BH357&lt;=AC357,(BF357+AC357)/2,IF(BF357-BG357/BH357&gt;=AD357,(BF357+AD357)/2,BF357-BG357/BH357)))</f>
        <v>1</v>
      </c>
      <c r="BJ357" s="60" t="n">
        <f aca="false">$E$13/(1+BI357*(N357-1))</f>
        <v>1</v>
      </c>
      <c r="BK357" s="60" t="n">
        <f aca="false">$F$13/(1+BI357*(O357-1))</f>
        <v>0</v>
      </c>
      <c r="BL357" s="60" t="n">
        <f aca="false">$G$13/(1+BI357*(P357-1))</f>
        <v>0</v>
      </c>
      <c r="BM357" s="60" t="n">
        <f aca="false">$H$13/(1+BI357*(Q357-1))</f>
        <v>0</v>
      </c>
      <c r="BN357" s="60" t="n">
        <f aca="false">$I$13/(1+BI357*(R357-1))</f>
        <v>0</v>
      </c>
      <c r="BO357" s="60" t="n">
        <f aca="false">$J$13/(1+BI357*(S357-1))</f>
        <v>0</v>
      </c>
      <c r="BP357" s="60" t="n">
        <f aca="false">$K$13/(1+BI357*(T357-1))</f>
        <v>0</v>
      </c>
      <c r="BQ357" s="60" t="n">
        <f aca="false">$L$13/(1+BI357*(U357-1))</f>
        <v>0</v>
      </c>
      <c r="BR357" s="60" t="n">
        <f aca="false">$M$13/(1+BI357*(V357-1))</f>
        <v>0</v>
      </c>
      <c r="BS357" s="60" t="n">
        <f aca="false">$N$13/(1+BI357*(W357-1))</f>
        <v>0</v>
      </c>
      <c r="BT357" s="60" t="n">
        <f aca="false">$O$13/(1+BI357*(X357-1))</f>
        <v>0</v>
      </c>
      <c r="BU357" s="60" t="n">
        <f aca="false">$P$13/(1+BI357*(Y357-1))</f>
        <v>0</v>
      </c>
      <c r="BV357" s="60" t="n">
        <f aca="false">SUM(BJ357:BU357)</f>
        <v>1</v>
      </c>
      <c r="BW357" s="60" t="n">
        <f aca="false">SUMPRODUCT(N357:Y357,BJ357:BU357)</f>
        <v>1</v>
      </c>
      <c r="BX357" s="60" t="n">
        <f aca="false">BJ357/BV357</f>
        <v>1</v>
      </c>
      <c r="BY357" s="60" t="n">
        <f aca="false">BK357/BV357</f>
        <v>0</v>
      </c>
      <c r="BZ357" s="60" t="n">
        <f aca="false">BL357/BV357</f>
        <v>0</v>
      </c>
      <c r="CA357" s="60" t="n">
        <f aca="false">BM357/BV357</f>
        <v>0</v>
      </c>
      <c r="CB357" s="60" t="n">
        <f aca="false">BN357/BV357</f>
        <v>0</v>
      </c>
      <c r="CC357" s="60" t="n">
        <f aca="false">BO357/BV357</f>
        <v>0</v>
      </c>
      <c r="CD357" s="60" t="n">
        <f aca="false">BP357/BV357</f>
        <v>0</v>
      </c>
      <c r="CE357" s="60" t="n">
        <f aca="false">BQ357/BV357</f>
        <v>0</v>
      </c>
      <c r="CF357" s="60" t="n">
        <f aca="false">BR357/BV357</f>
        <v>0</v>
      </c>
      <c r="CG357" s="60" t="n">
        <f aca="false">BS357/BV357</f>
        <v>0</v>
      </c>
      <c r="CH357" s="60" t="n">
        <f aca="false">BT357/BV357</f>
        <v>0</v>
      </c>
      <c r="CI357" s="60" t="n">
        <f aca="false">BU357/BV357</f>
        <v>0</v>
      </c>
      <c r="CJ357" s="60" t="n">
        <f aca="false">N357*BJ357/BW357</f>
        <v>1</v>
      </c>
      <c r="CK357" s="60" t="n">
        <f aca="false">O357*BK357/BW357</f>
        <v>0</v>
      </c>
      <c r="CL357" s="60" t="n">
        <f aca="false">P357*BL357/BW357</f>
        <v>0</v>
      </c>
      <c r="CM357" s="60" t="n">
        <f aca="false">Q357*BM357/BW357</f>
        <v>0</v>
      </c>
      <c r="CN357" s="60" t="n">
        <f aca="false">R357*BN357/BW357</f>
        <v>0</v>
      </c>
      <c r="CO357" s="60" t="n">
        <f aca="false">S357*BO357/BW357</f>
        <v>0</v>
      </c>
      <c r="CP357" s="60" t="n">
        <f aca="false">T357*BP357/BW357</f>
        <v>0</v>
      </c>
      <c r="CQ357" s="60" t="n">
        <f aca="false">U357*BQ357/BW357</f>
        <v>0</v>
      </c>
      <c r="CR357" s="60" t="n">
        <f aca="false">V357*BR357/BW357</f>
        <v>0</v>
      </c>
      <c r="CS357" s="60" t="n">
        <f aca="false">W357*BS357/BW357</f>
        <v>0</v>
      </c>
      <c r="CT357" s="60" t="n">
        <f aca="false">X357*BT357/BW357</f>
        <v>0</v>
      </c>
      <c r="CU357" s="60" t="n">
        <f aca="false">Y357*BU357/BW357</f>
        <v>0</v>
      </c>
      <c r="CV357" s="60" t="n">
        <f aca="false">$E$28*SUMPRODUCT($E$31:$P$31,BX357:CI357,$E$28:$P$28)</f>
        <v>0.184416866619846</v>
      </c>
      <c r="CW357" s="60" t="n">
        <f aca="false">$F$28*SUMPRODUCT($E$32:$P$32,BX357:CI357,$E$28:$P$28)</f>
        <v>0</v>
      </c>
      <c r="CX357" s="60" t="n">
        <f aca="false">$G$28*SUMPRODUCT($E$33:$P$33,BX357:CI357,$E$28:$P$28)</f>
        <v>0</v>
      </c>
      <c r="CY357" s="60" t="n">
        <f aca="false">$H$28*SUMPRODUCT($E$34:$P$34,BX357:CI357,$E$28:$P$28)</f>
        <v>0</v>
      </c>
      <c r="CZ357" s="60" t="n">
        <f aca="false">$I$28*SUMPRODUCT($E$35:$P$35,BX357:CI357,$E$28:$P$28)</f>
        <v>0</v>
      </c>
      <c r="DA357" s="60" t="n">
        <f aca="false">$J$28*SUMPRODUCT($E$36:$P$36,BX357:CI357,$E$28:$P$28)</f>
        <v>0</v>
      </c>
      <c r="DB357" s="60" t="n">
        <f aca="false">$K$28*SUMPRODUCT($E$37:$P$37,BX357:CI357,$E$28:$P$28)</f>
        <v>0</v>
      </c>
      <c r="DC357" s="60" t="n">
        <f aca="false">$L$28*SUMPRODUCT($E$38:$P$38,BX357:CI357,$E$28:$P$28)</f>
        <v>0</v>
      </c>
      <c r="DD357" s="60" t="n">
        <f aca="false">$M$28*SUMPRODUCT($E$39:$P$39,BX357:CI357,$E$28:$P$28)</f>
        <v>0</v>
      </c>
      <c r="DE357" s="60" t="n">
        <f aca="false">$N$28*SUMPRODUCT($E$40:$P$40,BX357:CI357,$E$28:$P$28)</f>
        <v>0</v>
      </c>
      <c r="DF357" s="60" t="n">
        <f aca="false">$O$28*SUMPRODUCT($E$41:$P$41,BX357:CI357,$E$28:$P$28)</f>
        <v>0</v>
      </c>
      <c r="DG357" s="60" t="n">
        <f aca="false">$P$28*SUMPRODUCT($E$42:$P$42,BX357:CI357,$E$28:$P$28)</f>
        <v>0</v>
      </c>
      <c r="DH357" s="60" t="n">
        <f aca="false">SUMPRODUCT(BX357:CI357,CV357:DG357)</f>
        <v>0.184416866619846</v>
      </c>
      <c r="DI357" s="60" t="n">
        <f aca="false">SUMPRODUCT(BX357:CI357,$E$27:$P$27)</f>
        <v>2.67389635063809E-005</v>
      </c>
      <c r="DJ357" s="60" t="n">
        <f aca="false">DH357*$C$9/($C$10*$C$8)^2</f>
        <v>0.21776909410545</v>
      </c>
      <c r="DK357" s="60" t="n">
        <f aca="false">DI357*$C$9/($C$10*$C$8)</f>
        <v>0.0918845243259994</v>
      </c>
      <c r="DL357" s="60" t="n">
        <f aca="false">CHOOSE($C$7,-(1+DK357),-1,-(1-DK357))</f>
        <v>-0.908115475674001</v>
      </c>
      <c r="DM357" s="60" t="n">
        <f aca="false">CHOOSE($C$7,DJ357,DJ357-DK357-DK357^2,DJ357-3*DK357^2-2*DK357)</f>
        <v>0.00867174802160559</v>
      </c>
      <c r="DN357" s="60" t="n">
        <f aca="false">CHOOSE($C$7,-DJ357*DK357,-DJ357*DK357,-(DJ357*DK357-DK357^2-DK357^3))</f>
        <v>-0.0107910842936637</v>
      </c>
      <c r="DO357" s="60" t="n">
        <f aca="false">DM357-DL357^2/3</f>
        <v>-0.266219491031267</v>
      </c>
      <c r="DP357" s="60" t="n">
        <f aca="false">2*DL357^3/27-DL357*DM357/3+DN357</f>
        <v>-0.0636400988362784</v>
      </c>
      <c r="DQ357" s="60" t="n">
        <f aca="false">DP357^2/4+DO357^3/27</f>
        <v>0.000313710901361829</v>
      </c>
      <c r="DR357" s="60" t="n">
        <f aca="false">-DP357/2-IF(DP357&gt;=0,1,-1)*SQRT(MAX(DQ357,0))</f>
        <v>0.0495319352963236</v>
      </c>
      <c r="DS357" s="60" t="n">
        <f aca="false">SIGN(DR357)*ABS(DR357)^(1/3)</f>
        <v>0.367249967174439</v>
      </c>
      <c r="DT357" s="60" t="n">
        <f aca="false">IF(DS357=0,0,DS357-DO357/(3*DS357))</f>
        <v>0.60888329127384</v>
      </c>
      <c r="DU357" s="60" t="n">
        <f aca="false">2*SQRT(MAX(-DO357,0)/3)</f>
        <v>0.595784626668918</v>
      </c>
      <c r="DV357" s="60" t="n">
        <f aca="false">ACOS(IF(DU357=0,0,MAX(-1,MIN(1,3*DP357/(DO357*DU357)))))</f>
        <v>0</v>
      </c>
      <c r="DW357" s="60" t="n">
        <f aca="false">DU357*COS(DV357/3)</f>
        <v>0.595784626668918</v>
      </c>
      <c r="DX357" s="60" t="n">
        <f aca="false">IF(DQ357&lt;0,DW357,DT357)-DL357/3</f>
        <v>0.91158844983184</v>
      </c>
      <c r="DY357" s="60" t="n">
        <f aca="false">IFERROR((((DX357+DL357)*DX357+DM357)*DX357+DN357)/((3*DX357+2*DL357)*DX357+DM357),0)</f>
        <v>0</v>
      </c>
      <c r="DZ357" s="60" t="n">
        <f aca="false">IF(ABS(DY357)&lt;0.1*ABS(DX357),DX357-DY357,DX357)</f>
        <v>0.91158844983184</v>
      </c>
      <c r="EA357" s="60" t="n">
        <f aca="false">IFERROR((((DZ357+DL357)*DZ357+DM357)*DZ357+DN357)/((3*DZ357+2*DL357)*DZ357+DM357),0)</f>
        <v>0</v>
      </c>
      <c r="EB357" s="60" t="n">
        <f aca="false">IF(ABS(EA357)&lt;0.1*ABS(DZ357),DZ357-EA357,DZ357)</f>
        <v>0.91158844983184</v>
      </c>
      <c r="EC357" s="60" t="n">
        <f aca="false">-DN357/EB357</f>
        <v>0.0118376711504565</v>
      </c>
      <c r="ED357" s="60" t="n">
        <f aca="false">(DM357-EC357)/EB357</f>
        <v>-0.00347297415783941</v>
      </c>
      <c r="EE357" s="60" t="n">
        <f aca="false">ED357^2-4*EC357</f>
        <v>-0.0473386230523248</v>
      </c>
      <c r="EF357" s="60" t="n">
        <f aca="false">IF(EE357&gt;=0,(ED357+IF(ED357&gt;=0,1,-1)*SQRT(EE357))/2,0)</f>
        <v>0</v>
      </c>
      <c r="EG357" s="60" t="n">
        <f aca="false">IF(AND(EE357&gt;=0,EF357&lt;&gt;0),MIN(EF357,EC357/EF357),-1)</f>
        <v>-1</v>
      </c>
      <c r="EH357" s="60" t="n">
        <f aca="false">AND(EE357&gt;=0,EG357&gt;DK357,ABS(EB357-EG357)&gt;=0.00005*MAX(EB357,EG357))</f>
        <v>0</v>
      </c>
      <c r="EI357" s="60" t="n">
        <f aca="false">IF(EH357,IFERROR((((EG357+DL357)*EG357+DM357)*EG357+DN357)/((3*EG357+2*DL357)*EG357+DM357),0),0)</f>
        <v>0</v>
      </c>
      <c r="EJ357" s="60" t="n">
        <f aca="false">IF(ABS(EI357)&lt;0.1*ABS(EG357),EG357-EI357,EG357)</f>
        <v>-1</v>
      </c>
      <c r="EK357" s="60" t="n">
        <f aca="false">IF(EH357,IFERROR((((EJ357+DL357)*EJ357+DM357)*EJ357+DN357)/((3*EJ357+2*DL357)*EJ357+DM357),0),0)</f>
        <v>0</v>
      </c>
      <c r="EL357" s="60" t="n">
        <f aca="false">IF(ABS(EK357)&lt;0.1*ABS(EJ357),EJ357-EK357,EJ357)</f>
        <v>-1</v>
      </c>
      <c r="EM357" s="60" t="n">
        <f aca="false">IF(EH357,MAX(EB357,EL357),EB357)</f>
        <v>0.91158844983184</v>
      </c>
      <c r="EN357" s="60" t="n">
        <f aca="false">IF(EH357,MIN(EB357,EL357),-1)</f>
        <v>-1</v>
      </c>
      <c r="EO357" s="60" t="n">
        <f aca="false">CHOOSE($C$7,DJ357/EM357,DJ357/DK357*LN(1+DK357/EM357),DJ357/(2*SQRT(2)*DK357)*LN((EM357+(1+SQRT(2))*DK357)/(EM357+(1-SQRT(2))*DK357)))</f>
        <v>0.218240791233887</v>
      </c>
      <c r="EP357" s="60" t="n">
        <f aca="false">EM357-1-LN(EM357-DK357)-EO357</f>
        <v>-0.107840271021729</v>
      </c>
      <c r="EQ357" s="60" t="n">
        <f aca="false">IF(EH357,CHOOSE($C$7,DJ357/EN357,DJ357/DK357*LN(1+DK357/EN357),DJ357/(2*SQRT(2)*DK357)*LN((EN357+(1+SQRT(2))*DK357)/(EN357+(1-SQRT(2))*DK357))),0)</f>
        <v>0</v>
      </c>
      <c r="ER357" s="60" t="n">
        <f aca="false">IF(EH357,EN357-1-LN(EN357-DK357)-EQ357,0)</f>
        <v>0</v>
      </c>
      <c r="ES357" s="60" t="n">
        <f aca="false">AND(EH357,ER357&lt;EP357)</f>
        <v>0</v>
      </c>
      <c r="ET357" s="61" t="n">
        <f aca="false">IF(ES357,EN357,EM357)</f>
        <v>0.91158844983184</v>
      </c>
      <c r="EU357" s="60" t="n">
        <f aca="false">IF(ES357,EQ357,EO357)</f>
        <v>0.218240791233887</v>
      </c>
      <c r="EV357" s="60" t="n">
        <f aca="false">LN(ET357-DK357)</f>
        <v>-0.198812070380318</v>
      </c>
      <c r="EW357" s="60" t="n">
        <f aca="false">$E$27/DI357*(ET357-1)-EV357-EU357*(2*CV357/DH357-$E$27/DI357)</f>
        <v>-0.107840271021729</v>
      </c>
      <c r="EX357" s="60" t="n">
        <f aca="false">$F$27/DI357*(ET357-1)-EV357-EU357*(2*CW357/DH357-$F$27/DI357)</f>
        <v>0.198812070380318</v>
      </c>
      <c r="EY357" s="60" t="n">
        <f aca="false">$G$27/DI357*(ET357-1)-EV357-EU357*(2*CX357/DH357-$G$27/DI357)</f>
        <v>0.198812070380318</v>
      </c>
      <c r="EZ357" s="60" t="n">
        <f aca="false">$H$27/DI357*(ET357-1)-EV357-EU357*(2*CY357/DH357-$H$27/DI357)</f>
        <v>0.198812070380318</v>
      </c>
      <c r="FA357" s="60" t="n">
        <f aca="false">$I$27/DI357*(ET357-1)-EV357-EU357*(2*CZ357/DH357-$I$27/DI357)</f>
        <v>0.198812070380318</v>
      </c>
      <c r="FB357" s="60" t="n">
        <f aca="false">$J$27/DI357*(ET357-1)-EV357-EU357*(2*DA357/DH357-$J$27/DI357)</f>
        <v>0.198812070380318</v>
      </c>
      <c r="FC357" s="60" t="n">
        <f aca="false">$K$27/DI357*(ET357-1)-EV357-EU357*(2*DB357/DH357-$K$27/DI357)</f>
        <v>0.198812070380318</v>
      </c>
      <c r="FD357" s="60" t="n">
        <f aca="false">$L$27/DI357*(ET357-1)-EV357-EU357*(2*DC357/DH357-$L$27/DI357)</f>
        <v>0.198812070380318</v>
      </c>
      <c r="FE357" s="60" t="n">
        <f aca="false">$M$27/DI357*(ET357-1)-EV357-EU357*(2*DD357/DH357-$M$27/DI357)</f>
        <v>0.198812070380318</v>
      </c>
      <c r="FF357" s="60" t="n">
        <f aca="false">$N$27/DI357*(ET357-1)-EV357-EU357*(2*DE357/DH357-$N$27/DI357)</f>
        <v>0.198812070380318</v>
      </c>
      <c r="FG357" s="60" t="n">
        <f aca="false">$O$27/DI357*(ET357-1)-EV357-EU357*(2*DF357/DH357-$O$27/DI357)</f>
        <v>0.198812070380318</v>
      </c>
      <c r="FH357" s="60" t="n">
        <f aca="false">$P$27/DI357*(ET357-1)-EV357-EU357*(2*DG357/DH357-$P$27/DI357)</f>
        <v>0.198812070380318</v>
      </c>
      <c r="FI357" s="60" t="n">
        <f aca="false">DK357/ET357&gt;$C$22</f>
        <v>0</v>
      </c>
      <c r="FJ357" s="60" t="n">
        <f aca="false">$E$28*SUMPRODUCT($E$31:$P$31,CJ357:CU357,$E$28:$P$28)</f>
        <v>0.184416866619846</v>
      </c>
      <c r="FK357" s="60" t="n">
        <f aca="false">$F$28*SUMPRODUCT($E$32:$P$32,CJ357:CU357,$E$28:$P$28)</f>
        <v>0</v>
      </c>
      <c r="FL357" s="60" t="n">
        <f aca="false">$G$28*SUMPRODUCT($E$33:$P$33,CJ357:CU357,$E$28:$P$28)</f>
        <v>0</v>
      </c>
      <c r="FM357" s="60" t="n">
        <f aca="false">$H$28*SUMPRODUCT($E$34:$P$34,CJ357:CU357,$E$28:$P$28)</f>
        <v>0</v>
      </c>
      <c r="FN357" s="60" t="n">
        <f aca="false">$I$28*SUMPRODUCT($E$35:$P$35,CJ357:CU357,$E$28:$P$28)</f>
        <v>0</v>
      </c>
      <c r="FO357" s="60" t="n">
        <f aca="false">$J$28*SUMPRODUCT($E$36:$P$36,CJ357:CU357,$E$28:$P$28)</f>
        <v>0</v>
      </c>
      <c r="FP357" s="60" t="n">
        <f aca="false">$K$28*SUMPRODUCT($E$37:$P$37,CJ357:CU357,$E$28:$P$28)</f>
        <v>0</v>
      </c>
      <c r="FQ357" s="60" t="n">
        <f aca="false">$L$28*SUMPRODUCT($E$38:$P$38,CJ357:CU357,$E$28:$P$28)</f>
        <v>0</v>
      </c>
      <c r="FR357" s="60" t="n">
        <f aca="false">$M$28*SUMPRODUCT($E$39:$P$39,CJ357:CU357,$E$28:$P$28)</f>
        <v>0</v>
      </c>
      <c r="FS357" s="60" t="n">
        <f aca="false">$N$28*SUMPRODUCT($E$40:$P$40,CJ357:CU357,$E$28:$P$28)</f>
        <v>0</v>
      </c>
      <c r="FT357" s="60" t="n">
        <f aca="false">$O$28*SUMPRODUCT($E$41:$P$41,CJ357:CU357,$E$28:$P$28)</f>
        <v>0</v>
      </c>
      <c r="FU357" s="60" t="n">
        <f aca="false">$P$28*SUMPRODUCT($E$42:$P$42,CJ357:CU357,$E$28:$P$28)</f>
        <v>0</v>
      </c>
      <c r="FV357" s="60" t="n">
        <f aca="false">SUMPRODUCT(CJ357:CU357,FJ357:FU357)</f>
        <v>0.184416866619846</v>
      </c>
      <c r="FW357" s="60" t="n">
        <f aca="false">SUMPRODUCT(CJ357:CU357,$E$27:$P$27)</f>
        <v>2.67389635063809E-005</v>
      </c>
      <c r="FX357" s="60" t="n">
        <f aca="false">FV357*$C$9/($C$10*$C$8)^2</f>
        <v>0.21776909410545</v>
      </c>
      <c r="FY357" s="60" t="n">
        <f aca="false">FW357*$C$9/($C$10*$C$8)</f>
        <v>0.0918845243259994</v>
      </c>
      <c r="FZ357" s="60" t="n">
        <f aca="false">CHOOSE($C$7,-(1+FY357),-1,-(1-FY357))</f>
        <v>-0.908115475674001</v>
      </c>
      <c r="GA357" s="60" t="n">
        <f aca="false">CHOOSE($C$7,FX357,FX357-FY357-FY357^2,FX357-3*FY357^2-2*FY357)</f>
        <v>0.00867174802160559</v>
      </c>
      <c r="GB357" s="60" t="n">
        <f aca="false">CHOOSE($C$7,-FX357*FY357,-FX357*FY357,-(FX357*FY357-FY357^2-FY357^3))</f>
        <v>-0.0107910842936637</v>
      </c>
      <c r="GC357" s="60" t="n">
        <f aca="false">GA357-FZ357^2/3</f>
        <v>-0.266219491031267</v>
      </c>
      <c r="GD357" s="60" t="n">
        <f aca="false">2*FZ357^3/27-FZ357*GA357/3+GB357</f>
        <v>-0.0636400988362784</v>
      </c>
      <c r="GE357" s="60" t="n">
        <f aca="false">GD357^2/4+GC357^3/27</f>
        <v>0.000313710901361829</v>
      </c>
      <c r="GF357" s="60" t="n">
        <f aca="false">-GD357/2-IF(GD357&gt;=0,1,-1)*SQRT(MAX(GE357,0))</f>
        <v>0.0495319352963236</v>
      </c>
      <c r="GG357" s="60" t="n">
        <f aca="false">SIGN(GF357)*ABS(GF357)^(1/3)</f>
        <v>0.367249967174439</v>
      </c>
      <c r="GH357" s="60" t="n">
        <f aca="false">IF(GG357=0,0,GG357-GC357/(3*GG357))</f>
        <v>0.60888329127384</v>
      </c>
      <c r="GI357" s="60" t="n">
        <f aca="false">2*SQRT(MAX(-GC357,0)/3)</f>
        <v>0.595784626668918</v>
      </c>
      <c r="GJ357" s="60" t="n">
        <f aca="false">ACOS(IF(GI357=0,0,MAX(-1,MIN(1,3*GD357/(GC357*GI357)))))</f>
        <v>0</v>
      </c>
      <c r="GK357" s="60" t="n">
        <f aca="false">GI357*COS(GJ357/3)</f>
        <v>0.595784626668918</v>
      </c>
      <c r="GL357" s="60" t="n">
        <f aca="false">IF(GE357&lt;0,GK357,GH357)-FZ357/3</f>
        <v>0.91158844983184</v>
      </c>
      <c r="GM357" s="60" t="n">
        <f aca="false">IFERROR((((GL357+FZ357)*GL357+GA357)*GL357+GB357)/((3*GL357+2*FZ357)*GL357+GA357),0)</f>
        <v>0</v>
      </c>
      <c r="GN357" s="60" t="n">
        <f aca="false">IF(ABS(GM357)&lt;0.1*ABS(GL357),GL357-GM357,GL357)</f>
        <v>0.91158844983184</v>
      </c>
      <c r="GO357" s="60" t="n">
        <f aca="false">IFERROR((((GN357+FZ357)*GN357+GA357)*GN357+GB357)/((3*GN357+2*FZ357)*GN357+GA357),0)</f>
        <v>0</v>
      </c>
      <c r="GP357" s="60" t="n">
        <f aca="false">IF(ABS(GO357)&lt;0.1*ABS(GN357),GN357-GO357,GN357)</f>
        <v>0.91158844983184</v>
      </c>
      <c r="GQ357" s="60" t="n">
        <f aca="false">-GB357/GP357</f>
        <v>0.0118376711504565</v>
      </c>
      <c r="GR357" s="60" t="n">
        <f aca="false">(GA357-GQ357)/GP357</f>
        <v>-0.00347297415783941</v>
      </c>
      <c r="GS357" s="60" t="n">
        <f aca="false">GR357^2-4*GQ357</f>
        <v>-0.0473386230523248</v>
      </c>
      <c r="GT357" s="60" t="n">
        <f aca="false">IF(GS357&gt;=0,(GR357+IF(GR357&gt;=0,1,-1)*SQRT(GS357))/2,0)</f>
        <v>0</v>
      </c>
      <c r="GU357" s="60" t="n">
        <f aca="false">IF(AND(GS357&gt;=0,GT357&lt;&gt;0),MIN(GT357,GQ357/GT357),-1)</f>
        <v>-1</v>
      </c>
      <c r="GV357" s="60" t="n">
        <f aca="false">AND(GS357&gt;=0,GU357&gt;FY357,ABS(GP357-GU357)&gt;=0.00005*MAX(GP357,GU357))</f>
        <v>0</v>
      </c>
      <c r="GW357" s="60" t="n">
        <f aca="false">IF(GV357,IFERROR((((GU357+FZ357)*GU357+GA357)*GU357+GB357)/((3*GU357+2*FZ357)*GU357+GA357),0),0)</f>
        <v>0</v>
      </c>
      <c r="GX357" s="60" t="n">
        <f aca="false">IF(ABS(GW357)&lt;0.1*ABS(GU357),GU357-GW357,GU357)</f>
        <v>-1</v>
      </c>
      <c r="GY357" s="60" t="n">
        <f aca="false">IF(GV357,IFERROR((((GX357+FZ357)*GX357+GA357)*GX357+GB357)/((3*GX357+2*FZ357)*GX357+GA357),0),0)</f>
        <v>0</v>
      </c>
      <c r="GZ357" s="60" t="n">
        <f aca="false">IF(ABS(GY357)&lt;0.1*ABS(GX357),GX357-GY357,GX357)</f>
        <v>-1</v>
      </c>
      <c r="HA357" s="60" t="n">
        <f aca="false">IF(GV357,MAX(GP357,GZ357),GP357)</f>
        <v>0.91158844983184</v>
      </c>
      <c r="HB357" s="60" t="n">
        <f aca="false">IF(GV357,MIN(GP357,GZ357),-1)</f>
        <v>-1</v>
      </c>
      <c r="HC357" s="60" t="n">
        <f aca="false">CHOOSE($C$7,FX357/HA357,FX357/FY357*LN(1+FY357/HA357),FX357/(2*SQRT(2)*FY357)*LN((HA357+(1+SQRT(2))*FY357)/(HA357+(1-SQRT(2))*FY357)))</f>
        <v>0.218240791233887</v>
      </c>
      <c r="HD357" s="60" t="n">
        <f aca="false">HA357-1-LN(HA357-FY357)-HC357</f>
        <v>-0.107840271021729</v>
      </c>
      <c r="HE357" s="60" t="n">
        <f aca="false">IF(GV357,CHOOSE($C$7,FX357/HB357,FX357/FY357*LN(1+FY357/HB357),FX357/(2*SQRT(2)*FY357)*LN((HB357+(1+SQRT(2))*FY357)/(HB357+(1-SQRT(2))*FY357))),0)</f>
        <v>0</v>
      </c>
      <c r="HF357" s="60" t="n">
        <f aca="false">IF(GV357,HB357-1-LN(HB357-FY357)-HE357,0)</f>
        <v>0</v>
      </c>
      <c r="HG357" s="60" t="n">
        <f aca="false">AND(GV357,HF357&lt;HD357)</f>
        <v>0</v>
      </c>
      <c r="HH357" s="61" t="n">
        <f aca="false">IF(HG357,HB357,HA357)</f>
        <v>0.91158844983184</v>
      </c>
      <c r="HI357" s="60" t="n">
        <f aca="false">IF(HG357,HE357,HC357)</f>
        <v>0.218240791233887</v>
      </c>
      <c r="HJ357" s="60" t="n">
        <f aca="false">LN(HH357-FY357)</f>
        <v>-0.198812070380318</v>
      </c>
      <c r="HK357" s="60" t="n">
        <f aca="false">$E$27/FW357*(HH357-1)-HJ357-HI357*(2*FJ357/FV357-$E$27/FW357)</f>
        <v>-0.107840271021729</v>
      </c>
      <c r="HL357" s="60" t="n">
        <f aca="false">$F$27/FW357*(HH357-1)-HJ357-HI357*(2*FK357/FV357-$F$27/FW357)</f>
        <v>0.198812070380318</v>
      </c>
      <c r="HM357" s="60" t="n">
        <f aca="false">$G$27/FW357*(HH357-1)-HJ357-HI357*(2*FL357/FV357-$G$27/FW357)</f>
        <v>0.198812070380318</v>
      </c>
      <c r="HN357" s="60" t="n">
        <f aca="false">$H$27/FW357*(HH357-1)-HJ357-HI357*(2*FM357/FV357-$H$27/FW357)</f>
        <v>0.198812070380318</v>
      </c>
      <c r="HO357" s="60" t="n">
        <f aca="false">$I$27/FW357*(HH357-1)-HJ357-HI357*(2*FN357/FV357-$I$27/FW357)</f>
        <v>0.198812070380318</v>
      </c>
      <c r="HP357" s="60" t="n">
        <f aca="false">$J$27/FW357*(HH357-1)-HJ357-HI357*(2*FO357/FV357-$J$27/FW357)</f>
        <v>0.198812070380318</v>
      </c>
      <c r="HQ357" s="60" t="n">
        <f aca="false">$K$27/FW357*(HH357-1)-HJ357-HI357*(2*FP357/FV357-$K$27/FW357)</f>
        <v>0.198812070380318</v>
      </c>
      <c r="HR357" s="60" t="n">
        <f aca="false">$L$27/FW357*(HH357-1)-HJ357-HI357*(2*FQ357/FV357-$L$27/FW357)</f>
        <v>0.198812070380318</v>
      </c>
      <c r="HS357" s="60" t="n">
        <f aca="false">$M$27/FW357*(HH357-1)-HJ357-HI357*(2*FR357/FV357-$M$27/FW357)</f>
        <v>0.198812070380318</v>
      </c>
      <c r="HT357" s="60" t="n">
        <f aca="false">$N$27/FW357*(HH357-1)-HJ357-HI357*(2*FS357/FV357-$N$27/FW357)</f>
        <v>0.198812070380318</v>
      </c>
      <c r="HU357" s="60" t="n">
        <f aca="false">$O$27/FW357*(HH357-1)-HJ357-HI357*(2*FT357/FV357-$O$27/FW357)</f>
        <v>0.198812070380318</v>
      </c>
      <c r="HV357" s="60" t="n">
        <f aca="false">$P$27/FW357*(HH357-1)-HJ357-HI357*(2*FU357/FV357-$P$27/FW357)</f>
        <v>0.198812070380318</v>
      </c>
      <c r="HW357" s="60" t="n">
        <f aca="false">FY357/HH357&gt;$C$22</f>
        <v>0</v>
      </c>
      <c r="HX357" s="60" t="n">
        <f aca="false">IF($E$13&gt;0,MAX(-300,MIN(300,EW357-HK357)),0)</f>
        <v>0</v>
      </c>
      <c r="HY357" s="60" t="n">
        <f aca="false">IF($F$13&gt;0,MAX(-300,MIN(300,EX357-HL357)),0)</f>
        <v>0</v>
      </c>
      <c r="HZ357" s="60" t="n">
        <f aca="false">IF($G$13&gt;0,MAX(-300,MIN(300,EY357-HM357)),0)</f>
        <v>0</v>
      </c>
      <c r="IA357" s="60" t="n">
        <f aca="false">IF($H$13&gt;0,MAX(-300,MIN(300,EZ357-HN357)),0)</f>
        <v>0</v>
      </c>
      <c r="IB357" s="60" t="n">
        <f aca="false">IF($I$13&gt;0,MAX(-300,MIN(300,FA357-HO357)),0)</f>
        <v>0</v>
      </c>
      <c r="IC357" s="60" t="n">
        <f aca="false">IF($J$13&gt;0,MAX(-300,MIN(300,FB357-HP357)),0)</f>
        <v>0</v>
      </c>
      <c r="ID357" s="60" t="n">
        <f aca="false">IF($K$13&gt;0,MAX(-300,MIN(300,FC357-HQ357)),0)</f>
        <v>0</v>
      </c>
      <c r="IE357" s="60" t="n">
        <f aca="false">IF($L$13&gt;0,MAX(-300,MIN(300,FD357-HR357)),0)</f>
        <v>0</v>
      </c>
      <c r="IF357" s="60" t="n">
        <f aca="false">IF($M$13&gt;0,MAX(-300,MIN(300,FE357-HS357)),0)</f>
        <v>0</v>
      </c>
      <c r="IG357" s="60" t="n">
        <f aca="false">IF($N$13&gt;0,MAX(-300,MIN(300,FF357-HT357)),0)</f>
        <v>0</v>
      </c>
      <c r="IH357" s="60" t="n">
        <f aca="false">IF($O$13&gt;0,MAX(-300,MIN(300,FG357-HU357)),0)</f>
        <v>0</v>
      </c>
      <c r="II357" s="60" t="n">
        <f aca="false">IF($P$13&gt;0,MAX(-300,MIN(300,FH357-HV357)),0)</f>
        <v>0</v>
      </c>
      <c r="IJ357" s="61" t="n">
        <f aca="false">SUMXMY2(HX357:II357,B357:M357)</f>
        <v>0</v>
      </c>
      <c r="IK357" s="60" t="n">
        <f aca="false">SUMSQ(B357:M357)</f>
        <v>0</v>
      </c>
    </row>
    <row r="360" customFormat="false" ht="15" hidden="false" customHeight="false" outlineLevel="0" collapsed="false">
      <c r="A360" s="4" t="s">
        <v>830</v>
      </c>
    </row>
    <row r="361" customFormat="false" ht="15" hidden="false" customHeight="false" outlineLevel="0" collapsed="false">
      <c r="A361" s="8" t="s">
        <v>300</v>
      </c>
      <c r="B361" s="8" t="s">
        <v>597</v>
      </c>
      <c r="C361" s="8" t="s">
        <v>598</v>
      </c>
      <c r="D361" s="8" t="s">
        <v>599</v>
      </c>
      <c r="E361" s="8" t="s">
        <v>600</v>
      </c>
      <c r="F361" s="8" t="s">
        <v>601</v>
      </c>
      <c r="G361" s="8" t="s">
        <v>602</v>
      </c>
      <c r="H361" s="8" t="s">
        <v>603</v>
      </c>
      <c r="I361" s="8" t="s">
        <v>604</v>
      </c>
      <c r="J361" s="8" t="s">
        <v>605</v>
      </c>
      <c r="K361" s="8" t="s">
        <v>606</v>
      </c>
      <c r="L361" s="8" t="s">
        <v>607</v>
      </c>
      <c r="M361" s="8" t="s">
        <v>608</v>
      </c>
      <c r="N361" s="8" t="s">
        <v>609</v>
      </c>
      <c r="O361" s="8" t="s">
        <v>610</v>
      </c>
      <c r="P361" s="8" t="s">
        <v>611</v>
      </c>
      <c r="Q361" s="8" t="s">
        <v>612</v>
      </c>
      <c r="R361" s="8" t="s">
        <v>613</v>
      </c>
      <c r="S361" s="8" t="s">
        <v>614</v>
      </c>
      <c r="T361" s="8" t="s">
        <v>615</v>
      </c>
      <c r="U361" s="8" t="s">
        <v>616</v>
      </c>
      <c r="V361" s="8" t="s">
        <v>617</v>
      </c>
      <c r="W361" s="8" t="s">
        <v>618</v>
      </c>
      <c r="X361" s="8" t="s">
        <v>619</v>
      </c>
      <c r="Y361" s="8" t="s">
        <v>620</v>
      </c>
      <c r="Z361" s="8" t="s">
        <v>621</v>
      </c>
      <c r="AA361" s="8" t="s">
        <v>622</v>
      </c>
      <c r="AB361" s="8" t="s">
        <v>623</v>
      </c>
      <c r="AC361" s="8" t="s">
        <v>624</v>
      </c>
      <c r="AD361" s="8" t="s">
        <v>625</v>
      </c>
      <c r="AE361" s="8" t="s">
        <v>626</v>
      </c>
      <c r="AF361" s="8" t="s">
        <v>627</v>
      </c>
      <c r="AG361" s="8" t="s">
        <v>628</v>
      </c>
      <c r="AH361" s="8" t="s">
        <v>629</v>
      </c>
      <c r="AI361" s="8" t="s">
        <v>630</v>
      </c>
      <c r="AJ361" s="8" t="s">
        <v>631</v>
      </c>
      <c r="AK361" s="8" t="s">
        <v>632</v>
      </c>
      <c r="AL361" s="8" t="s">
        <v>633</v>
      </c>
      <c r="AM361" s="8" t="s">
        <v>634</v>
      </c>
      <c r="AN361" s="8" t="s">
        <v>635</v>
      </c>
      <c r="AO361" s="8" t="s">
        <v>636</v>
      </c>
      <c r="AP361" s="8" t="s">
        <v>637</v>
      </c>
      <c r="AQ361" s="8" t="s">
        <v>638</v>
      </c>
      <c r="AR361" s="8" t="s">
        <v>639</v>
      </c>
      <c r="AS361" s="8" t="s">
        <v>640</v>
      </c>
      <c r="AT361" s="8" t="s">
        <v>641</v>
      </c>
      <c r="AU361" s="8" t="s">
        <v>642</v>
      </c>
      <c r="AV361" s="8" t="s">
        <v>643</v>
      </c>
      <c r="AW361" s="8" t="s">
        <v>644</v>
      </c>
      <c r="AX361" s="8" t="s">
        <v>645</v>
      </c>
      <c r="AY361" s="8" t="s">
        <v>646</v>
      </c>
      <c r="AZ361" s="8" t="s">
        <v>647</v>
      </c>
      <c r="BA361" s="8" t="s">
        <v>648</v>
      </c>
      <c r="BB361" s="8" t="s">
        <v>649</v>
      </c>
      <c r="BC361" s="8" t="s">
        <v>650</v>
      </c>
      <c r="BD361" s="8" t="s">
        <v>651</v>
      </c>
      <c r="BE361" s="8" t="s">
        <v>652</v>
      </c>
      <c r="BF361" s="8" t="s">
        <v>653</v>
      </c>
      <c r="BG361" s="8" t="s">
        <v>654</v>
      </c>
      <c r="BH361" s="8" t="s">
        <v>655</v>
      </c>
      <c r="BI361" s="8" t="s">
        <v>656</v>
      </c>
      <c r="BJ361" s="8" t="s">
        <v>657</v>
      </c>
      <c r="BK361" s="8" t="s">
        <v>658</v>
      </c>
      <c r="BL361" s="8" t="s">
        <v>659</v>
      </c>
      <c r="BM361" s="8" t="s">
        <v>660</v>
      </c>
      <c r="BN361" s="8" t="s">
        <v>661</v>
      </c>
      <c r="BO361" s="8" t="s">
        <v>662</v>
      </c>
      <c r="BP361" s="8" t="s">
        <v>663</v>
      </c>
      <c r="BQ361" s="8" t="s">
        <v>664</v>
      </c>
      <c r="BR361" s="8" t="s">
        <v>665</v>
      </c>
      <c r="BS361" s="8" t="s">
        <v>666</v>
      </c>
      <c r="BT361" s="8" t="s">
        <v>667</v>
      </c>
      <c r="BU361" s="8" t="s">
        <v>668</v>
      </c>
      <c r="BV361" s="8" t="s">
        <v>212</v>
      </c>
      <c r="BW361" s="8" t="s">
        <v>669</v>
      </c>
      <c r="BX361" s="8" t="s">
        <v>670</v>
      </c>
      <c r="BY361" s="8" t="s">
        <v>671</v>
      </c>
      <c r="BZ361" s="8" t="s">
        <v>672</v>
      </c>
      <c r="CA361" s="8" t="s">
        <v>673</v>
      </c>
      <c r="CB361" s="8" t="s">
        <v>674</v>
      </c>
      <c r="CC361" s="8" t="s">
        <v>675</v>
      </c>
      <c r="CD361" s="8" t="s">
        <v>676</v>
      </c>
      <c r="CE361" s="8" t="s">
        <v>677</v>
      </c>
      <c r="CF361" s="8" t="s">
        <v>678</v>
      </c>
      <c r="CG361" s="8" t="s">
        <v>679</v>
      </c>
      <c r="CH361" s="8" t="s">
        <v>680</v>
      </c>
      <c r="CI361" s="8" t="s">
        <v>681</v>
      </c>
      <c r="CJ361" s="8" t="s">
        <v>682</v>
      </c>
      <c r="CK361" s="8" t="s">
        <v>683</v>
      </c>
      <c r="CL361" s="8" t="s">
        <v>684</v>
      </c>
      <c r="CM361" s="8" t="s">
        <v>685</v>
      </c>
      <c r="CN361" s="8" t="s">
        <v>686</v>
      </c>
      <c r="CO361" s="8" t="s">
        <v>687</v>
      </c>
      <c r="CP361" s="8" t="s">
        <v>688</v>
      </c>
      <c r="CQ361" s="8" t="s">
        <v>689</v>
      </c>
      <c r="CR361" s="8" t="s">
        <v>690</v>
      </c>
      <c r="CS361" s="8" t="s">
        <v>691</v>
      </c>
      <c r="CT361" s="8" t="s">
        <v>692</v>
      </c>
      <c r="CU361" s="8" t="s">
        <v>693</v>
      </c>
      <c r="CV361" s="8" t="s">
        <v>694</v>
      </c>
      <c r="CW361" s="8" t="s">
        <v>695</v>
      </c>
      <c r="CX361" s="8" t="s">
        <v>696</v>
      </c>
      <c r="CY361" s="8" t="s">
        <v>697</v>
      </c>
      <c r="CZ361" s="8" t="s">
        <v>698</v>
      </c>
      <c r="DA361" s="8" t="s">
        <v>699</v>
      </c>
      <c r="DB361" s="8" t="s">
        <v>700</v>
      </c>
      <c r="DC361" s="8" t="s">
        <v>701</v>
      </c>
      <c r="DD361" s="8" t="s">
        <v>702</v>
      </c>
      <c r="DE361" s="8" t="s">
        <v>703</v>
      </c>
      <c r="DF361" s="8" t="s">
        <v>704</v>
      </c>
      <c r="DG361" s="8" t="s">
        <v>705</v>
      </c>
      <c r="DH361" s="8" t="s">
        <v>706</v>
      </c>
      <c r="DI361" s="8" t="s">
        <v>707</v>
      </c>
      <c r="DJ361" s="8" t="s">
        <v>708</v>
      </c>
      <c r="DK361" s="8" t="s">
        <v>709</v>
      </c>
      <c r="DL361" s="8" t="s">
        <v>710</v>
      </c>
      <c r="DM361" s="8" t="s">
        <v>711</v>
      </c>
      <c r="DN361" s="8" t="s">
        <v>712</v>
      </c>
      <c r="DO361" s="8" t="s">
        <v>713</v>
      </c>
      <c r="DP361" s="8" t="s">
        <v>714</v>
      </c>
      <c r="DQ361" s="8" t="s">
        <v>715</v>
      </c>
      <c r="DR361" s="8" t="s">
        <v>716</v>
      </c>
      <c r="DS361" s="8" t="s">
        <v>717</v>
      </c>
      <c r="DT361" s="8" t="s">
        <v>718</v>
      </c>
      <c r="DU361" s="8" t="s">
        <v>719</v>
      </c>
      <c r="DV361" s="8" t="s">
        <v>720</v>
      </c>
      <c r="DW361" s="8" t="s">
        <v>721</v>
      </c>
      <c r="DX361" s="8" t="s">
        <v>722</v>
      </c>
      <c r="DY361" s="8" t="s">
        <v>723</v>
      </c>
      <c r="DZ361" s="8" t="s">
        <v>722</v>
      </c>
      <c r="EA361" s="8" t="s">
        <v>723</v>
      </c>
      <c r="EB361" s="8" t="s">
        <v>724</v>
      </c>
      <c r="EC361" s="8" t="s">
        <v>725</v>
      </c>
      <c r="ED361" s="8" t="s">
        <v>726</v>
      </c>
      <c r="EE361" s="8" t="s">
        <v>727</v>
      </c>
      <c r="EF361" s="8" t="s">
        <v>728</v>
      </c>
      <c r="EG361" s="8" t="s">
        <v>729</v>
      </c>
      <c r="EH361" s="8" t="s">
        <v>730</v>
      </c>
      <c r="EI361" s="8" t="s">
        <v>723</v>
      </c>
      <c r="EJ361" s="8" t="s">
        <v>729</v>
      </c>
      <c r="EK361" s="8" t="s">
        <v>723</v>
      </c>
      <c r="EL361" s="8" t="s">
        <v>731</v>
      </c>
      <c r="EM361" s="8" t="s">
        <v>732</v>
      </c>
      <c r="EN361" s="8" t="s">
        <v>733</v>
      </c>
      <c r="EO361" s="8" t="s">
        <v>734</v>
      </c>
      <c r="EP361" s="8" t="s">
        <v>735</v>
      </c>
      <c r="EQ361" s="8" t="s">
        <v>736</v>
      </c>
      <c r="ER361" s="8" t="s">
        <v>737</v>
      </c>
      <c r="ES361" s="8" t="s">
        <v>738</v>
      </c>
      <c r="ET361" s="8" t="s">
        <v>739</v>
      </c>
      <c r="EU361" s="8" t="s">
        <v>740</v>
      </c>
      <c r="EV361" s="8" t="s">
        <v>741</v>
      </c>
      <c r="EW361" s="8" t="s">
        <v>742</v>
      </c>
      <c r="EX361" s="8" t="s">
        <v>743</v>
      </c>
      <c r="EY361" s="8" t="s">
        <v>744</v>
      </c>
      <c r="EZ361" s="8" t="s">
        <v>745</v>
      </c>
      <c r="FA361" s="8" t="s">
        <v>746</v>
      </c>
      <c r="FB361" s="8" t="s">
        <v>747</v>
      </c>
      <c r="FC361" s="8" t="s">
        <v>748</v>
      </c>
      <c r="FD361" s="8" t="s">
        <v>749</v>
      </c>
      <c r="FE361" s="8" t="s">
        <v>750</v>
      </c>
      <c r="FF361" s="8" t="s">
        <v>751</v>
      </c>
      <c r="FG361" s="8" t="s">
        <v>752</v>
      </c>
      <c r="FH361" s="8" t="s">
        <v>753</v>
      </c>
      <c r="FI361" s="8" t="s">
        <v>754</v>
      </c>
      <c r="FJ361" s="8" t="s">
        <v>755</v>
      </c>
      <c r="FK361" s="8" t="s">
        <v>756</v>
      </c>
      <c r="FL361" s="8" t="s">
        <v>757</v>
      </c>
      <c r="FM361" s="8" t="s">
        <v>758</v>
      </c>
      <c r="FN361" s="8" t="s">
        <v>759</v>
      </c>
      <c r="FO361" s="8" t="s">
        <v>760</v>
      </c>
      <c r="FP361" s="8" t="s">
        <v>761</v>
      </c>
      <c r="FQ361" s="8" t="s">
        <v>762</v>
      </c>
      <c r="FR361" s="8" t="s">
        <v>763</v>
      </c>
      <c r="FS361" s="8" t="s">
        <v>764</v>
      </c>
      <c r="FT361" s="8" t="s">
        <v>765</v>
      </c>
      <c r="FU361" s="8" t="s">
        <v>766</v>
      </c>
      <c r="FV361" s="8" t="s">
        <v>767</v>
      </c>
      <c r="FW361" s="8" t="s">
        <v>768</v>
      </c>
      <c r="FX361" s="8" t="s">
        <v>769</v>
      </c>
      <c r="FY361" s="8" t="s">
        <v>770</v>
      </c>
      <c r="FZ361" s="8" t="s">
        <v>771</v>
      </c>
      <c r="GA361" s="8" t="s">
        <v>772</v>
      </c>
      <c r="GB361" s="8" t="s">
        <v>773</v>
      </c>
      <c r="GC361" s="8" t="s">
        <v>774</v>
      </c>
      <c r="GD361" s="8" t="s">
        <v>775</v>
      </c>
      <c r="GE361" s="8" t="s">
        <v>776</v>
      </c>
      <c r="GF361" s="8" t="s">
        <v>777</v>
      </c>
      <c r="GG361" s="8" t="s">
        <v>778</v>
      </c>
      <c r="GH361" s="8" t="s">
        <v>779</v>
      </c>
      <c r="GI361" s="8" t="s">
        <v>780</v>
      </c>
      <c r="GJ361" s="8" t="s">
        <v>781</v>
      </c>
      <c r="GK361" s="8" t="s">
        <v>782</v>
      </c>
      <c r="GL361" s="8" t="s">
        <v>783</v>
      </c>
      <c r="GM361" s="8" t="s">
        <v>784</v>
      </c>
      <c r="GN361" s="8" t="s">
        <v>783</v>
      </c>
      <c r="GO361" s="8" t="s">
        <v>784</v>
      </c>
      <c r="GP361" s="8" t="s">
        <v>785</v>
      </c>
      <c r="GQ361" s="8" t="s">
        <v>786</v>
      </c>
      <c r="GR361" s="8" t="s">
        <v>787</v>
      </c>
      <c r="GS361" s="8" t="s">
        <v>788</v>
      </c>
      <c r="GT361" s="8" t="s">
        <v>789</v>
      </c>
      <c r="GU361" s="8" t="s">
        <v>790</v>
      </c>
      <c r="GV361" s="8" t="s">
        <v>791</v>
      </c>
      <c r="GW361" s="8" t="s">
        <v>784</v>
      </c>
      <c r="GX361" s="8" t="s">
        <v>790</v>
      </c>
      <c r="GY361" s="8" t="s">
        <v>784</v>
      </c>
      <c r="GZ361" s="8" t="s">
        <v>792</v>
      </c>
      <c r="HA361" s="8" t="s">
        <v>793</v>
      </c>
      <c r="HB361" s="8" t="s">
        <v>794</v>
      </c>
      <c r="HC361" s="8" t="s">
        <v>795</v>
      </c>
      <c r="HD361" s="8" t="s">
        <v>796</v>
      </c>
      <c r="HE361" s="8" t="s">
        <v>797</v>
      </c>
      <c r="HF361" s="8" t="s">
        <v>798</v>
      </c>
      <c r="HG361" s="8" t="s">
        <v>799</v>
      </c>
      <c r="HH361" s="8" t="s">
        <v>800</v>
      </c>
      <c r="HI361" s="8" t="s">
        <v>801</v>
      </c>
      <c r="HJ361" s="8" t="s">
        <v>802</v>
      </c>
      <c r="HK361" s="8" t="s">
        <v>803</v>
      </c>
      <c r="HL361" s="8" t="s">
        <v>804</v>
      </c>
      <c r="HM361" s="8" t="s">
        <v>805</v>
      </c>
      <c r="HN361" s="8" t="s">
        <v>806</v>
      </c>
      <c r="HO361" s="8" t="s">
        <v>807</v>
      </c>
      <c r="HP361" s="8" t="s">
        <v>808</v>
      </c>
      <c r="HQ361" s="8" t="s">
        <v>809</v>
      </c>
      <c r="HR361" s="8" t="s">
        <v>810</v>
      </c>
      <c r="HS361" s="8" t="s">
        <v>811</v>
      </c>
      <c r="HT361" s="8" t="s">
        <v>812</v>
      </c>
      <c r="HU361" s="8" t="s">
        <v>813</v>
      </c>
      <c r="HV361" s="8" t="s">
        <v>814</v>
      </c>
      <c r="HW361" s="8" t="s">
        <v>815</v>
      </c>
      <c r="HX361" s="8" t="s">
        <v>816</v>
      </c>
      <c r="HY361" s="8" t="s">
        <v>817</v>
      </c>
      <c r="HZ361" s="8" t="s">
        <v>818</v>
      </c>
      <c r="IA361" s="8" t="s">
        <v>819</v>
      </c>
      <c r="IB361" s="8" t="s">
        <v>820</v>
      </c>
      <c r="IC361" s="8" t="s">
        <v>821</v>
      </c>
      <c r="ID361" s="8" t="s">
        <v>822</v>
      </c>
      <c r="IE361" s="8" t="s">
        <v>823</v>
      </c>
      <c r="IF361" s="8" t="s">
        <v>824</v>
      </c>
      <c r="IG361" s="8" t="s">
        <v>825</v>
      </c>
      <c r="IH361" s="8" t="s">
        <v>826</v>
      </c>
      <c r="II361" s="8" t="s">
        <v>827</v>
      </c>
      <c r="IJ361" s="8" t="s">
        <v>828</v>
      </c>
      <c r="IK361" s="8" t="s">
        <v>829</v>
      </c>
    </row>
    <row r="362" customFormat="false" ht="15" hidden="false" customHeight="false" outlineLevel="0" collapsed="false">
      <c r="A362" s="59" t="n">
        <v>1</v>
      </c>
      <c r="B362" s="60" t="n">
        <f aca="false">MAX(-300,MIN(300,LN($E$29)))</f>
        <v>1.70142230081451</v>
      </c>
      <c r="C362" s="60" t="n">
        <f aca="false">MAX(-300,MIN(300,LN($F$29)))</f>
        <v>0</v>
      </c>
      <c r="D362" s="60" t="n">
        <f aca="false">MAX(-300,MIN(300,LN($G$29)))</f>
        <v>0</v>
      </c>
      <c r="E362" s="60" t="n">
        <f aca="false">MAX(-300,MIN(300,LN($H$29)))</f>
        <v>0</v>
      </c>
      <c r="F362" s="60" t="n">
        <f aca="false">MAX(-300,MIN(300,LN($I$29)))</f>
        <v>0</v>
      </c>
      <c r="G362" s="60" t="n">
        <f aca="false">MAX(-300,MIN(300,LN($J$29)))</f>
        <v>0</v>
      </c>
      <c r="H362" s="60" t="n">
        <f aca="false">MAX(-300,MIN(300,LN($K$29)))</f>
        <v>0</v>
      </c>
      <c r="I362" s="60" t="n">
        <f aca="false">MAX(-300,MIN(300,LN($L$29)))</f>
        <v>0</v>
      </c>
      <c r="J362" s="60" t="n">
        <f aca="false">MAX(-300,MIN(300,LN($M$29)))</f>
        <v>0</v>
      </c>
      <c r="K362" s="60" t="n">
        <f aca="false">MAX(-300,MIN(300,LN($N$29)))</f>
        <v>0</v>
      </c>
      <c r="L362" s="60" t="n">
        <f aca="false">MAX(-300,MIN(300,LN($O$29)))</f>
        <v>0</v>
      </c>
      <c r="M362" s="60" t="n">
        <f aca="false">MAX(-300,MIN(300,LN($P$29)))</f>
        <v>0</v>
      </c>
      <c r="N362" s="60" t="n">
        <f aca="false">EXP(B362)</f>
        <v>5.48173853091944</v>
      </c>
      <c r="O362" s="60" t="n">
        <f aca="false">EXP(C362)</f>
        <v>1</v>
      </c>
      <c r="P362" s="60" t="n">
        <f aca="false">EXP(D362)</f>
        <v>1</v>
      </c>
      <c r="Q362" s="60" t="n">
        <f aca="false">EXP(E362)</f>
        <v>1</v>
      </c>
      <c r="R362" s="60" t="n">
        <f aca="false">EXP(F362)</f>
        <v>1</v>
      </c>
      <c r="S362" s="60" t="n">
        <f aca="false">EXP(G362)</f>
        <v>1</v>
      </c>
      <c r="T362" s="60" t="n">
        <f aca="false">EXP(H362)</f>
        <v>1</v>
      </c>
      <c r="U362" s="60" t="n">
        <f aca="false">EXP(I362)</f>
        <v>1</v>
      </c>
      <c r="V362" s="60" t="n">
        <f aca="false">EXP(J362)</f>
        <v>1</v>
      </c>
      <c r="W362" s="60" t="n">
        <f aca="false">EXP(K362)</f>
        <v>1</v>
      </c>
      <c r="X362" s="60" t="n">
        <f aca="false">EXP(L362)</f>
        <v>1</v>
      </c>
      <c r="Y362" s="60" t="n">
        <f aca="false">EXP(M362)</f>
        <v>1</v>
      </c>
      <c r="Z362" s="60" t="n">
        <f aca="false">MAX(N362:Y362)</f>
        <v>5.48173853091944</v>
      </c>
      <c r="AA362" s="60" t="n">
        <f aca="false">MIN(N362:Y362)</f>
        <v>1</v>
      </c>
      <c r="AB362" s="60" t="n">
        <f aca="false">AND(Z362&gt;1,AA362&lt;1)</f>
        <v>0</v>
      </c>
      <c r="AC362" s="60" t="n">
        <f aca="false">IF(AB362,1/(1-Z362),0)</f>
        <v>0</v>
      </c>
      <c r="AD362" s="60" t="n">
        <f aca="false">IF(AB362,1/(1-AA362),1)</f>
        <v>1</v>
      </c>
      <c r="AE362" s="60" t="n">
        <f aca="false">IF(AB362,MIN(MAX(0.5,AC362+0.000000001*(AD362-AC362)),AD362-0.000000001*(AD362-AC362)),IF(AA362&gt;=1,1,0))</f>
        <v>1</v>
      </c>
      <c r="AF362" s="60" t="n">
        <f aca="false">SUMPRODUCT($E$13:$P$13*(N362:Y362-1)/(1+AE362*(N362:Y362-1)))</f>
        <v>0.817576122181028</v>
      </c>
      <c r="AG362" s="60" t="n">
        <f aca="false">-SUMPRODUCT($E$13:$P$13*(N362:Y362-1)^2/(1+AE362*(N362:Y362-1))^2)</f>
        <v>-0.668430715560567</v>
      </c>
      <c r="AH362" s="60" t="n">
        <f aca="false">IF(OR(NOT(AB362),AG362=0),AE362,IF(AE362-AF362/AG362&lt;=AC362,(AE362+AC362)/2,IF(AE362-AF362/AG362&gt;=AD362,(AE362+AD362)/2,AE362-AF362/AG362)))</f>
        <v>1</v>
      </c>
      <c r="AI362" s="60" t="n">
        <f aca="false">SUMPRODUCT($E$13:$P$13*(N362:Y362-1)/(1+AH362*(N362:Y362-1)))</f>
        <v>0.817576122181028</v>
      </c>
      <c r="AJ362" s="60" t="n">
        <f aca="false">-SUMPRODUCT($E$13:$P$13*(N362:Y362-1)^2/(1+AH362*(N362:Y362-1))^2)</f>
        <v>-0.668430715560567</v>
      </c>
      <c r="AK362" s="60" t="n">
        <f aca="false">IF(OR(NOT(AB362),AJ362=0),AH362,IF(AH362-AI362/AJ362&lt;=AC362,(AH362+AC362)/2,IF(AH362-AI362/AJ362&gt;=AD362,(AH362+AD362)/2,AH362-AI362/AJ362)))</f>
        <v>1</v>
      </c>
      <c r="AL362" s="60" t="n">
        <f aca="false">SUMPRODUCT($E$13:$P$13*(N362:Y362-1)/(1+AK362*(N362:Y362-1)))</f>
        <v>0.817576122181028</v>
      </c>
      <c r="AM362" s="60" t="n">
        <f aca="false">-SUMPRODUCT($E$13:$P$13*(N362:Y362-1)^2/(1+AK362*(N362:Y362-1))^2)</f>
        <v>-0.668430715560567</v>
      </c>
      <c r="AN362" s="60" t="n">
        <f aca="false">IF(OR(NOT(AB362),AM362=0),AK362,IF(AK362-AL362/AM362&lt;=AC362,(AK362+AC362)/2,IF(AK362-AL362/AM362&gt;=AD362,(AK362+AD362)/2,AK362-AL362/AM362)))</f>
        <v>1</v>
      </c>
      <c r="AO362" s="60" t="n">
        <f aca="false">SUMPRODUCT($E$13:$P$13*(N362:Y362-1)/(1+AN362*(N362:Y362-1)))</f>
        <v>0.817576122181028</v>
      </c>
      <c r="AP362" s="60" t="n">
        <f aca="false">-SUMPRODUCT($E$13:$P$13*(N362:Y362-1)^2/(1+AN362*(N362:Y362-1))^2)</f>
        <v>-0.668430715560567</v>
      </c>
      <c r="AQ362" s="60" t="n">
        <f aca="false">IF(OR(NOT(AB362),AP362=0),AN362,IF(AN362-AO362/AP362&lt;=AC362,(AN362+AC362)/2,IF(AN362-AO362/AP362&gt;=AD362,(AN362+AD362)/2,AN362-AO362/AP362)))</f>
        <v>1</v>
      </c>
      <c r="AR362" s="60" t="n">
        <f aca="false">SUMPRODUCT($E$13:$P$13*(N362:Y362-1)/(1+AQ362*(N362:Y362-1)))</f>
        <v>0.817576122181028</v>
      </c>
      <c r="AS362" s="60" t="n">
        <f aca="false">-SUMPRODUCT($E$13:$P$13*(N362:Y362-1)^2/(1+AQ362*(N362:Y362-1))^2)</f>
        <v>-0.668430715560567</v>
      </c>
      <c r="AT362" s="60" t="n">
        <f aca="false">IF(OR(NOT(AB362),AS362=0),AQ362,IF(AQ362-AR362/AS362&lt;=AC362,(AQ362+AC362)/2,IF(AQ362-AR362/AS362&gt;=AD362,(AQ362+AD362)/2,AQ362-AR362/AS362)))</f>
        <v>1</v>
      </c>
      <c r="AU362" s="60" t="n">
        <f aca="false">SUMPRODUCT($E$13:$P$13*(N362:Y362-1)/(1+AT362*(N362:Y362-1)))</f>
        <v>0.817576122181028</v>
      </c>
      <c r="AV362" s="60" t="n">
        <f aca="false">-SUMPRODUCT($E$13:$P$13*(N362:Y362-1)^2/(1+AT362*(N362:Y362-1))^2)</f>
        <v>-0.668430715560567</v>
      </c>
      <c r="AW362" s="60" t="n">
        <f aca="false">IF(OR(NOT(AB362),AV362=0),AT362,IF(AT362-AU362/AV362&lt;=AC362,(AT362+AC362)/2,IF(AT362-AU362/AV362&gt;=AD362,(AT362+AD362)/2,AT362-AU362/AV362)))</f>
        <v>1</v>
      </c>
      <c r="AX362" s="60" t="n">
        <f aca="false">SUMPRODUCT($E$13:$P$13*(N362:Y362-1)/(1+AW362*(N362:Y362-1)))</f>
        <v>0.817576122181028</v>
      </c>
      <c r="AY362" s="60" t="n">
        <f aca="false">-SUMPRODUCT($E$13:$P$13*(N362:Y362-1)^2/(1+AW362*(N362:Y362-1))^2)</f>
        <v>-0.668430715560567</v>
      </c>
      <c r="AZ362" s="60" t="n">
        <f aca="false">IF(OR(NOT(AB362),AY362=0),AW362,IF(AW362-AX362/AY362&lt;=AC362,(AW362+AC362)/2,IF(AW362-AX362/AY362&gt;=AD362,(AW362+AD362)/2,AW362-AX362/AY362)))</f>
        <v>1</v>
      </c>
      <c r="BA362" s="60" t="n">
        <f aca="false">SUMPRODUCT($E$13:$P$13*(N362:Y362-1)/(1+AZ362*(N362:Y362-1)))</f>
        <v>0.817576122181028</v>
      </c>
      <c r="BB362" s="60" t="n">
        <f aca="false">-SUMPRODUCT($E$13:$P$13*(N362:Y362-1)^2/(1+AZ362*(N362:Y362-1))^2)</f>
        <v>-0.668430715560567</v>
      </c>
      <c r="BC362" s="60" t="n">
        <f aca="false">IF(OR(NOT(AB362),BB362=0),AZ362,IF(AZ362-BA362/BB362&lt;=AC362,(AZ362+AC362)/2,IF(AZ362-BA362/BB362&gt;=AD362,(AZ362+AD362)/2,AZ362-BA362/BB362)))</f>
        <v>1</v>
      </c>
      <c r="BD362" s="60" t="n">
        <f aca="false">SUMPRODUCT($E$13:$P$13*(N362:Y362-1)/(1+BC362*(N362:Y362-1)))</f>
        <v>0.817576122181028</v>
      </c>
      <c r="BE362" s="60" t="n">
        <f aca="false">-SUMPRODUCT($E$13:$P$13*(N362:Y362-1)^2/(1+BC362*(N362:Y362-1))^2)</f>
        <v>-0.668430715560567</v>
      </c>
      <c r="BF362" s="60" t="n">
        <f aca="false">IF(OR(NOT(AB362),BE362=0),BC362,IF(BC362-BD362/BE362&lt;=AC362,(BC362+AC362)/2,IF(BC362-BD362/BE362&gt;=AD362,(BC362+AD362)/2,BC362-BD362/BE362)))</f>
        <v>1</v>
      </c>
      <c r="BG362" s="60" t="n">
        <f aca="false">SUMPRODUCT($E$13:$P$13*(N362:Y362-1)/(1+BF362*(N362:Y362-1)))</f>
        <v>0.817576122181028</v>
      </c>
      <c r="BH362" s="60" t="n">
        <f aca="false">-SUMPRODUCT($E$13:$P$13*(N362:Y362-1)^2/(1+BF362*(N362:Y362-1))^2)</f>
        <v>-0.668430715560567</v>
      </c>
      <c r="BI362" s="60" t="n">
        <f aca="false">IF(OR(NOT(AB362),BH362=0),BF362,IF(BF362-BG362/BH362&lt;=AC362,(BF362+AC362)/2,IF(BF362-BG362/BH362&gt;=AD362,(BF362+AD362)/2,BF362-BG362/BH362)))</f>
        <v>1</v>
      </c>
      <c r="BJ362" s="60" t="n">
        <f aca="false">$E$13/(1+BI362*(N362-1))</f>
        <v>0.182423877818972</v>
      </c>
      <c r="BK362" s="60" t="n">
        <f aca="false">$F$13/(1+BI362*(O362-1))</f>
        <v>0</v>
      </c>
      <c r="BL362" s="60" t="n">
        <f aca="false">$G$13/(1+BI362*(P362-1))</f>
        <v>0</v>
      </c>
      <c r="BM362" s="60" t="n">
        <f aca="false">$H$13/(1+BI362*(Q362-1))</f>
        <v>0</v>
      </c>
      <c r="BN362" s="60" t="n">
        <f aca="false">$I$13/(1+BI362*(R362-1))</f>
        <v>0</v>
      </c>
      <c r="BO362" s="60" t="n">
        <f aca="false">$J$13/(1+BI362*(S362-1))</f>
        <v>0</v>
      </c>
      <c r="BP362" s="60" t="n">
        <f aca="false">$K$13/(1+BI362*(T362-1))</f>
        <v>0</v>
      </c>
      <c r="BQ362" s="60" t="n">
        <f aca="false">$L$13/(1+BI362*(U362-1))</f>
        <v>0</v>
      </c>
      <c r="BR362" s="60" t="n">
        <f aca="false">$M$13/(1+BI362*(V362-1))</f>
        <v>0</v>
      </c>
      <c r="BS362" s="60" t="n">
        <f aca="false">$N$13/(1+BI362*(W362-1))</f>
        <v>0</v>
      </c>
      <c r="BT362" s="60" t="n">
        <f aca="false">$O$13/(1+BI362*(X362-1))</f>
        <v>0</v>
      </c>
      <c r="BU362" s="60" t="n">
        <f aca="false">$P$13/(1+BI362*(Y362-1))</f>
        <v>0</v>
      </c>
      <c r="BV362" s="60" t="n">
        <f aca="false">SUM(BJ362:BU362)</f>
        <v>0.182423877818972</v>
      </c>
      <c r="BW362" s="60" t="n">
        <f aca="false">SUMPRODUCT(N362:Y362,BJ362:BU362)</f>
        <v>1</v>
      </c>
      <c r="BX362" s="60" t="n">
        <f aca="false">BJ362/BV362</f>
        <v>1</v>
      </c>
      <c r="BY362" s="60" t="n">
        <f aca="false">BK362/BV362</f>
        <v>0</v>
      </c>
      <c r="BZ362" s="60" t="n">
        <f aca="false">BL362/BV362</f>
        <v>0</v>
      </c>
      <c r="CA362" s="60" t="n">
        <f aca="false">BM362/BV362</f>
        <v>0</v>
      </c>
      <c r="CB362" s="60" t="n">
        <f aca="false">BN362/BV362</f>
        <v>0</v>
      </c>
      <c r="CC362" s="60" t="n">
        <f aca="false">BO362/BV362</f>
        <v>0</v>
      </c>
      <c r="CD362" s="60" t="n">
        <f aca="false">BP362/BV362</f>
        <v>0</v>
      </c>
      <c r="CE362" s="60" t="n">
        <f aca="false">BQ362/BV362</f>
        <v>0</v>
      </c>
      <c r="CF362" s="60" t="n">
        <f aca="false">BR362/BV362</f>
        <v>0</v>
      </c>
      <c r="CG362" s="60" t="n">
        <f aca="false">BS362/BV362</f>
        <v>0</v>
      </c>
      <c r="CH362" s="60" t="n">
        <f aca="false">BT362/BV362</f>
        <v>0</v>
      </c>
      <c r="CI362" s="60" t="n">
        <f aca="false">BU362/BV362</f>
        <v>0</v>
      </c>
      <c r="CJ362" s="60" t="n">
        <f aca="false">N362*BJ362/BW362</f>
        <v>1</v>
      </c>
      <c r="CK362" s="60" t="n">
        <f aca="false">O362*BK362/BW362</f>
        <v>0</v>
      </c>
      <c r="CL362" s="60" t="n">
        <f aca="false">P362*BL362/BW362</f>
        <v>0</v>
      </c>
      <c r="CM362" s="60" t="n">
        <f aca="false">Q362*BM362/BW362</f>
        <v>0</v>
      </c>
      <c r="CN362" s="60" t="n">
        <f aca="false">R362*BN362/BW362</f>
        <v>0</v>
      </c>
      <c r="CO362" s="60" t="n">
        <f aca="false">S362*BO362/BW362</f>
        <v>0</v>
      </c>
      <c r="CP362" s="60" t="n">
        <f aca="false">T362*BP362/BW362</f>
        <v>0</v>
      </c>
      <c r="CQ362" s="60" t="n">
        <f aca="false">U362*BQ362/BW362</f>
        <v>0</v>
      </c>
      <c r="CR362" s="60" t="n">
        <f aca="false">V362*BR362/BW362</f>
        <v>0</v>
      </c>
      <c r="CS362" s="60" t="n">
        <f aca="false">W362*BS362/BW362</f>
        <v>0</v>
      </c>
      <c r="CT362" s="60" t="n">
        <f aca="false">X362*BT362/BW362</f>
        <v>0</v>
      </c>
      <c r="CU362" s="60" t="n">
        <f aca="false">Y362*BU362/BW362</f>
        <v>0</v>
      </c>
      <c r="CV362" s="60" t="n">
        <f aca="false">$E$28*SUMPRODUCT($E$31:$P$31,BX362:CI362,$E$28:$P$28)</f>
        <v>0.184416866619846</v>
      </c>
      <c r="CW362" s="60" t="n">
        <f aca="false">$F$28*SUMPRODUCT($E$32:$P$32,BX362:CI362,$E$28:$P$28)</f>
        <v>0</v>
      </c>
      <c r="CX362" s="60" t="n">
        <f aca="false">$G$28*SUMPRODUCT($E$33:$P$33,BX362:CI362,$E$28:$P$28)</f>
        <v>0</v>
      </c>
      <c r="CY362" s="60" t="n">
        <f aca="false">$H$28*SUMPRODUCT($E$34:$P$34,BX362:CI362,$E$28:$P$28)</f>
        <v>0</v>
      </c>
      <c r="CZ362" s="60" t="n">
        <f aca="false">$I$28*SUMPRODUCT($E$35:$P$35,BX362:CI362,$E$28:$P$28)</f>
        <v>0</v>
      </c>
      <c r="DA362" s="60" t="n">
        <f aca="false">$J$28*SUMPRODUCT($E$36:$P$36,BX362:CI362,$E$28:$P$28)</f>
        <v>0</v>
      </c>
      <c r="DB362" s="60" t="n">
        <f aca="false">$K$28*SUMPRODUCT($E$37:$P$37,BX362:CI362,$E$28:$P$28)</f>
        <v>0</v>
      </c>
      <c r="DC362" s="60" t="n">
        <f aca="false">$L$28*SUMPRODUCT($E$38:$P$38,BX362:CI362,$E$28:$P$28)</f>
        <v>0</v>
      </c>
      <c r="DD362" s="60" t="n">
        <f aca="false">$M$28*SUMPRODUCT($E$39:$P$39,BX362:CI362,$E$28:$P$28)</f>
        <v>0</v>
      </c>
      <c r="DE362" s="60" t="n">
        <f aca="false">$N$28*SUMPRODUCT($E$40:$P$40,BX362:CI362,$E$28:$P$28)</f>
        <v>0</v>
      </c>
      <c r="DF362" s="60" t="n">
        <f aca="false">$O$28*SUMPRODUCT($E$41:$P$41,BX362:CI362,$E$28:$P$28)</f>
        <v>0</v>
      </c>
      <c r="DG362" s="60" t="n">
        <f aca="false">$P$28*SUMPRODUCT($E$42:$P$42,BX362:CI362,$E$28:$P$28)</f>
        <v>0</v>
      </c>
      <c r="DH362" s="60" t="n">
        <f aca="false">SUMPRODUCT(BX362:CI362,CV362:DG362)</f>
        <v>0.184416866619846</v>
      </c>
      <c r="DI362" s="60" t="n">
        <f aca="false">SUMPRODUCT(BX362:CI362,$E$27:$P$27)</f>
        <v>2.67389635063809E-005</v>
      </c>
      <c r="DJ362" s="60" t="n">
        <f aca="false">DH362*$C$9/($C$10*$C$8)^2</f>
        <v>0.21776909410545</v>
      </c>
      <c r="DK362" s="60" t="n">
        <f aca="false">DI362*$C$9/($C$10*$C$8)</f>
        <v>0.0918845243259994</v>
      </c>
      <c r="DL362" s="60" t="n">
        <f aca="false">CHOOSE($C$7,-(1+DK362),-1,-(1-DK362))</f>
        <v>-0.908115475674001</v>
      </c>
      <c r="DM362" s="60" t="n">
        <f aca="false">CHOOSE($C$7,DJ362,DJ362-DK362-DK362^2,DJ362-3*DK362^2-2*DK362)</f>
        <v>0.00867174802160559</v>
      </c>
      <c r="DN362" s="60" t="n">
        <f aca="false">CHOOSE($C$7,-DJ362*DK362,-DJ362*DK362,-(DJ362*DK362-DK362^2-DK362^3))</f>
        <v>-0.0107910842936637</v>
      </c>
      <c r="DO362" s="60" t="n">
        <f aca="false">DM362-DL362^2/3</f>
        <v>-0.266219491031267</v>
      </c>
      <c r="DP362" s="60" t="n">
        <f aca="false">2*DL362^3/27-DL362*DM362/3+DN362</f>
        <v>-0.0636400988362784</v>
      </c>
      <c r="DQ362" s="60" t="n">
        <f aca="false">DP362^2/4+DO362^3/27</f>
        <v>0.000313710901361829</v>
      </c>
      <c r="DR362" s="60" t="n">
        <f aca="false">-DP362/2-IF(DP362&gt;=0,1,-1)*SQRT(MAX(DQ362,0))</f>
        <v>0.0495319352963236</v>
      </c>
      <c r="DS362" s="60" t="n">
        <f aca="false">SIGN(DR362)*ABS(DR362)^(1/3)</f>
        <v>0.367249967174439</v>
      </c>
      <c r="DT362" s="60" t="n">
        <f aca="false">IF(DS362=0,0,DS362-DO362/(3*DS362))</f>
        <v>0.60888329127384</v>
      </c>
      <c r="DU362" s="60" t="n">
        <f aca="false">2*SQRT(MAX(-DO362,0)/3)</f>
        <v>0.595784626668918</v>
      </c>
      <c r="DV362" s="60" t="n">
        <f aca="false">ACOS(IF(DU362=0,0,MAX(-1,MIN(1,3*DP362/(DO362*DU362)))))</f>
        <v>0</v>
      </c>
      <c r="DW362" s="60" t="n">
        <f aca="false">DU362*COS(DV362/3)</f>
        <v>0.595784626668918</v>
      </c>
      <c r="DX362" s="60" t="n">
        <f aca="false">IF(DQ362&lt;0,DW362,DT362)-DL362/3</f>
        <v>0.91158844983184</v>
      </c>
      <c r="DY362" s="60" t="n">
        <f aca="false">IFERROR((((DX362+DL362)*DX362+DM362)*DX362+DN362)/((3*DX362+2*DL362)*DX362+DM362),0)</f>
        <v>0</v>
      </c>
      <c r="DZ362" s="60" t="n">
        <f aca="false">IF(ABS(DY362)&lt;0.1*ABS(DX362),DX362-DY362,DX362)</f>
        <v>0.91158844983184</v>
      </c>
      <c r="EA362" s="60" t="n">
        <f aca="false">IFERROR((((DZ362+DL362)*DZ362+DM362)*DZ362+DN362)/((3*DZ362+2*DL362)*DZ362+DM362),0)</f>
        <v>0</v>
      </c>
      <c r="EB362" s="60" t="n">
        <f aca="false">IF(ABS(EA362)&lt;0.1*ABS(DZ362),DZ362-EA362,DZ362)</f>
        <v>0.91158844983184</v>
      </c>
      <c r="EC362" s="60" t="n">
        <f aca="false">-DN362/EB362</f>
        <v>0.0118376711504565</v>
      </c>
      <c r="ED362" s="60" t="n">
        <f aca="false">(DM362-EC362)/EB362</f>
        <v>-0.00347297415783941</v>
      </c>
      <c r="EE362" s="60" t="n">
        <f aca="false">ED362^2-4*EC362</f>
        <v>-0.0473386230523248</v>
      </c>
      <c r="EF362" s="60" t="n">
        <f aca="false">IF(EE362&gt;=0,(ED362+IF(ED362&gt;=0,1,-1)*SQRT(EE362))/2,0)</f>
        <v>0</v>
      </c>
      <c r="EG362" s="60" t="n">
        <f aca="false">IF(AND(EE362&gt;=0,EF362&lt;&gt;0),MIN(EF362,EC362/EF362),-1)</f>
        <v>-1</v>
      </c>
      <c r="EH362" s="60" t="n">
        <f aca="false">AND(EE362&gt;=0,EG362&gt;DK362,ABS(EB362-EG362)&gt;=0.00005*MAX(EB362,EG362))</f>
        <v>0</v>
      </c>
      <c r="EI362" s="60" t="n">
        <f aca="false">IF(EH362,IFERROR((((EG362+DL362)*EG362+DM362)*EG362+DN362)/((3*EG362+2*DL362)*EG362+DM362),0),0)</f>
        <v>0</v>
      </c>
      <c r="EJ362" s="60" t="n">
        <f aca="false">IF(ABS(EI362)&lt;0.1*ABS(EG362),EG362-EI362,EG362)</f>
        <v>-1</v>
      </c>
      <c r="EK362" s="60" t="n">
        <f aca="false">IF(EH362,IFERROR((((EJ362+DL362)*EJ362+DM362)*EJ362+DN362)/((3*EJ362+2*DL362)*EJ362+DM362),0),0)</f>
        <v>0</v>
      </c>
      <c r="EL362" s="60" t="n">
        <f aca="false">IF(ABS(EK362)&lt;0.1*ABS(EJ362),EJ362-EK362,EJ362)</f>
        <v>-1</v>
      </c>
      <c r="EM362" s="60" t="n">
        <f aca="false">IF(EH362,MAX(EB362,EL362),EB362)</f>
        <v>0.91158844983184</v>
      </c>
      <c r="EN362" s="60" t="n">
        <f aca="false">IF(EH362,MIN(EB362,EL362),-1)</f>
        <v>-1</v>
      </c>
      <c r="EO362" s="60" t="n">
        <f aca="false">CHOOSE($C$7,DJ362/EM362,DJ362/DK362*LN(1+DK362/EM362),DJ362/(2*SQRT(2)*DK362)*LN((EM362+(1+SQRT(2))*DK362)/(EM362+(1-SQRT(2))*DK362)))</f>
        <v>0.218240791233887</v>
      </c>
      <c r="EP362" s="60" t="n">
        <f aca="false">EM362-1-LN(EM362-DK362)-EO362</f>
        <v>-0.107840271021729</v>
      </c>
      <c r="EQ362" s="60" t="n">
        <f aca="false">IF(EH362,CHOOSE($C$7,DJ362/EN362,DJ362/DK362*LN(1+DK362/EN362),DJ362/(2*SQRT(2)*DK362)*LN((EN362+(1+SQRT(2))*DK362)/(EN362+(1-SQRT(2))*DK362))),0)</f>
        <v>0</v>
      </c>
      <c r="ER362" s="60" t="n">
        <f aca="false">IF(EH362,EN362-1-LN(EN362-DK362)-EQ362,0)</f>
        <v>0</v>
      </c>
      <c r="ES362" s="60" t="n">
        <f aca="false">AND(EH362,ER362&lt;EP362)</f>
        <v>0</v>
      </c>
      <c r="ET362" s="60" t="n">
        <f aca="false">IF(ES362,EN362,EM362)</f>
        <v>0.91158844983184</v>
      </c>
      <c r="EU362" s="60" t="n">
        <f aca="false">IF(ES362,EQ362,EO362)</f>
        <v>0.218240791233887</v>
      </c>
      <c r="EV362" s="60" t="n">
        <f aca="false">LN(ET362-DK362)</f>
        <v>-0.198812070380318</v>
      </c>
      <c r="EW362" s="60" t="n">
        <f aca="false">$E$27/DI362*(ET362-1)-EV362-EU362*(2*CV362/DH362-$E$27/DI362)</f>
        <v>-0.107840271021729</v>
      </c>
      <c r="EX362" s="60" t="n">
        <f aca="false">$F$27/DI362*(ET362-1)-EV362-EU362*(2*CW362/DH362-$F$27/DI362)</f>
        <v>0.198812070380318</v>
      </c>
      <c r="EY362" s="60" t="n">
        <f aca="false">$G$27/DI362*(ET362-1)-EV362-EU362*(2*CX362/DH362-$G$27/DI362)</f>
        <v>0.198812070380318</v>
      </c>
      <c r="EZ362" s="60" t="n">
        <f aca="false">$H$27/DI362*(ET362-1)-EV362-EU362*(2*CY362/DH362-$H$27/DI362)</f>
        <v>0.198812070380318</v>
      </c>
      <c r="FA362" s="60" t="n">
        <f aca="false">$I$27/DI362*(ET362-1)-EV362-EU362*(2*CZ362/DH362-$I$27/DI362)</f>
        <v>0.198812070380318</v>
      </c>
      <c r="FB362" s="60" t="n">
        <f aca="false">$J$27/DI362*(ET362-1)-EV362-EU362*(2*DA362/DH362-$J$27/DI362)</f>
        <v>0.198812070380318</v>
      </c>
      <c r="FC362" s="60" t="n">
        <f aca="false">$K$27/DI362*(ET362-1)-EV362-EU362*(2*DB362/DH362-$K$27/DI362)</f>
        <v>0.198812070380318</v>
      </c>
      <c r="FD362" s="60" t="n">
        <f aca="false">$L$27/DI362*(ET362-1)-EV362-EU362*(2*DC362/DH362-$L$27/DI362)</f>
        <v>0.198812070380318</v>
      </c>
      <c r="FE362" s="60" t="n">
        <f aca="false">$M$27/DI362*(ET362-1)-EV362-EU362*(2*DD362/DH362-$M$27/DI362)</f>
        <v>0.198812070380318</v>
      </c>
      <c r="FF362" s="60" t="n">
        <f aca="false">$N$27/DI362*(ET362-1)-EV362-EU362*(2*DE362/DH362-$N$27/DI362)</f>
        <v>0.198812070380318</v>
      </c>
      <c r="FG362" s="60" t="n">
        <f aca="false">$O$27/DI362*(ET362-1)-EV362-EU362*(2*DF362/DH362-$O$27/DI362)</f>
        <v>0.198812070380318</v>
      </c>
      <c r="FH362" s="60" t="n">
        <f aca="false">$P$27/DI362*(ET362-1)-EV362-EU362*(2*DG362/DH362-$P$27/DI362)</f>
        <v>0.198812070380318</v>
      </c>
      <c r="FI362" s="60" t="n">
        <f aca="false">DK362/ET362&gt;$C$22</f>
        <v>0</v>
      </c>
      <c r="FJ362" s="60" t="n">
        <f aca="false">$E$28*SUMPRODUCT($E$31:$P$31,CJ362:CU362,$E$28:$P$28)</f>
        <v>0.184416866619846</v>
      </c>
      <c r="FK362" s="60" t="n">
        <f aca="false">$F$28*SUMPRODUCT($E$32:$P$32,CJ362:CU362,$E$28:$P$28)</f>
        <v>0</v>
      </c>
      <c r="FL362" s="60" t="n">
        <f aca="false">$G$28*SUMPRODUCT($E$33:$P$33,CJ362:CU362,$E$28:$P$28)</f>
        <v>0</v>
      </c>
      <c r="FM362" s="60" t="n">
        <f aca="false">$H$28*SUMPRODUCT($E$34:$P$34,CJ362:CU362,$E$28:$P$28)</f>
        <v>0</v>
      </c>
      <c r="FN362" s="60" t="n">
        <f aca="false">$I$28*SUMPRODUCT($E$35:$P$35,CJ362:CU362,$E$28:$P$28)</f>
        <v>0</v>
      </c>
      <c r="FO362" s="60" t="n">
        <f aca="false">$J$28*SUMPRODUCT($E$36:$P$36,CJ362:CU362,$E$28:$P$28)</f>
        <v>0</v>
      </c>
      <c r="FP362" s="60" t="n">
        <f aca="false">$K$28*SUMPRODUCT($E$37:$P$37,CJ362:CU362,$E$28:$P$28)</f>
        <v>0</v>
      </c>
      <c r="FQ362" s="60" t="n">
        <f aca="false">$L$28*SUMPRODUCT($E$38:$P$38,CJ362:CU362,$E$28:$P$28)</f>
        <v>0</v>
      </c>
      <c r="FR362" s="60" t="n">
        <f aca="false">$M$28*SUMPRODUCT($E$39:$P$39,CJ362:CU362,$E$28:$P$28)</f>
        <v>0</v>
      </c>
      <c r="FS362" s="60" t="n">
        <f aca="false">$N$28*SUMPRODUCT($E$40:$P$40,CJ362:CU362,$E$28:$P$28)</f>
        <v>0</v>
      </c>
      <c r="FT362" s="60" t="n">
        <f aca="false">$O$28*SUMPRODUCT($E$41:$P$41,CJ362:CU362,$E$28:$P$28)</f>
        <v>0</v>
      </c>
      <c r="FU362" s="60" t="n">
        <f aca="false">$P$28*SUMPRODUCT($E$42:$P$42,CJ362:CU362,$E$28:$P$28)</f>
        <v>0</v>
      </c>
      <c r="FV362" s="60" t="n">
        <f aca="false">SUMPRODUCT(CJ362:CU362,FJ362:FU362)</f>
        <v>0.184416866619846</v>
      </c>
      <c r="FW362" s="60" t="n">
        <f aca="false">SUMPRODUCT(CJ362:CU362,$E$27:$P$27)</f>
        <v>2.67389635063809E-005</v>
      </c>
      <c r="FX362" s="60" t="n">
        <f aca="false">FV362*$C$9/($C$10*$C$8)^2</f>
        <v>0.21776909410545</v>
      </c>
      <c r="FY362" s="60" t="n">
        <f aca="false">FW362*$C$9/($C$10*$C$8)</f>
        <v>0.0918845243259994</v>
      </c>
      <c r="FZ362" s="60" t="n">
        <f aca="false">CHOOSE($C$7,-(1+FY362),-1,-(1-FY362))</f>
        <v>-0.908115475674001</v>
      </c>
      <c r="GA362" s="60" t="n">
        <f aca="false">CHOOSE($C$7,FX362,FX362-FY362-FY362^2,FX362-3*FY362^2-2*FY362)</f>
        <v>0.00867174802160559</v>
      </c>
      <c r="GB362" s="60" t="n">
        <f aca="false">CHOOSE($C$7,-FX362*FY362,-FX362*FY362,-(FX362*FY362-FY362^2-FY362^3))</f>
        <v>-0.0107910842936637</v>
      </c>
      <c r="GC362" s="60" t="n">
        <f aca="false">GA362-FZ362^2/3</f>
        <v>-0.266219491031267</v>
      </c>
      <c r="GD362" s="60" t="n">
        <f aca="false">2*FZ362^3/27-FZ362*GA362/3+GB362</f>
        <v>-0.0636400988362784</v>
      </c>
      <c r="GE362" s="60" t="n">
        <f aca="false">GD362^2/4+GC362^3/27</f>
        <v>0.000313710901361829</v>
      </c>
      <c r="GF362" s="60" t="n">
        <f aca="false">-GD362/2-IF(GD362&gt;=0,1,-1)*SQRT(MAX(GE362,0))</f>
        <v>0.0495319352963236</v>
      </c>
      <c r="GG362" s="60" t="n">
        <f aca="false">SIGN(GF362)*ABS(GF362)^(1/3)</f>
        <v>0.367249967174439</v>
      </c>
      <c r="GH362" s="60" t="n">
        <f aca="false">IF(GG362=0,0,GG362-GC362/(3*GG362))</f>
        <v>0.60888329127384</v>
      </c>
      <c r="GI362" s="60" t="n">
        <f aca="false">2*SQRT(MAX(-GC362,0)/3)</f>
        <v>0.595784626668918</v>
      </c>
      <c r="GJ362" s="60" t="n">
        <f aca="false">ACOS(IF(GI362=0,0,MAX(-1,MIN(1,3*GD362/(GC362*GI362)))))</f>
        <v>0</v>
      </c>
      <c r="GK362" s="60" t="n">
        <f aca="false">GI362*COS(GJ362/3)</f>
        <v>0.595784626668918</v>
      </c>
      <c r="GL362" s="60" t="n">
        <f aca="false">IF(GE362&lt;0,GK362,GH362)-FZ362/3</f>
        <v>0.91158844983184</v>
      </c>
      <c r="GM362" s="60" t="n">
        <f aca="false">IFERROR((((GL362+FZ362)*GL362+GA362)*GL362+GB362)/((3*GL362+2*FZ362)*GL362+GA362),0)</f>
        <v>0</v>
      </c>
      <c r="GN362" s="60" t="n">
        <f aca="false">IF(ABS(GM362)&lt;0.1*ABS(GL362),GL362-GM362,GL362)</f>
        <v>0.91158844983184</v>
      </c>
      <c r="GO362" s="60" t="n">
        <f aca="false">IFERROR((((GN362+FZ362)*GN362+GA362)*GN362+GB362)/((3*GN362+2*FZ362)*GN362+GA362),0)</f>
        <v>0</v>
      </c>
      <c r="GP362" s="60" t="n">
        <f aca="false">IF(ABS(GO362)&lt;0.1*ABS(GN362),GN362-GO362,GN362)</f>
        <v>0.91158844983184</v>
      </c>
      <c r="GQ362" s="60" t="n">
        <f aca="false">-GB362/GP362</f>
        <v>0.0118376711504565</v>
      </c>
      <c r="GR362" s="60" t="n">
        <f aca="false">(GA362-GQ362)/GP362</f>
        <v>-0.00347297415783941</v>
      </c>
      <c r="GS362" s="60" t="n">
        <f aca="false">GR362^2-4*GQ362</f>
        <v>-0.0473386230523248</v>
      </c>
      <c r="GT362" s="60" t="n">
        <f aca="false">IF(GS362&gt;=0,(GR362+IF(GR362&gt;=0,1,-1)*SQRT(GS362))/2,0)</f>
        <v>0</v>
      </c>
      <c r="GU362" s="60" t="n">
        <f aca="false">IF(AND(GS362&gt;=0,GT362&lt;&gt;0),MIN(GT362,GQ362/GT362),-1)</f>
        <v>-1</v>
      </c>
      <c r="GV362" s="60" t="n">
        <f aca="false">AND(GS362&gt;=0,GU362&gt;FY362,ABS(GP362-GU362)&gt;=0.00005*MAX(GP362,GU362))</f>
        <v>0</v>
      </c>
      <c r="GW362" s="60" t="n">
        <f aca="false">IF(GV362,IFERROR((((GU362+FZ362)*GU362+GA362)*GU362+GB362)/((3*GU362+2*FZ362)*GU362+GA362),0),0)</f>
        <v>0</v>
      </c>
      <c r="GX362" s="60" t="n">
        <f aca="false">IF(ABS(GW362)&lt;0.1*ABS(GU362),GU362-GW362,GU362)</f>
        <v>-1</v>
      </c>
      <c r="GY362" s="60" t="n">
        <f aca="false">IF(GV362,IFERROR((((GX362+FZ362)*GX362+GA362)*GX362+GB362)/((3*GX362+2*FZ362)*GX362+GA362),0),0)</f>
        <v>0</v>
      </c>
      <c r="GZ362" s="60" t="n">
        <f aca="false">IF(ABS(GY362)&lt;0.1*ABS(GX362),GX362-GY362,GX362)</f>
        <v>-1</v>
      </c>
      <c r="HA362" s="60" t="n">
        <f aca="false">IF(GV362,MAX(GP362,GZ362),GP362)</f>
        <v>0.91158844983184</v>
      </c>
      <c r="HB362" s="60" t="n">
        <f aca="false">IF(GV362,MIN(GP362,GZ362),-1)</f>
        <v>-1</v>
      </c>
      <c r="HC362" s="60" t="n">
        <f aca="false">CHOOSE($C$7,FX362/HA362,FX362/FY362*LN(1+FY362/HA362),FX362/(2*SQRT(2)*FY362)*LN((HA362+(1+SQRT(2))*FY362)/(HA362+(1-SQRT(2))*FY362)))</f>
        <v>0.218240791233887</v>
      </c>
      <c r="HD362" s="60" t="n">
        <f aca="false">HA362-1-LN(HA362-FY362)-HC362</f>
        <v>-0.107840271021729</v>
      </c>
      <c r="HE362" s="60" t="n">
        <f aca="false">IF(GV362,CHOOSE($C$7,FX362/HB362,FX362/FY362*LN(1+FY362/HB362),FX362/(2*SQRT(2)*FY362)*LN((HB362+(1+SQRT(2))*FY362)/(HB362+(1-SQRT(2))*FY362))),0)</f>
        <v>0</v>
      </c>
      <c r="HF362" s="60" t="n">
        <f aca="false">IF(GV362,HB362-1-LN(HB362-FY362)-HE362,0)</f>
        <v>0</v>
      </c>
      <c r="HG362" s="60" t="n">
        <f aca="false">AND(GV362,HF362&lt;HD362)</f>
        <v>0</v>
      </c>
      <c r="HH362" s="60" t="n">
        <f aca="false">IF(HG362,HB362,HA362)</f>
        <v>0.91158844983184</v>
      </c>
      <c r="HI362" s="60" t="n">
        <f aca="false">IF(HG362,HE362,HC362)</f>
        <v>0.218240791233887</v>
      </c>
      <c r="HJ362" s="60" t="n">
        <f aca="false">LN(HH362-FY362)</f>
        <v>-0.198812070380318</v>
      </c>
      <c r="HK362" s="60" t="n">
        <f aca="false">$E$27/FW362*(HH362-1)-HJ362-HI362*(2*FJ362/FV362-$E$27/FW362)</f>
        <v>-0.107840271021729</v>
      </c>
      <c r="HL362" s="60" t="n">
        <f aca="false">$F$27/FW362*(HH362-1)-HJ362-HI362*(2*FK362/FV362-$F$27/FW362)</f>
        <v>0.198812070380318</v>
      </c>
      <c r="HM362" s="60" t="n">
        <f aca="false">$G$27/FW362*(HH362-1)-HJ362-HI362*(2*FL362/FV362-$G$27/FW362)</f>
        <v>0.198812070380318</v>
      </c>
      <c r="HN362" s="60" t="n">
        <f aca="false">$H$27/FW362*(HH362-1)-HJ362-HI362*(2*FM362/FV362-$H$27/FW362)</f>
        <v>0.198812070380318</v>
      </c>
      <c r="HO362" s="60" t="n">
        <f aca="false">$I$27/FW362*(HH362-1)-HJ362-HI362*(2*FN362/FV362-$I$27/FW362)</f>
        <v>0.198812070380318</v>
      </c>
      <c r="HP362" s="60" t="n">
        <f aca="false">$J$27/FW362*(HH362-1)-HJ362-HI362*(2*FO362/FV362-$J$27/FW362)</f>
        <v>0.198812070380318</v>
      </c>
      <c r="HQ362" s="60" t="n">
        <f aca="false">$K$27/FW362*(HH362-1)-HJ362-HI362*(2*FP362/FV362-$K$27/FW362)</f>
        <v>0.198812070380318</v>
      </c>
      <c r="HR362" s="60" t="n">
        <f aca="false">$L$27/FW362*(HH362-1)-HJ362-HI362*(2*FQ362/FV362-$L$27/FW362)</f>
        <v>0.198812070380318</v>
      </c>
      <c r="HS362" s="60" t="n">
        <f aca="false">$M$27/FW362*(HH362-1)-HJ362-HI362*(2*FR362/FV362-$M$27/FW362)</f>
        <v>0.198812070380318</v>
      </c>
      <c r="HT362" s="60" t="n">
        <f aca="false">$N$27/FW362*(HH362-1)-HJ362-HI362*(2*FS362/FV362-$N$27/FW362)</f>
        <v>0.198812070380318</v>
      </c>
      <c r="HU362" s="60" t="n">
        <f aca="false">$O$27/FW362*(HH362-1)-HJ362-HI362*(2*FT362/FV362-$O$27/FW362)</f>
        <v>0.198812070380318</v>
      </c>
      <c r="HV362" s="60" t="n">
        <f aca="false">$P$27/FW362*(HH362-1)-HJ362-HI362*(2*FU362/FV362-$P$27/FW362)</f>
        <v>0.198812070380318</v>
      </c>
      <c r="HW362" s="60" t="n">
        <f aca="false">FY362/HH362&gt;$C$22</f>
        <v>0</v>
      </c>
      <c r="HX362" s="60" t="n">
        <f aca="false">IF($E$13&gt;0,MAX(-300,MIN(300,EW362-HK362)),0)</f>
        <v>0</v>
      </c>
      <c r="HY362" s="60" t="n">
        <f aca="false">IF($F$13&gt;0,MAX(-300,MIN(300,EX362-HL362)),0)</f>
        <v>0</v>
      </c>
      <c r="HZ362" s="60" t="n">
        <f aca="false">IF($G$13&gt;0,MAX(-300,MIN(300,EY362-HM362)),0)</f>
        <v>0</v>
      </c>
      <c r="IA362" s="60" t="n">
        <f aca="false">IF($H$13&gt;0,MAX(-300,MIN(300,EZ362-HN362)),0)</f>
        <v>0</v>
      </c>
      <c r="IB362" s="60" t="n">
        <f aca="false">IF($I$13&gt;0,MAX(-300,MIN(300,FA362-HO362)),0)</f>
        <v>0</v>
      </c>
      <c r="IC362" s="60" t="n">
        <f aca="false">IF($J$13&gt;0,MAX(-300,MIN(300,FB362-HP362)),0)</f>
        <v>0</v>
      </c>
      <c r="ID362" s="60" t="n">
        <f aca="false">IF($K$13&gt;0,MAX(-300,MIN(300,FC362-HQ362)),0)</f>
        <v>0</v>
      </c>
      <c r="IE362" s="60" t="n">
        <f aca="false">IF($L$13&gt;0,MAX(-300,MIN(300,FD362-HR362)),0)</f>
        <v>0</v>
      </c>
      <c r="IF362" s="60" t="n">
        <f aca="false">IF($M$13&gt;0,MAX(-300,MIN(300,FE362-HS362)),0)</f>
        <v>0</v>
      </c>
      <c r="IG362" s="60" t="n">
        <f aca="false">IF($N$13&gt;0,MAX(-300,MIN(300,FF362-HT362)),0)</f>
        <v>0</v>
      </c>
      <c r="IH362" s="60" t="n">
        <f aca="false">IF($O$13&gt;0,MAX(-300,MIN(300,FG362-HU362)),0)</f>
        <v>0</v>
      </c>
      <c r="II362" s="60" t="n">
        <f aca="false">IF($P$13&gt;0,MAX(-300,MIN(300,FH362-HV362)),0)</f>
        <v>0</v>
      </c>
      <c r="IJ362" s="60" t="n">
        <f aca="false">SUMXMY2(HX362:II362,B362:M362)</f>
        <v>2.89483784570895</v>
      </c>
      <c r="IK362" s="60" t="n">
        <f aca="false">SUMSQ(B362:M362)</f>
        <v>2.89483784570895</v>
      </c>
    </row>
    <row r="363" customFormat="false" ht="15" hidden="false" customHeight="false" outlineLevel="0" collapsed="false">
      <c r="A363" s="59" t="n">
        <v>2</v>
      </c>
      <c r="B363" s="60" t="n">
        <f aca="false">HX362</f>
        <v>0</v>
      </c>
      <c r="C363" s="60" t="n">
        <f aca="false">HY362</f>
        <v>0</v>
      </c>
      <c r="D363" s="60" t="n">
        <f aca="false">HZ362</f>
        <v>0</v>
      </c>
      <c r="E363" s="60" t="n">
        <f aca="false">IA362</f>
        <v>0</v>
      </c>
      <c r="F363" s="60" t="n">
        <f aca="false">IB362</f>
        <v>0</v>
      </c>
      <c r="G363" s="60" t="n">
        <f aca="false">IC362</f>
        <v>0</v>
      </c>
      <c r="H363" s="60" t="n">
        <f aca="false">ID362</f>
        <v>0</v>
      </c>
      <c r="I363" s="60" t="n">
        <f aca="false">IE362</f>
        <v>0</v>
      </c>
      <c r="J363" s="60" t="n">
        <f aca="false">IF362</f>
        <v>0</v>
      </c>
      <c r="K363" s="60" t="n">
        <f aca="false">IG362</f>
        <v>0</v>
      </c>
      <c r="L363" s="60" t="n">
        <f aca="false">IH362</f>
        <v>0</v>
      </c>
      <c r="M363" s="60" t="n">
        <f aca="false">II362</f>
        <v>0</v>
      </c>
      <c r="N363" s="60" t="n">
        <f aca="false">EXP(B363)</f>
        <v>1</v>
      </c>
      <c r="O363" s="60" t="n">
        <f aca="false">EXP(C363)</f>
        <v>1</v>
      </c>
      <c r="P363" s="60" t="n">
        <f aca="false">EXP(D363)</f>
        <v>1</v>
      </c>
      <c r="Q363" s="60" t="n">
        <f aca="false">EXP(E363)</f>
        <v>1</v>
      </c>
      <c r="R363" s="60" t="n">
        <f aca="false">EXP(F363)</f>
        <v>1</v>
      </c>
      <c r="S363" s="60" t="n">
        <f aca="false">EXP(G363)</f>
        <v>1</v>
      </c>
      <c r="T363" s="60" t="n">
        <f aca="false">EXP(H363)</f>
        <v>1</v>
      </c>
      <c r="U363" s="60" t="n">
        <f aca="false">EXP(I363)</f>
        <v>1</v>
      </c>
      <c r="V363" s="60" t="n">
        <f aca="false">EXP(J363)</f>
        <v>1</v>
      </c>
      <c r="W363" s="60" t="n">
        <f aca="false">EXP(K363)</f>
        <v>1</v>
      </c>
      <c r="X363" s="60" t="n">
        <f aca="false">EXP(L363)</f>
        <v>1</v>
      </c>
      <c r="Y363" s="60" t="n">
        <f aca="false">EXP(M363)</f>
        <v>1</v>
      </c>
      <c r="Z363" s="60" t="n">
        <f aca="false">MAX(N363:Y363)</f>
        <v>1</v>
      </c>
      <c r="AA363" s="60" t="n">
        <f aca="false">MIN(N363:Y363)</f>
        <v>1</v>
      </c>
      <c r="AB363" s="60" t="n">
        <f aca="false">AND(Z363&gt;1,AA363&lt;1)</f>
        <v>0</v>
      </c>
      <c r="AC363" s="60" t="n">
        <f aca="false">IF(AB363,1/(1-Z363),0)</f>
        <v>0</v>
      </c>
      <c r="AD363" s="60" t="n">
        <f aca="false">IF(AB363,1/(1-AA363),1)</f>
        <v>1</v>
      </c>
      <c r="AE363" s="60" t="n">
        <f aca="false">IF(AB363,MIN(MAX(BI362,AC363+0.000000001*(AD363-AC363)),AD363-0.000000001*(AD363-AC363)),IF(AA363&gt;=1,1,0))</f>
        <v>1</v>
      </c>
      <c r="AF363" s="60" t="n">
        <f aca="false">SUMPRODUCT($E$13:$P$13*(N363:Y363-1)/(1+AE363*(N363:Y363-1)))</f>
        <v>0</v>
      </c>
      <c r="AG363" s="60" t="n">
        <f aca="false">-SUMPRODUCT($E$13:$P$13*(N363:Y363-1)^2/(1+AE363*(N363:Y363-1))^2)</f>
        <v>-0</v>
      </c>
      <c r="AH363" s="60" t="n">
        <f aca="false">IF(OR(NOT(AB363),AG363=0),AE363,IF(AE363-AF363/AG363&lt;=AC363,(AE363+AC363)/2,IF(AE363-AF363/AG363&gt;=AD363,(AE363+AD363)/2,AE363-AF363/AG363)))</f>
        <v>1</v>
      </c>
      <c r="AI363" s="60" t="n">
        <f aca="false">SUMPRODUCT($E$13:$P$13*(N363:Y363-1)/(1+AH363*(N363:Y363-1)))</f>
        <v>0</v>
      </c>
      <c r="AJ363" s="60" t="n">
        <f aca="false">-SUMPRODUCT($E$13:$P$13*(N363:Y363-1)^2/(1+AH363*(N363:Y363-1))^2)</f>
        <v>-0</v>
      </c>
      <c r="AK363" s="60" t="n">
        <f aca="false">IF(OR(NOT(AB363),AJ363=0),AH363,IF(AH363-AI363/AJ363&lt;=AC363,(AH363+AC363)/2,IF(AH363-AI363/AJ363&gt;=AD363,(AH363+AD363)/2,AH363-AI363/AJ363)))</f>
        <v>1</v>
      </c>
      <c r="AL363" s="60" t="n">
        <f aca="false">SUMPRODUCT($E$13:$P$13*(N363:Y363-1)/(1+AK363*(N363:Y363-1)))</f>
        <v>0</v>
      </c>
      <c r="AM363" s="60" t="n">
        <f aca="false">-SUMPRODUCT($E$13:$P$13*(N363:Y363-1)^2/(1+AK363*(N363:Y363-1))^2)</f>
        <v>-0</v>
      </c>
      <c r="AN363" s="60" t="n">
        <f aca="false">IF(OR(NOT(AB363),AM363=0),AK363,IF(AK363-AL363/AM363&lt;=AC363,(AK363+AC363)/2,IF(AK363-AL363/AM363&gt;=AD363,(AK363+AD363)/2,AK363-AL363/AM363)))</f>
        <v>1</v>
      </c>
      <c r="AO363" s="60" t="n">
        <f aca="false">SUMPRODUCT($E$13:$P$13*(N363:Y363-1)/(1+AN363*(N363:Y363-1)))</f>
        <v>0</v>
      </c>
      <c r="AP363" s="60" t="n">
        <f aca="false">-SUMPRODUCT($E$13:$P$13*(N363:Y363-1)^2/(1+AN363*(N363:Y363-1))^2)</f>
        <v>-0</v>
      </c>
      <c r="AQ363" s="60" t="n">
        <f aca="false">IF(OR(NOT(AB363),AP363=0),AN363,IF(AN363-AO363/AP363&lt;=AC363,(AN363+AC363)/2,IF(AN363-AO363/AP363&gt;=AD363,(AN363+AD363)/2,AN363-AO363/AP363)))</f>
        <v>1</v>
      </c>
      <c r="AR363" s="60" t="n">
        <f aca="false">SUMPRODUCT($E$13:$P$13*(N363:Y363-1)/(1+AQ363*(N363:Y363-1)))</f>
        <v>0</v>
      </c>
      <c r="AS363" s="60" t="n">
        <f aca="false">-SUMPRODUCT($E$13:$P$13*(N363:Y363-1)^2/(1+AQ363*(N363:Y363-1))^2)</f>
        <v>-0</v>
      </c>
      <c r="AT363" s="60" t="n">
        <f aca="false">IF(OR(NOT(AB363),AS363=0),AQ363,IF(AQ363-AR363/AS363&lt;=AC363,(AQ363+AC363)/2,IF(AQ363-AR363/AS363&gt;=AD363,(AQ363+AD363)/2,AQ363-AR363/AS363)))</f>
        <v>1</v>
      </c>
      <c r="AU363" s="60" t="n">
        <f aca="false">SUMPRODUCT($E$13:$P$13*(N363:Y363-1)/(1+AT363*(N363:Y363-1)))</f>
        <v>0</v>
      </c>
      <c r="AV363" s="60" t="n">
        <f aca="false">-SUMPRODUCT($E$13:$P$13*(N363:Y363-1)^2/(1+AT363*(N363:Y363-1))^2)</f>
        <v>-0</v>
      </c>
      <c r="AW363" s="60" t="n">
        <f aca="false">IF(OR(NOT(AB363),AV363=0),AT363,IF(AT363-AU363/AV363&lt;=AC363,(AT363+AC363)/2,IF(AT363-AU363/AV363&gt;=AD363,(AT363+AD363)/2,AT363-AU363/AV363)))</f>
        <v>1</v>
      </c>
      <c r="AX363" s="60" t="n">
        <f aca="false">SUMPRODUCT($E$13:$P$13*(N363:Y363-1)/(1+AW363*(N363:Y363-1)))</f>
        <v>0</v>
      </c>
      <c r="AY363" s="60" t="n">
        <f aca="false">-SUMPRODUCT($E$13:$P$13*(N363:Y363-1)^2/(1+AW363*(N363:Y363-1))^2)</f>
        <v>-0</v>
      </c>
      <c r="AZ363" s="60" t="n">
        <f aca="false">IF(OR(NOT(AB363),AY363=0),AW363,IF(AW363-AX363/AY363&lt;=AC363,(AW363+AC363)/2,IF(AW363-AX363/AY363&gt;=AD363,(AW363+AD363)/2,AW363-AX363/AY363)))</f>
        <v>1</v>
      </c>
      <c r="BA363" s="60" t="n">
        <f aca="false">SUMPRODUCT($E$13:$P$13*(N363:Y363-1)/(1+AZ363*(N363:Y363-1)))</f>
        <v>0</v>
      </c>
      <c r="BB363" s="60" t="n">
        <f aca="false">-SUMPRODUCT($E$13:$P$13*(N363:Y363-1)^2/(1+AZ363*(N363:Y363-1))^2)</f>
        <v>-0</v>
      </c>
      <c r="BC363" s="60" t="n">
        <f aca="false">IF(OR(NOT(AB363),BB363=0),AZ363,IF(AZ363-BA363/BB363&lt;=AC363,(AZ363+AC363)/2,IF(AZ363-BA363/BB363&gt;=AD363,(AZ363+AD363)/2,AZ363-BA363/BB363)))</f>
        <v>1</v>
      </c>
      <c r="BD363" s="60" t="n">
        <f aca="false">SUMPRODUCT($E$13:$P$13*(N363:Y363-1)/(1+BC363*(N363:Y363-1)))</f>
        <v>0</v>
      </c>
      <c r="BE363" s="60" t="n">
        <f aca="false">-SUMPRODUCT($E$13:$P$13*(N363:Y363-1)^2/(1+BC363*(N363:Y363-1))^2)</f>
        <v>-0</v>
      </c>
      <c r="BF363" s="60" t="n">
        <f aca="false">IF(OR(NOT(AB363),BE363=0),BC363,IF(BC363-BD363/BE363&lt;=AC363,(BC363+AC363)/2,IF(BC363-BD363/BE363&gt;=AD363,(BC363+AD363)/2,BC363-BD363/BE363)))</f>
        <v>1</v>
      </c>
      <c r="BG363" s="60" t="n">
        <f aca="false">SUMPRODUCT($E$13:$P$13*(N363:Y363-1)/(1+BF363*(N363:Y363-1)))</f>
        <v>0</v>
      </c>
      <c r="BH363" s="60" t="n">
        <f aca="false">-SUMPRODUCT($E$13:$P$13*(N363:Y363-1)^2/(1+BF363*(N363:Y363-1))^2)</f>
        <v>-0</v>
      </c>
      <c r="BI363" s="60" t="n">
        <f aca="false">IF(OR(NOT(AB363),BH363=0),BF363,IF(BF363-BG363/BH363&lt;=AC363,(BF363+AC363)/2,IF(BF363-BG363/BH363&gt;=AD363,(BF363+AD363)/2,BF363-BG363/BH363)))</f>
        <v>1</v>
      </c>
      <c r="BJ363" s="60" t="n">
        <f aca="false">$E$13/(1+BI363*(N363-1))</f>
        <v>1</v>
      </c>
      <c r="BK363" s="60" t="n">
        <f aca="false">$F$13/(1+BI363*(O363-1))</f>
        <v>0</v>
      </c>
      <c r="BL363" s="60" t="n">
        <f aca="false">$G$13/(1+BI363*(P363-1))</f>
        <v>0</v>
      </c>
      <c r="BM363" s="60" t="n">
        <f aca="false">$H$13/(1+BI363*(Q363-1))</f>
        <v>0</v>
      </c>
      <c r="BN363" s="60" t="n">
        <f aca="false">$I$13/(1+BI363*(R363-1))</f>
        <v>0</v>
      </c>
      <c r="BO363" s="60" t="n">
        <f aca="false">$J$13/(1+BI363*(S363-1))</f>
        <v>0</v>
      </c>
      <c r="BP363" s="60" t="n">
        <f aca="false">$K$13/(1+BI363*(T363-1))</f>
        <v>0</v>
      </c>
      <c r="BQ363" s="60" t="n">
        <f aca="false">$L$13/(1+BI363*(U363-1))</f>
        <v>0</v>
      </c>
      <c r="BR363" s="60" t="n">
        <f aca="false">$M$13/(1+BI363*(V363-1))</f>
        <v>0</v>
      </c>
      <c r="BS363" s="60" t="n">
        <f aca="false">$N$13/(1+BI363*(W363-1))</f>
        <v>0</v>
      </c>
      <c r="BT363" s="60" t="n">
        <f aca="false">$O$13/(1+BI363*(X363-1))</f>
        <v>0</v>
      </c>
      <c r="BU363" s="60" t="n">
        <f aca="false">$P$13/(1+BI363*(Y363-1))</f>
        <v>0</v>
      </c>
      <c r="BV363" s="60" t="n">
        <f aca="false">SUM(BJ363:BU363)</f>
        <v>1</v>
      </c>
      <c r="BW363" s="60" t="n">
        <f aca="false">SUMPRODUCT(N363:Y363,BJ363:BU363)</f>
        <v>1</v>
      </c>
      <c r="BX363" s="60" t="n">
        <f aca="false">BJ363/BV363</f>
        <v>1</v>
      </c>
      <c r="BY363" s="60" t="n">
        <f aca="false">BK363/BV363</f>
        <v>0</v>
      </c>
      <c r="BZ363" s="60" t="n">
        <f aca="false">BL363/BV363</f>
        <v>0</v>
      </c>
      <c r="CA363" s="60" t="n">
        <f aca="false">BM363/BV363</f>
        <v>0</v>
      </c>
      <c r="CB363" s="60" t="n">
        <f aca="false">BN363/BV363</f>
        <v>0</v>
      </c>
      <c r="CC363" s="60" t="n">
        <f aca="false">BO363/BV363</f>
        <v>0</v>
      </c>
      <c r="CD363" s="60" t="n">
        <f aca="false">BP363/BV363</f>
        <v>0</v>
      </c>
      <c r="CE363" s="60" t="n">
        <f aca="false">BQ363/BV363</f>
        <v>0</v>
      </c>
      <c r="CF363" s="60" t="n">
        <f aca="false">BR363/BV363</f>
        <v>0</v>
      </c>
      <c r="CG363" s="60" t="n">
        <f aca="false">BS363/BV363</f>
        <v>0</v>
      </c>
      <c r="CH363" s="60" t="n">
        <f aca="false">BT363/BV363</f>
        <v>0</v>
      </c>
      <c r="CI363" s="60" t="n">
        <f aca="false">BU363/BV363</f>
        <v>0</v>
      </c>
      <c r="CJ363" s="60" t="n">
        <f aca="false">N363*BJ363/BW363</f>
        <v>1</v>
      </c>
      <c r="CK363" s="60" t="n">
        <f aca="false">O363*BK363/BW363</f>
        <v>0</v>
      </c>
      <c r="CL363" s="60" t="n">
        <f aca="false">P363*BL363/BW363</f>
        <v>0</v>
      </c>
      <c r="CM363" s="60" t="n">
        <f aca="false">Q363*BM363/BW363</f>
        <v>0</v>
      </c>
      <c r="CN363" s="60" t="n">
        <f aca="false">R363*BN363/BW363</f>
        <v>0</v>
      </c>
      <c r="CO363" s="60" t="n">
        <f aca="false">S363*BO363/BW363</f>
        <v>0</v>
      </c>
      <c r="CP363" s="60" t="n">
        <f aca="false">T363*BP363/BW363</f>
        <v>0</v>
      </c>
      <c r="CQ363" s="60" t="n">
        <f aca="false">U363*BQ363/BW363</f>
        <v>0</v>
      </c>
      <c r="CR363" s="60" t="n">
        <f aca="false">V363*BR363/BW363</f>
        <v>0</v>
      </c>
      <c r="CS363" s="60" t="n">
        <f aca="false">W363*BS363/BW363</f>
        <v>0</v>
      </c>
      <c r="CT363" s="60" t="n">
        <f aca="false">X363*BT363/BW363</f>
        <v>0</v>
      </c>
      <c r="CU363" s="60" t="n">
        <f aca="false">Y363*BU363/BW363</f>
        <v>0</v>
      </c>
      <c r="CV363" s="60" t="n">
        <f aca="false">$E$28*SUMPRODUCT($E$31:$P$31,BX363:CI363,$E$28:$P$28)</f>
        <v>0.184416866619846</v>
      </c>
      <c r="CW363" s="60" t="n">
        <f aca="false">$F$28*SUMPRODUCT($E$32:$P$32,BX363:CI363,$E$28:$P$28)</f>
        <v>0</v>
      </c>
      <c r="CX363" s="60" t="n">
        <f aca="false">$G$28*SUMPRODUCT($E$33:$P$33,BX363:CI363,$E$28:$P$28)</f>
        <v>0</v>
      </c>
      <c r="CY363" s="60" t="n">
        <f aca="false">$H$28*SUMPRODUCT($E$34:$P$34,BX363:CI363,$E$28:$P$28)</f>
        <v>0</v>
      </c>
      <c r="CZ363" s="60" t="n">
        <f aca="false">$I$28*SUMPRODUCT($E$35:$P$35,BX363:CI363,$E$28:$P$28)</f>
        <v>0</v>
      </c>
      <c r="DA363" s="60" t="n">
        <f aca="false">$J$28*SUMPRODUCT($E$36:$P$36,BX363:CI363,$E$28:$P$28)</f>
        <v>0</v>
      </c>
      <c r="DB363" s="60" t="n">
        <f aca="false">$K$28*SUMPRODUCT($E$37:$P$37,BX363:CI363,$E$28:$P$28)</f>
        <v>0</v>
      </c>
      <c r="DC363" s="60" t="n">
        <f aca="false">$L$28*SUMPRODUCT($E$38:$P$38,BX363:CI363,$E$28:$P$28)</f>
        <v>0</v>
      </c>
      <c r="DD363" s="60" t="n">
        <f aca="false">$M$28*SUMPRODUCT($E$39:$P$39,BX363:CI363,$E$28:$P$28)</f>
        <v>0</v>
      </c>
      <c r="DE363" s="60" t="n">
        <f aca="false">$N$28*SUMPRODUCT($E$40:$P$40,BX363:CI363,$E$28:$P$28)</f>
        <v>0</v>
      </c>
      <c r="DF363" s="60" t="n">
        <f aca="false">$O$28*SUMPRODUCT($E$41:$P$41,BX363:CI363,$E$28:$P$28)</f>
        <v>0</v>
      </c>
      <c r="DG363" s="60" t="n">
        <f aca="false">$P$28*SUMPRODUCT($E$42:$P$42,BX363:CI363,$E$28:$P$28)</f>
        <v>0</v>
      </c>
      <c r="DH363" s="60" t="n">
        <f aca="false">SUMPRODUCT(BX363:CI363,CV363:DG363)</f>
        <v>0.184416866619846</v>
      </c>
      <c r="DI363" s="60" t="n">
        <f aca="false">SUMPRODUCT(BX363:CI363,$E$27:$P$27)</f>
        <v>2.67389635063809E-005</v>
      </c>
      <c r="DJ363" s="60" t="n">
        <f aca="false">DH363*$C$9/($C$10*$C$8)^2</f>
        <v>0.21776909410545</v>
      </c>
      <c r="DK363" s="60" t="n">
        <f aca="false">DI363*$C$9/($C$10*$C$8)</f>
        <v>0.0918845243259994</v>
      </c>
      <c r="DL363" s="60" t="n">
        <f aca="false">CHOOSE($C$7,-(1+DK363),-1,-(1-DK363))</f>
        <v>-0.908115475674001</v>
      </c>
      <c r="DM363" s="60" t="n">
        <f aca="false">CHOOSE($C$7,DJ363,DJ363-DK363-DK363^2,DJ363-3*DK363^2-2*DK363)</f>
        <v>0.00867174802160559</v>
      </c>
      <c r="DN363" s="60" t="n">
        <f aca="false">CHOOSE($C$7,-DJ363*DK363,-DJ363*DK363,-(DJ363*DK363-DK363^2-DK363^3))</f>
        <v>-0.0107910842936637</v>
      </c>
      <c r="DO363" s="60" t="n">
        <f aca="false">DM363-DL363^2/3</f>
        <v>-0.266219491031267</v>
      </c>
      <c r="DP363" s="60" t="n">
        <f aca="false">2*DL363^3/27-DL363*DM363/3+DN363</f>
        <v>-0.0636400988362784</v>
      </c>
      <c r="DQ363" s="60" t="n">
        <f aca="false">DP363^2/4+DO363^3/27</f>
        <v>0.000313710901361829</v>
      </c>
      <c r="DR363" s="60" t="n">
        <f aca="false">-DP363/2-IF(DP363&gt;=0,1,-1)*SQRT(MAX(DQ363,0))</f>
        <v>0.0495319352963236</v>
      </c>
      <c r="DS363" s="60" t="n">
        <f aca="false">SIGN(DR363)*ABS(DR363)^(1/3)</f>
        <v>0.367249967174439</v>
      </c>
      <c r="DT363" s="60" t="n">
        <f aca="false">IF(DS363=0,0,DS363-DO363/(3*DS363))</f>
        <v>0.60888329127384</v>
      </c>
      <c r="DU363" s="60" t="n">
        <f aca="false">2*SQRT(MAX(-DO363,0)/3)</f>
        <v>0.595784626668918</v>
      </c>
      <c r="DV363" s="60" t="n">
        <f aca="false">ACOS(IF(DU363=0,0,MAX(-1,MIN(1,3*DP363/(DO363*DU363)))))</f>
        <v>0</v>
      </c>
      <c r="DW363" s="60" t="n">
        <f aca="false">DU363*COS(DV363/3)</f>
        <v>0.595784626668918</v>
      </c>
      <c r="DX363" s="60" t="n">
        <f aca="false">IF(DQ363&lt;0,DW363,DT363)-DL363/3</f>
        <v>0.91158844983184</v>
      </c>
      <c r="DY363" s="60" t="n">
        <f aca="false">IFERROR((((DX363+DL363)*DX363+DM363)*DX363+DN363)/((3*DX363+2*DL363)*DX363+DM363),0)</f>
        <v>0</v>
      </c>
      <c r="DZ363" s="60" t="n">
        <f aca="false">IF(ABS(DY363)&lt;0.1*ABS(DX363),DX363-DY363,DX363)</f>
        <v>0.91158844983184</v>
      </c>
      <c r="EA363" s="60" t="n">
        <f aca="false">IFERROR((((DZ363+DL363)*DZ363+DM363)*DZ363+DN363)/((3*DZ363+2*DL363)*DZ363+DM363),0)</f>
        <v>0</v>
      </c>
      <c r="EB363" s="60" t="n">
        <f aca="false">IF(ABS(EA363)&lt;0.1*ABS(DZ363),DZ363-EA363,DZ363)</f>
        <v>0.91158844983184</v>
      </c>
      <c r="EC363" s="60" t="n">
        <f aca="false">-DN363/EB363</f>
        <v>0.0118376711504565</v>
      </c>
      <c r="ED363" s="60" t="n">
        <f aca="false">(DM363-EC363)/EB363</f>
        <v>-0.00347297415783941</v>
      </c>
      <c r="EE363" s="60" t="n">
        <f aca="false">ED363^2-4*EC363</f>
        <v>-0.0473386230523248</v>
      </c>
      <c r="EF363" s="60" t="n">
        <f aca="false">IF(EE363&gt;=0,(ED363+IF(ED363&gt;=0,1,-1)*SQRT(EE363))/2,0)</f>
        <v>0</v>
      </c>
      <c r="EG363" s="60" t="n">
        <f aca="false">IF(AND(EE363&gt;=0,EF363&lt;&gt;0),MIN(EF363,EC363/EF363),-1)</f>
        <v>-1</v>
      </c>
      <c r="EH363" s="60" t="n">
        <f aca="false">AND(EE363&gt;=0,EG363&gt;DK363,ABS(EB363-EG363)&gt;=0.00005*MAX(EB363,EG363))</f>
        <v>0</v>
      </c>
      <c r="EI363" s="60" t="n">
        <f aca="false">IF(EH363,IFERROR((((EG363+DL363)*EG363+DM363)*EG363+DN363)/((3*EG363+2*DL363)*EG363+DM363),0),0)</f>
        <v>0</v>
      </c>
      <c r="EJ363" s="60" t="n">
        <f aca="false">IF(ABS(EI363)&lt;0.1*ABS(EG363),EG363-EI363,EG363)</f>
        <v>-1</v>
      </c>
      <c r="EK363" s="60" t="n">
        <f aca="false">IF(EH363,IFERROR((((EJ363+DL363)*EJ363+DM363)*EJ363+DN363)/((3*EJ363+2*DL363)*EJ363+DM363),0),0)</f>
        <v>0</v>
      </c>
      <c r="EL363" s="60" t="n">
        <f aca="false">IF(ABS(EK363)&lt;0.1*ABS(EJ363),EJ363-EK363,EJ363)</f>
        <v>-1</v>
      </c>
      <c r="EM363" s="60" t="n">
        <f aca="false">IF(EH363,MAX(EB363,EL363),EB363)</f>
        <v>0.91158844983184</v>
      </c>
      <c r="EN363" s="60" t="n">
        <f aca="false">IF(EH363,MIN(EB363,EL363),-1)</f>
        <v>-1</v>
      </c>
      <c r="EO363" s="60" t="n">
        <f aca="false">CHOOSE($C$7,DJ363/EM363,DJ363/DK363*LN(1+DK363/EM363),DJ363/(2*SQRT(2)*DK363)*LN((EM363+(1+SQRT(2))*DK363)/(EM363+(1-SQRT(2))*DK363)))</f>
        <v>0.218240791233887</v>
      </c>
      <c r="EP363" s="60" t="n">
        <f aca="false">EM363-1-LN(EM363-DK363)-EO363</f>
        <v>-0.107840271021729</v>
      </c>
      <c r="EQ363" s="60" t="n">
        <f aca="false">IF(EH363,CHOOSE($C$7,DJ363/EN363,DJ363/DK363*LN(1+DK363/EN363),DJ363/(2*SQRT(2)*DK363)*LN((EN363+(1+SQRT(2))*DK363)/(EN363+(1-SQRT(2))*DK363))),0)</f>
        <v>0</v>
      </c>
      <c r="ER363" s="60" t="n">
        <f aca="false">IF(EH363,EN363-1-LN(EN363-DK363)-EQ363,0)</f>
        <v>0</v>
      </c>
      <c r="ES363" s="60" t="n">
        <f aca="false">AND(EH363,ER363&lt;EP363)</f>
        <v>0</v>
      </c>
      <c r="ET363" s="60" t="n">
        <f aca="false">IF(ES363,EN363,EM363)</f>
        <v>0.91158844983184</v>
      </c>
      <c r="EU363" s="60" t="n">
        <f aca="false">IF(ES363,EQ363,EO363)</f>
        <v>0.218240791233887</v>
      </c>
      <c r="EV363" s="60" t="n">
        <f aca="false">LN(ET363-DK363)</f>
        <v>-0.198812070380318</v>
      </c>
      <c r="EW363" s="60" t="n">
        <f aca="false">$E$27/DI363*(ET363-1)-EV363-EU363*(2*CV363/DH363-$E$27/DI363)</f>
        <v>-0.107840271021729</v>
      </c>
      <c r="EX363" s="60" t="n">
        <f aca="false">$F$27/DI363*(ET363-1)-EV363-EU363*(2*CW363/DH363-$F$27/DI363)</f>
        <v>0.198812070380318</v>
      </c>
      <c r="EY363" s="60" t="n">
        <f aca="false">$G$27/DI363*(ET363-1)-EV363-EU363*(2*CX363/DH363-$G$27/DI363)</f>
        <v>0.198812070380318</v>
      </c>
      <c r="EZ363" s="60" t="n">
        <f aca="false">$H$27/DI363*(ET363-1)-EV363-EU363*(2*CY363/DH363-$H$27/DI363)</f>
        <v>0.198812070380318</v>
      </c>
      <c r="FA363" s="60" t="n">
        <f aca="false">$I$27/DI363*(ET363-1)-EV363-EU363*(2*CZ363/DH363-$I$27/DI363)</f>
        <v>0.198812070380318</v>
      </c>
      <c r="FB363" s="60" t="n">
        <f aca="false">$J$27/DI363*(ET363-1)-EV363-EU363*(2*DA363/DH363-$J$27/DI363)</f>
        <v>0.198812070380318</v>
      </c>
      <c r="FC363" s="60" t="n">
        <f aca="false">$K$27/DI363*(ET363-1)-EV363-EU363*(2*DB363/DH363-$K$27/DI363)</f>
        <v>0.198812070380318</v>
      </c>
      <c r="FD363" s="60" t="n">
        <f aca="false">$L$27/DI363*(ET363-1)-EV363-EU363*(2*DC363/DH363-$L$27/DI363)</f>
        <v>0.198812070380318</v>
      </c>
      <c r="FE363" s="60" t="n">
        <f aca="false">$M$27/DI363*(ET363-1)-EV363-EU363*(2*DD363/DH363-$M$27/DI363)</f>
        <v>0.198812070380318</v>
      </c>
      <c r="FF363" s="60" t="n">
        <f aca="false">$N$27/DI363*(ET363-1)-EV363-EU363*(2*DE363/DH363-$N$27/DI363)</f>
        <v>0.198812070380318</v>
      </c>
      <c r="FG363" s="60" t="n">
        <f aca="false">$O$27/DI363*(ET363-1)-EV363-EU363*(2*DF363/DH363-$O$27/DI363)</f>
        <v>0.198812070380318</v>
      </c>
      <c r="FH363" s="60" t="n">
        <f aca="false">$P$27/DI363*(ET363-1)-EV363-EU363*(2*DG363/DH363-$P$27/DI363)</f>
        <v>0.198812070380318</v>
      </c>
      <c r="FI363" s="60" t="n">
        <f aca="false">DK363/ET363&gt;$C$22</f>
        <v>0</v>
      </c>
      <c r="FJ363" s="60" t="n">
        <f aca="false">$E$28*SUMPRODUCT($E$31:$P$31,CJ363:CU363,$E$28:$P$28)</f>
        <v>0.184416866619846</v>
      </c>
      <c r="FK363" s="60" t="n">
        <f aca="false">$F$28*SUMPRODUCT($E$32:$P$32,CJ363:CU363,$E$28:$P$28)</f>
        <v>0</v>
      </c>
      <c r="FL363" s="60" t="n">
        <f aca="false">$G$28*SUMPRODUCT($E$33:$P$33,CJ363:CU363,$E$28:$P$28)</f>
        <v>0</v>
      </c>
      <c r="FM363" s="60" t="n">
        <f aca="false">$H$28*SUMPRODUCT($E$34:$P$34,CJ363:CU363,$E$28:$P$28)</f>
        <v>0</v>
      </c>
      <c r="FN363" s="60" t="n">
        <f aca="false">$I$28*SUMPRODUCT($E$35:$P$35,CJ363:CU363,$E$28:$P$28)</f>
        <v>0</v>
      </c>
      <c r="FO363" s="60" t="n">
        <f aca="false">$J$28*SUMPRODUCT($E$36:$P$36,CJ363:CU363,$E$28:$P$28)</f>
        <v>0</v>
      </c>
      <c r="FP363" s="60" t="n">
        <f aca="false">$K$28*SUMPRODUCT($E$37:$P$37,CJ363:CU363,$E$28:$P$28)</f>
        <v>0</v>
      </c>
      <c r="FQ363" s="60" t="n">
        <f aca="false">$L$28*SUMPRODUCT($E$38:$P$38,CJ363:CU363,$E$28:$P$28)</f>
        <v>0</v>
      </c>
      <c r="FR363" s="60" t="n">
        <f aca="false">$M$28*SUMPRODUCT($E$39:$P$39,CJ363:CU363,$E$28:$P$28)</f>
        <v>0</v>
      </c>
      <c r="FS363" s="60" t="n">
        <f aca="false">$N$28*SUMPRODUCT($E$40:$P$40,CJ363:CU363,$E$28:$P$28)</f>
        <v>0</v>
      </c>
      <c r="FT363" s="60" t="n">
        <f aca="false">$O$28*SUMPRODUCT($E$41:$P$41,CJ363:CU363,$E$28:$P$28)</f>
        <v>0</v>
      </c>
      <c r="FU363" s="60" t="n">
        <f aca="false">$P$28*SUMPRODUCT($E$42:$P$42,CJ363:CU363,$E$28:$P$28)</f>
        <v>0</v>
      </c>
      <c r="FV363" s="60" t="n">
        <f aca="false">SUMPRODUCT(CJ363:CU363,FJ363:FU363)</f>
        <v>0.184416866619846</v>
      </c>
      <c r="FW363" s="60" t="n">
        <f aca="false">SUMPRODUCT(CJ363:CU363,$E$27:$P$27)</f>
        <v>2.67389635063809E-005</v>
      </c>
      <c r="FX363" s="60" t="n">
        <f aca="false">FV363*$C$9/($C$10*$C$8)^2</f>
        <v>0.21776909410545</v>
      </c>
      <c r="FY363" s="60" t="n">
        <f aca="false">FW363*$C$9/($C$10*$C$8)</f>
        <v>0.0918845243259994</v>
      </c>
      <c r="FZ363" s="60" t="n">
        <f aca="false">CHOOSE($C$7,-(1+FY363),-1,-(1-FY363))</f>
        <v>-0.908115475674001</v>
      </c>
      <c r="GA363" s="60" t="n">
        <f aca="false">CHOOSE($C$7,FX363,FX363-FY363-FY363^2,FX363-3*FY363^2-2*FY363)</f>
        <v>0.00867174802160559</v>
      </c>
      <c r="GB363" s="60" t="n">
        <f aca="false">CHOOSE($C$7,-FX363*FY363,-FX363*FY363,-(FX363*FY363-FY363^2-FY363^3))</f>
        <v>-0.0107910842936637</v>
      </c>
      <c r="GC363" s="60" t="n">
        <f aca="false">GA363-FZ363^2/3</f>
        <v>-0.266219491031267</v>
      </c>
      <c r="GD363" s="60" t="n">
        <f aca="false">2*FZ363^3/27-FZ363*GA363/3+GB363</f>
        <v>-0.0636400988362784</v>
      </c>
      <c r="GE363" s="60" t="n">
        <f aca="false">GD363^2/4+GC363^3/27</f>
        <v>0.000313710901361829</v>
      </c>
      <c r="GF363" s="60" t="n">
        <f aca="false">-GD363/2-IF(GD363&gt;=0,1,-1)*SQRT(MAX(GE363,0))</f>
        <v>0.0495319352963236</v>
      </c>
      <c r="GG363" s="60" t="n">
        <f aca="false">SIGN(GF363)*ABS(GF363)^(1/3)</f>
        <v>0.367249967174439</v>
      </c>
      <c r="GH363" s="60" t="n">
        <f aca="false">IF(GG363=0,0,GG363-GC363/(3*GG363))</f>
        <v>0.60888329127384</v>
      </c>
      <c r="GI363" s="60" t="n">
        <f aca="false">2*SQRT(MAX(-GC363,0)/3)</f>
        <v>0.595784626668918</v>
      </c>
      <c r="GJ363" s="60" t="n">
        <f aca="false">ACOS(IF(GI363=0,0,MAX(-1,MIN(1,3*GD363/(GC363*GI363)))))</f>
        <v>0</v>
      </c>
      <c r="GK363" s="60" t="n">
        <f aca="false">GI363*COS(GJ363/3)</f>
        <v>0.595784626668918</v>
      </c>
      <c r="GL363" s="60" t="n">
        <f aca="false">IF(GE363&lt;0,GK363,GH363)-FZ363/3</f>
        <v>0.91158844983184</v>
      </c>
      <c r="GM363" s="60" t="n">
        <f aca="false">IFERROR((((GL363+FZ363)*GL363+GA363)*GL363+GB363)/((3*GL363+2*FZ363)*GL363+GA363),0)</f>
        <v>0</v>
      </c>
      <c r="GN363" s="60" t="n">
        <f aca="false">IF(ABS(GM363)&lt;0.1*ABS(GL363),GL363-GM363,GL363)</f>
        <v>0.91158844983184</v>
      </c>
      <c r="GO363" s="60" t="n">
        <f aca="false">IFERROR((((GN363+FZ363)*GN363+GA363)*GN363+GB363)/((3*GN363+2*FZ363)*GN363+GA363),0)</f>
        <v>0</v>
      </c>
      <c r="GP363" s="60" t="n">
        <f aca="false">IF(ABS(GO363)&lt;0.1*ABS(GN363),GN363-GO363,GN363)</f>
        <v>0.91158844983184</v>
      </c>
      <c r="GQ363" s="60" t="n">
        <f aca="false">-GB363/GP363</f>
        <v>0.0118376711504565</v>
      </c>
      <c r="GR363" s="60" t="n">
        <f aca="false">(GA363-GQ363)/GP363</f>
        <v>-0.00347297415783941</v>
      </c>
      <c r="GS363" s="60" t="n">
        <f aca="false">GR363^2-4*GQ363</f>
        <v>-0.0473386230523248</v>
      </c>
      <c r="GT363" s="60" t="n">
        <f aca="false">IF(GS363&gt;=0,(GR363+IF(GR363&gt;=0,1,-1)*SQRT(GS363))/2,0)</f>
        <v>0</v>
      </c>
      <c r="GU363" s="60" t="n">
        <f aca="false">IF(AND(GS363&gt;=0,GT363&lt;&gt;0),MIN(GT363,GQ363/GT363),-1)</f>
        <v>-1</v>
      </c>
      <c r="GV363" s="60" t="n">
        <f aca="false">AND(GS363&gt;=0,GU363&gt;FY363,ABS(GP363-GU363)&gt;=0.00005*MAX(GP363,GU363))</f>
        <v>0</v>
      </c>
      <c r="GW363" s="60" t="n">
        <f aca="false">IF(GV363,IFERROR((((GU363+FZ363)*GU363+GA363)*GU363+GB363)/((3*GU363+2*FZ363)*GU363+GA363),0),0)</f>
        <v>0</v>
      </c>
      <c r="GX363" s="60" t="n">
        <f aca="false">IF(ABS(GW363)&lt;0.1*ABS(GU363),GU363-GW363,GU363)</f>
        <v>-1</v>
      </c>
      <c r="GY363" s="60" t="n">
        <f aca="false">IF(GV363,IFERROR((((GX363+FZ363)*GX363+GA363)*GX363+GB363)/((3*GX363+2*FZ363)*GX363+GA363),0),0)</f>
        <v>0</v>
      </c>
      <c r="GZ363" s="60" t="n">
        <f aca="false">IF(ABS(GY363)&lt;0.1*ABS(GX363),GX363-GY363,GX363)</f>
        <v>-1</v>
      </c>
      <c r="HA363" s="60" t="n">
        <f aca="false">IF(GV363,MAX(GP363,GZ363),GP363)</f>
        <v>0.91158844983184</v>
      </c>
      <c r="HB363" s="60" t="n">
        <f aca="false">IF(GV363,MIN(GP363,GZ363),-1)</f>
        <v>-1</v>
      </c>
      <c r="HC363" s="60" t="n">
        <f aca="false">CHOOSE($C$7,FX363/HA363,FX363/FY363*LN(1+FY363/HA363),FX363/(2*SQRT(2)*FY363)*LN((HA363+(1+SQRT(2))*FY363)/(HA363+(1-SQRT(2))*FY363)))</f>
        <v>0.218240791233887</v>
      </c>
      <c r="HD363" s="60" t="n">
        <f aca="false">HA363-1-LN(HA363-FY363)-HC363</f>
        <v>-0.107840271021729</v>
      </c>
      <c r="HE363" s="60" t="n">
        <f aca="false">IF(GV363,CHOOSE($C$7,FX363/HB363,FX363/FY363*LN(1+FY363/HB363),FX363/(2*SQRT(2)*FY363)*LN((HB363+(1+SQRT(2))*FY363)/(HB363+(1-SQRT(2))*FY363))),0)</f>
        <v>0</v>
      </c>
      <c r="HF363" s="60" t="n">
        <f aca="false">IF(GV363,HB363-1-LN(HB363-FY363)-HE363,0)</f>
        <v>0</v>
      </c>
      <c r="HG363" s="60" t="n">
        <f aca="false">AND(GV363,HF363&lt;HD363)</f>
        <v>0</v>
      </c>
      <c r="HH363" s="60" t="n">
        <f aca="false">IF(HG363,HB363,HA363)</f>
        <v>0.91158844983184</v>
      </c>
      <c r="HI363" s="60" t="n">
        <f aca="false">IF(HG363,HE363,HC363)</f>
        <v>0.218240791233887</v>
      </c>
      <c r="HJ363" s="60" t="n">
        <f aca="false">LN(HH363-FY363)</f>
        <v>-0.198812070380318</v>
      </c>
      <c r="HK363" s="60" t="n">
        <f aca="false">$E$27/FW363*(HH363-1)-HJ363-HI363*(2*FJ363/FV363-$E$27/FW363)</f>
        <v>-0.107840271021729</v>
      </c>
      <c r="HL363" s="60" t="n">
        <f aca="false">$F$27/FW363*(HH363-1)-HJ363-HI363*(2*FK363/FV363-$F$27/FW363)</f>
        <v>0.198812070380318</v>
      </c>
      <c r="HM363" s="60" t="n">
        <f aca="false">$G$27/FW363*(HH363-1)-HJ363-HI363*(2*FL363/FV363-$G$27/FW363)</f>
        <v>0.198812070380318</v>
      </c>
      <c r="HN363" s="60" t="n">
        <f aca="false">$H$27/FW363*(HH363-1)-HJ363-HI363*(2*FM363/FV363-$H$27/FW363)</f>
        <v>0.198812070380318</v>
      </c>
      <c r="HO363" s="60" t="n">
        <f aca="false">$I$27/FW363*(HH363-1)-HJ363-HI363*(2*FN363/FV363-$I$27/FW363)</f>
        <v>0.198812070380318</v>
      </c>
      <c r="HP363" s="60" t="n">
        <f aca="false">$J$27/FW363*(HH363-1)-HJ363-HI363*(2*FO363/FV363-$J$27/FW363)</f>
        <v>0.198812070380318</v>
      </c>
      <c r="HQ363" s="60" t="n">
        <f aca="false">$K$27/FW363*(HH363-1)-HJ363-HI363*(2*FP363/FV363-$K$27/FW363)</f>
        <v>0.198812070380318</v>
      </c>
      <c r="HR363" s="60" t="n">
        <f aca="false">$L$27/FW363*(HH363-1)-HJ363-HI363*(2*FQ363/FV363-$L$27/FW363)</f>
        <v>0.198812070380318</v>
      </c>
      <c r="HS363" s="60" t="n">
        <f aca="false">$M$27/FW363*(HH363-1)-HJ363-HI363*(2*FR363/FV363-$M$27/FW363)</f>
        <v>0.198812070380318</v>
      </c>
      <c r="HT363" s="60" t="n">
        <f aca="false">$N$27/FW363*(HH363-1)-HJ363-HI363*(2*FS363/FV363-$N$27/FW363)</f>
        <v>0.198812070380318</v>
      </c>
      <c r="HU363" s="60" t="n">
        <f aca="false">$O$27/FW363*(HH363-1)-HJ363-HI363*(2*FT363/FV363-$O$27/FW363)</f>
        <v>0.198812070380318</v>
      </c>
      <c r="HV363" s="60" t="n">
        <f aca="false">$P$27/FW363*(HH363-1)-HJ363-HI363*(2*FU363/FV363-$P$27/FW363)</f>
        <v>0.198812070380318</v>
      </c>
      <c r="HW363" s="60" t="n">
        <f aca="false">FY363/HH363&gt;$C$22</f>
        <v>0</v>
      </c>
      <c r="HX363" s="60" t="n">
        <f aca="false">IF($E$13&gt;0,MAX(-300,MIN(300,EW363-HK363)),0)</f>
        <v>0</v>
      </c>
      <c r="HY363" s="60" t="n">
        <f aca="false">IF($F$13&gt;0,MAX(-300,MIN(300,EX363-HL363)),0)</f>
        <v>0</v>
      </c>
      <c r="HZ363" s="60" t="n">
        <f aca="false">IF($G$13&gt;0,MAX(-300,MIN(300,EY363-HM363)),0)</f>
        <v>0</v>
      </c>
      <c r="IA363" s="60" t="n">
        <f aca="false">IF($H$13&gt;0,MAX(-300,MIN(300,EZ363-HN363)),0)</f>
        <v>0</v>
      </c>
      <c r="IB363" s="60" t="n">
        <f aca="false">IF($I$13&gt;0,MAX(-300,MIN(300,FA363-HO363)),0)</f>
        <v>0</v>
      </c>
      <c r="IC363" s="60" t="n">
        <f aca="false">IF($J$13&gt;0,MAX(-300,MIN(300,FB363-HP363)),0)</f>
        <v>0</v>
      </c>
      <c r="ID363" s="60" t="n">
        <f aca="false">IF($K$13&gt;0,MAX(-300,MIN(300,FC363-HQ363)),0)</f>
        <v>0</v>
      </c>
      <c r="IE363" s="60" t="n">
        <f aca="false">IF($L$13&gt;0,MAX(-300,MIN(300,FD363-HR363)),0)</f>
        <v>0</v>
      </c>
      <c r="IF363" s="60" t="n">
        <f aca="false">IF($M$13&gt;0,MAX(-300,MIN(300,FE363-HS363)),0)</f>
        <v>0</v>
      </c>
      <c r="IG363" s="60" t="n">
        <f aca="false">IF($N$13&gt;0,MAX(-300,MIN(300,FF363-HT363)),0)</f>
        <v>0</v>
      </c>
      <c r="IH363" s="60" t="n">
        <f aca="false">IF($O$13&gt;0,MAX(-300,MIN(300,FG363-HU363)),0)</f>
        <v>0</v>
      </c>
      <c r="II363" s="60" t="n">
        <f aca="false">IF($P$13&gt;0,MAX(-300,MIN(300,FH363-HV363)),0)</f>
        <v>0</v>
      </c>
      <c r="IJ363" s="60" t="n">
        <f aca="false">SUMXMY2(HX363:II363,B363:M363)</f>
        <v>0</v>
      </c>
      <c r="IK363" s="60" t="n">
        <f aca="false">SUMSQ(B363:M363)</f>
        <v>0</v>
      </c>
    </row>
    <row r="364" customFormat="false" ht="15" hidden="false" customHeight="false" outlineLevel="0" collapsed="false">
      <c r="A364" s="59" t="n">
        <v>3</v>
      </c>
      <c r="B364" s="60" t="n">
        <f aca="false">HX363</f>
        <v>0</v>
      </c>
      <c r="C364" s="60" t="n">
        <f aca="false">HY363</f>
        <v>0</v>
      </c>
      <c r="D364" s="60" t="n">
        <f aca="false">HZ363</f>
        <v>0</v>
      </c>
      <c r="E364" s="60" t="n">
        <f aca="false">IA363</f>
        <v>0</v>
      </c>
      <c r="F364" s="60" t="n">
        <f aca="false">IB363</f>
        <v>0</v>
      </c>
      <c r="G364" s="60" t="n">
        <f aca="false">IC363</f>
        <v>0</v>
      </c>
      <c r="H364" s="60" t="n">
        <f aca="false">ID363</f>
        <v>0</v>
      </c>
      <c r="I364" s="60" t="n">
        <f aca="false">IE363</f>
        <v>0</v>
      </c>
      <c r="J364" s="60" t="n">
        <f aca="false">IF363</f>
        <v>0</v>
      </c>
      <c r="K364" s="60" t="n">
        <f aca="false">IG363</f>
        <v>0</v>
      </c>
      <c r="L364" s="60" t="n">
        <f aca="false">IH363</f>
        <v>0</v>
      </c>
      <c r="M364" s="60" t="n">
        <f aca="false">II363</f>
        <v>0</v>
      </c>
      <c r="N364" s="60" t="n">
        <f aca="false">EXP(B364)</f>
        <v>1</v>
      </c>
      <c r="O364" s="60" t="n">
        <f aca="false">EXP(C364)</f>
        <v>1</v>
      </c>
      <c r="P364" s="60" t="n">
        <f aca="false">EXP(D364)</f>
        <v>1</v>
      </c>
      <c r="Q364" s="60" t="n">
        <f aca="false">EXP(E364)</f>
        <v>1</v>
      </c>
      <c r="R364" s="60" t="n">
        <f aca="false">EXP(F364)</f>
        <v>1</v>
      </c>
      <c r="S364" s="60" t="n">
        <f aca="false">EXP(G364)</f>
        <v>1</v>
      </c>
      <c r="T364" s="60" t="n">
        <f aca="false">EXP(H364)</f>
        <v>1</v>
      </c>
      <c r="U364" s="60" t="n">
        <f aca="false">EXP(I364)</f>
        <v>1</v>
      </c>
      <c r="V364" s="60" t="n">
        <f aca="false">EXP(J364)</f>
        <v>1</v>
      </c>
      <c r="W364" s="60" t="n">
        <f aca="false">EXP(K364)</f>
        <v>1</v>
      </c>
      <c r="X364" s="60" t="n">
        <f aca="false">EXP(L364)</f>
        <v>1</v>
      </c>
      <c r="Y364" s="60" t="n">
        <f aca="false">EXP(M364)</f>
        <v>1</v>
      </c>
      <c r="Z364" s="60" t="n">
        <f aca="false">MAX(N364:Y364)</f>
        <v>1</v>
      </c>
      <c r="AA364" s="60" t="n">
        <f aca="false">MIN(N364:Y364)</f>
        <v>1</v>
      </c>
      <c r="AB364" s="60" t="n">
        <f aca="false">AND(Z364&gt;1,AA364&lt;1)</f>
        <v>0</v>
      </c>
      <c r="AC364" s="60" t="n">
        <f aca="false">IF(AB364,1/(1-Z364),0)</f>
        <v>0</v>
      </c>
      <c r="AD364" s="60" t="n">
        <f aca="false">IF(AB364,1/(1-AA364),1)</f>
        <v>1</v>
      </c>
      <c r="AE364" s="60" t="n">
        <f aca="false">IF(AB364,MIN(MAX(BI363,AC364+0.000000001*(AD364-AC364)),AD364-0.000000001*(AD364-AC364)),IF(AA364&gt;=1,1,0))</f>
        <v>1</v>
      </c>
      <c r="AF364" s="60" t="n">
        <f aca="false">SUMPRODUCT($E$13:$P$13*(N364:Y364-1)/(1+AE364*(N364:Y364-1)))</f>
        <v>0</v>
      </c>
      <c r="AG364" s="60" t="n">
        <f aca="false">-SUMPRODUCT($E$13:$P$13*(N364:Y364-1)^2/(1+AE364*(N364:Y364-1))^2)</f>
        <v>-0</v>
      </c>
      <c r="AH364" s="60" t="n">
        <f aca="false">IF(OR(NOT(AB364),AG364=0),AE364,IF(AE364-AF364/AG364&lt;=AC364,(AE364+AC364)/2,IF(AE364-AF364/AG364&gt;=AD364,(AE364+AD364)/2,AE364-AF364/AG364)))</f>
        <v>1</v>
      </c>
      <c r="AI364" s="60" t="n">
        <f aca="false">SUMPRODUCT($E$13:$P$13*(N364:Y364-1)/(1+AH364*(N364:Y364-1)))</f>
        <v>0</v>
      </c>
      <c r="AJ364" s="60" t="n">
        <f aca="false">-SUMPRODUCT($E$13:$P$13*(N364:Y364-1)^2/(1+AH364*(N364:Y364-1))^2)</f>
        <v>-0</v>
      </c>
      <c r="AK364" s="60" t="n">
        <f aca="false">IF(OR(NOT(AB364),AJ364=0),AH364,IF(AH364-AI364/AJ364&lt;=AC364,(AH364+AC364)/2,IF(AH364-AI364/AJ364&gt;=AD364,(AH364+AD364)/2,AH364-AI364/AJ364)))</f>
        <v>1</v>
      </c>
      <c r="AL364" s="60" t="n">
        <f aca="false">SUMPRODUCT($E$13:$P$13*(N364:Y364-1)/(1+AK364*(N364:Y364-1)))</f>
        <v>0</v>
      </c>
      <c r="AM364" s="60" t="n">
        <f aca="false">-SUMPRODUCT($E$13:$P$13*(N364:Y364-1)^2/(1+AK364*(N364:Y364-1))^2)</f>
        <v>-0</v>
      </c>
      <c r="AN364" s="60" t="n">
        <f aca="false">IF(OR(NOT(AB364),AM364=0),AK364,IF(AK364-AL364/AM364&lt;=AC364,(AK364+AC364)/2,IF(AK364-AL364/AM364&gt;=AD364,(AK364+AD364)/2,AK364-AL364/AM364)))</f>
        <v>1</v>
      </c>
      <c r="AO364" s="60" t="n">
        <f aca="false">SUMPRODUCT($E$13:$P$13*(N364:Y364-1)/(1+AN364*(N364:Y364-1)))</f>
        <v>0</v>
      </c>
      <c r="AP364" s="60" t="n">
        <f aca="false">-SUMPRODUCT($E$13:$P$13*(N364:Y364-1)^2/(1+AN364*(N364:Y364-1))^2)</f>
        <v>-0</v>
      </c>
      <c r="AQ364" s="60" t="n">
        <f aca="false">IF(OR(NOT(AB364),AP364=0),AN364,IF(AN364-AO364/AP364&lt;=AC364,(AN364+AC364)/2,IF(AN364-AO364/AP364&gt;=AD364,(AN364+AD364)/2,AN364-AO364/AP364)))</f>
        <v>1</v>
      </c>
      <c r="AR364" s="60" t="n">
        <f aca="false">SUMPRODUCT($E$13:$P$13*(N364:Y364-1)/(1+AQ364*(N364:Y364-1)))</f>
        <v>0</v>
      </c>
      <c r="AS364" s="60" t="n">
        <f aca="false">-SUMPRODUCT($E$13:$P$13*(N364:Y364-1)^2/(1+AQ364*(N364:Y364-1))^2)</f>
        <v>-0</v>
      </c>
      <c r="AT364" s="60" t="n">
        <f aca="false">IF(OR(NOT(AB364),AS364=0),AQ364,IF(AQ364-AR364/AS364&lt;=AC364,(AQ364+AC364)/2,IF(AQ364-AR364/AS364&gt;=AD364,(AQ364+AD364)/2,AQ364-AR364/AS364)))</f>
        <v>1</v>
      </c>
      <c r="AU364" s="60" t="n">
        <f aca="false">SUMPRODUCT($E$13:$P$13*(N364:Y364-1)/(1+AT364*(N364:Y364-1)))</f>
        <v>0</v>
      </c>
      <c r="AV364" s="60" t="n">
        <f aca="false">-SUMPRODUCT($E$13:$P$13*(N364:Y364-1)^2/(1+AT364*(N364:Y364-1))^2)</f>
        <v>-0</v>
      </c>
      <c r="AW364" s="60" t="n">
        <f aca="false">IF(OR(NOT(AB364),AV364=0),AT364,IF(AT364-AU364/AV364&lt;=AC364,(AT364+AC364)/2,IF(AT364-AU364/AV364&gt;=AD364,(AT364+AD364)/2,AT364-AU364/AV364)))</f>
        <v>1</v>
      </c>
      <c r="AX364" s="60" t="n">
        <f aca="false">SUMPRODUCT($E$13:$P$13*(N364:Y364-1)/(1+AW364*(N364:Y364-1)))</f>
        <v>0</v>
      </c>
      <c r="AY364" s="60" t="n">
        <f aca="false">-SUMPRODUCT($E$13:$P$13*(N364:Y364-1)^2/(1+AW364*(N364:Y364-1))^2)</f>
        <v>-0</v>
      </c>
      <c r="AZ364" s="60" t="n">
        <f aca="false">IF(OR(NOT(AB364),AY364=0),AW364,IF(AW364-AX364/AY364&lt;=AC364,(AW364+AC364)/2,IF(AW364-AX364/AY364&gt;=AD364,(AW364+AD364)/2,AW364-AX364/AY364)))</f>
        <v>1</v>
      </c>
      <c r="BA364" s="60" t="n">
        <f aca="false">SUMPRODUCT($E$13:$P$13*(N364:Y364-1)/(1+AZ364*(N364:Y364-1)))</f>
        <v>0</v>
      </c>
      <c r="BB364" s="60" t="n">
        <f aca="false">-SUMPRODUCT($E$13:$P$13*(N364:Y364-1)^2/(1+AZ364*(N364:Y364-1))^2)</f>
        <v>-0</v>
      </c>
      <c r="BC364" s="60" t="n">
        <f aca="false">IF(OR(NOT(AB364),BB364=0),AZ364,IF(AZ364-BA364/BB364&lt;=AC364,(AZ364+AC364)/2,IF(AZ364-BA364/BB364&gt;=AD364,(AZ364+AD364)/2,AZ364-BA364/BB364)))</f>
        <v>1</v>
      </c>
      <c r="BD364" s="60" t="n">
        <f aca="false">SUMPRODUCT($E$13:$P$13*(N364:Y364-1)/(1+BC364*(N364:Y364-1)))</f>
        <v>0</v>
      </c>
      <c r="BE364" s="60" t="n">
        <f aca="false">-SUMPRODUCT($E$13:$P$13*(N364:Y364-1)^2/(1+BC364*(N364:Y364-1))^2)</f>
        <v>-0</v>
      </c>
      <c r="BF364" s="60" t="n">
        <f aca="false">IF(OR(NOT(AB364),BE364=0),BC364,IF(BC364-BD364/BE364&lt;=AC364,(BC364+AC364)/2,IF(BC364-BD364/BE364&gt;=AD364,(BC364+AD364)/2,BC364-BD364/BE364)))</f>
        <v>1</v>
      </c>
      <c r="BG364" s="60" t="n">
        <f aca="false">SUMPRODUCT($E$13:$P$13*(N364:Y364-1)/(1+BF364*(N364:Y364-1)))</f>
        <v>0</v>
      </c>
      <c r="BH364" s="60" t="n">
        <f aca="false">-SUMPRODUCT($E$13:$P$13*(N364:Y364-1)^2/(1+BF364*(N364:Y364-1))^2)</f>
        <v>-0</v>
      </c>
      <c r="BI364" s="60" t="n">
        <f aca="false">IF(OR(NOT(AB364),BH364=0),BF364,IF(BF364-BG364/BH364&lt;=AC364,(BF364+AC364)/2,IF(BF364-BG364/BH364&gt;=AD364,(BF364+AD364)/2,BF364-BG364/BH364)))</f>
        <v>1</v>
      </c>
      <c r="BJ364" s="60" t="n">
        <f aca="false">$E$13/(1+BI364*(N364-1))</f>
        <v>1</v>
      </c>
      <c r="BK364" s="60" t="n">
        <f aca="false">$F$13/(1+BI364*(O364-1))</f>
        <v>0</v>
      </c>
      <c r="BL364" s="60" t="n">
        <f aca="false">$G$13/(1+BI364*(P364-1))</f>
        <v>0</v>
      </c>
      <c r="BM364" s="60" t="n">
        <f aca="false">$H$13/(1+BI364*(Q364-1))</f>
        <v>0</v>
      </c>
      <c r="BN364" s="60" t="n">
        <f aca="false">$I$13/(1+BI364*(R364-1))</f>
        <v>0</v>
      </c>
      <c r="BO364" s="60" t="n">
        <f aca="false">$J$13/(1+BI364*(S364-1))</f>
        <v>0</v>
      </c>
      <c r="BP364" s="60" t="n">
        <f aca="false">$K$13/(1+BI364*(T364-1))</f>
        <v>0</v>
      </c>
      <c r="BQ364" s="60" t="n">
        <f aca="false">$L$13/(1+BI364*(U364-1))</f>
        <v>0</v>
      </c>
      <c r="BR364" s="60" t="n">
        <f aca="false">$M$13/(1+BI364*(V364-1))</f>
        <v>0</v>
      </c>
      <c r="BS364" s="60" t="n">
        <f aca="false">$N$13/(1+BI364*(W364-1))</f>
        <v>0</v>
      </c>
      <c r="BT364" s="60" t="n">
        <f aca="false">$O$13/(1+BI364*(X364-1))</f>
        <v>0</v>
      </c>
      <c r="BU364" s="60" t="n">
        <f aca="false">$P$13/(1+BI364*(Y364-1))</f>
        <v>0</v>
      </c>
      <c r="BV364" s="60" t="n">
        <f aca="false">SUM(BJ364:BU364)</f>
        <v>1</v>
      </c>
      <c r="BW364" s="60" t="n">
        <f aca="false">SUMPRODUCT(N364:Y364,BJ364:BU364)</f>
        <v>1</v>
      </c>
      <c r="BX364" s="60" t="n">
        <f aca="false">BJ364/BV364</f>
        <v>1</v>
      </c>
      <c r="BY364" s="60" t="n">
        <f aca="false">BK364/BV364</f>
        <v>0</v>
      </c>
      <c r="BZ364" s="60" t="n">
        <f aca="false">BL364/BV364</f>
        <v>0</v>
      </c>
      <c r="CA364" s="60" t="n">
        <f aca="false">BM364/BV364</f>
        <v>0</v>
      </c>
      <c r="CB364" s="60" t="n">
        <f aca="false">BN364/BV364</f>
        <v>0</v>
      </c>
      <c r="CC364" s="60" t="n">
        <f aca="false">BO364/BV364</f>
        <v>0</v>
      </c>
      <c r="CD364" s="60" t="n">
        <f aca="false">BP364/BV364</f>
        <v>0</v>
      </c>
      <c r="CE364" s="60" t="n">
        <f aca="false">BQ364/BV364</f>
        <v>0</v>
      </c>
      <c r="CF364" s="60" t="n">
        <f aca="false">BR364/BV364</f>
        <v>0</v>
      </c>
      <c r="CG364" s="60" t="n">
        <f aca="false">BS364/BV364</f>
        <v>0</v>
      </c>
      <c r="CH364" s="60" t="n">
        <f aca="false">BT364/BV364</f>
        <v>0</v>
      </c>
      <c r="CI364" s="60" t="n">
        <f aca="false">BU364/BV364</f>
        <v>0</v>
      </c>
      <c r="CJ364" s="60" t="n">
        <f aca="false">N364*BJ364/BW364</f>
        <v>1</v>
      </c>
      <c r="CK364" s="60" t="n">
        <f aca="false">O364*BK364/BW364</f>
        <v>0</v>
      </c>
      <c r="CL364" s="60" t="n">
        <f aca="false">P364*BL364/BW364</f>
        <v>0</v>
      </c>
      <c r="CM364" s="60" t="n">
        <f aca="false">Q364*BM364/BW364</f>
        <v>0</v>
      </c>
      <c r="CN364" s="60" t="n">
        <f aca="false">R364*BN364/BW364</f>
        <v>0</v>
      </c>
      <c r="CO364" s="60" t="n">
        <f aca="false">S364*BO364/BW364</f>
        <v>0</v>
      </c>
      <c r="CP364" s="60" t="n">
        <f aca="false">T364*BP364/BW364</f>
        <v>0</v>
      </c>
      <c r="CQ364" s="60" t="n">
        <f aca="false">U364*BQ364/BW364</f>
        <v>0</v>
      </c>
      <c r="CR364" s="60" t="n">
        <f aca="false">V364*BR364/BW364</f>
        <v>0</v>
      </c>
      <c r="CS364" s="60" t="n">
        <f aca="false">W364*BS364/BW364</f>
        <v>0</v>
      </c>
      <c r="CT364" s="60" t="n">
        <f aca="false">X364*BT364/BW364</f>
        <v>0</v>
      </c>
      <c r="CU364" s="60" t="n">
        <f aca="false">Y364*BU364/BW364</f>
        <v>0</v>
      </c>
      <c r="CV364" s="60" t="n">
        <f aca="false">$E$28*SUMPRODUCT($E$31:$P$31,BX364:CI364,$E$28:$P$28)</f>
        <v>0.184416866619846</v>
      </c>
      <c r="CW364" s="60" t="n">
        <f aca="false">$F$28*SUMPRODUCT($E$32:$P$32,BX364:CI364,$E$28:$P$28)</f>
        <v>0</v>
      </c>
      <c r="CX364" s="60" t="n">
        <f aca="false">$G$28*SUMPRODUCT($E$33:$P$33,BX364:CI364,$E$28:$P$28)</f>
        <v>0</v>
      </c>
      <c r="CY364" s="60" t="n">
        <f aca="false">$H$28*SUMPRODUCT($E$34:$P$34,BX364:CI364,$E$28:$P$28)</f>
        <v>0</v>
      </c>
      <c r="CZ364" s="60" t="n">
        <f aca="false">$I$28*SUMPRODUCT($E$35:$P$35,BX364:CI364,$E$28:$P$28)</f>
        <v>0</v>
      </c>
      <c r="DA364" s="60" t="n">
        <f aca="false">$J$28*SUMPRODUCT($E$36:$P$36,BX364:CI364,$E$28:$P$28)</f>
        <v>0</v>
      </c>
      <c r="DB364" s="60" t="n">
        <f aca="false">$K$28*SUMPRODUCT($E$37:$P$37,BX364:CI364,$E$28:$P$28)</f>
        <v>0</v>
      </c>
      <c r="DC364" s="60" t="n">
        <f aca="false">$L$28*SUMPRODUCT($E$38:$P$38,BX364:CI364,$E$28:$P$28)</f>
        <v>0</v>
      </c>
      <c r="DD364" s="60" t="n">
        <f aca="false">$M$28*SUMPRODUCT($E$39:$P$39,BX364:CI364,$E$28:$P$28)</f>
        <v>0</v>
      </c>
      <c r="DE364" s="60" t="n">
        <f aca="false">$N$28*SUMPRODUCT($E$40:$P$40,BX364:CI364,$E$28:$P$28)</f>
        <v>0</v>
      </c>
      <c r="DF364" s="60" t="n">
        <f aca="false">$O$28*SUMPRODUCT($E$41:$P$41,BX364:CI364,$E$28:$P$28)</f>
        <v>0</v>
      </c>
      <c r="DG364" s="60" t="n">
        <f aca="false">$P$28*SUMPRODUCT($E$42:$P$42,BX364:CI364,$E$28:$P$28)</f>
        <v>0</v>
      </c>
      <c r="DH364" s="60" t="n">
        <f aca="false">SUMPRODUCT(BX364:CI364,CV364:DG364)</f>
        <v>0.184416866619846</v>
      </c>
      <c r="DI364" s="60" t="n">
        <f aca="false">SUMPRODUCT(BX364:CI364,$E$27:$P$27)</f>
        <v>2.67389635063809E-005</v>
      </c>
      <c r="DJ364" s="60" t="n">
        <f aca="false">DH364*$C$9/($C$10*$C$8)^2</f>
        <v>0.21776909410545</v>
      </c>
      <c r="DK364" s="60" t="n">
        <f aca="false">DI364*$C$9/($C$10*$C$8)</f>
        <v>0.0918845243259994</v>
      </c>
      <c r="DL364" s="60" t="n">
        <f aca="false">CHOOSE($C$7,-(1+DK364),-1,-(1-DK364))</f>
        <v>-0.908115475674001</v>
      </c>
      <c r="DM364" s="60" t="n">
        <f aca="false">CHOOSE($C$7,DJ364,DJ364-DK364-DK364^2,DJ364-3*DK364^2-2*DK364)</f>
        <v>0.00867174802160559</v>
      </c>
      <c r="DN364" s="60" t="n">
        <f aca="false">CHOOSE($C$7,-DJ364*DK364,-DJ364*DK364,-(DJ364*DK364-DK364^2-DK364^3))</f>
        <v>-0.0107910842936637</v>
      </c>
      <c r="DO364" s="60" t="n">
        <f aca="false">DM364-DL364^2/3</f>
        <v>-0.266219491031267</v>
      </c>
      <c r="DP364" s="60" t="n">
        <f aca="false">2*DL364^3/27-DL364*DM364/3+DN364</f>
        <v>-0.0636400988362784</v>
      </c>
      <c r="DQ364" s="60" t="n">
        <f aca="false">DP364^2/4+DO364^3/27</f>
        <v>0.000313710901361829</v>
      </c>
      <c r="DR364" s="60" t="n">
        <f aca="false">-DP364/2-IF(DP364&gt;=0,1,-1)*SQRT(MAX(DQ364,0))</f>
        <v>0.0495319352963236</v>
      </c>
      <c r="DS364" s="60" t="n">
        <f aca="false">SIGN(DR364)*ABS(DR364)^(1/3)</f>
        <v>0.367249967174439</v>
      </c>
      <c r="DT364" s="60" t="n">
        <f aca="false">IF(DS364=0,0,DS364-DO364/(3*DS364))</f>
        <v>0.60888329127384</v>
      </c>
      <c r="DU364" s="60" t="n">
        <f aca="false">2*SQRT(MAX(-DO364,0)/3)</f>
        <v>0.595784626668918</v>
      </c>
      <c r="DV364" s="60" t="n">
        <f aca="false">ACOS(IF(DU364=0,0,MAX(-1,MIN(1,3*DP364/(DO364*DU364)))))</f>
        <v>0</v>
      </c>
      <c r="DW364" s="60" t="n">
        <f aca="false">DU364*COS(DV364/3)</f>
        <v>0.595784626668918</v>
      </c>
      <c r="DX364" s="60" t="n">
        <f aca="false">IF(DQ364&lt;0,DW364,DT364)-DL364/3</f>
        <v>0.91158844983184</v>
      </c>
      <c r="DY364" s="60" t="n">
        <f aca="false">IFERROR((((DX364+DL364)*DX364+DM364)*DX364+DN364)/((3*DX364+2*DL364)*DX364+DM364),0)</f>
        <v>0</v>
      </c>
      <c r="DZ364" s="60" t="n">
        <f aca="false">IF(ABS(DY364)&lt;0.1*ABS(DX364),DX364-DY364,DX364)</f>
        <v>0.91158844983184</v>
      </c>
      <c r="EA364" s="60" t="n">
        <f aca="false">IFERROR((((DZ364+DL364)*DZ364+DM364)*DZ364+DN364)/((3*DZ364+2*DL364)*DZ364+DM364),0)</f>
        <v>0</v>
      </c>
      <c r="EB364" s="60" t="n">
        <f aca="false">IF(ABS(EA364)&lt;0.1*ABS(DZ364),DZ364-EA364,DZ364)</f>
        <v>0.91158844983184</v>
      </c>
      <c r="EC364" s="60" t="n">
        <f aca="false">-DN364/EB364</f>
        <v>0.0118376711504565</v>
      </c>
      <c r="ED364" s="60" t="n">
        <f aca="false">(DM364-EC364)/EB364</f>
        <v>-0.00347297415783941</v>
      </c>
      <c r="EE364" s="60" t="n">
        <f aca="false">ED364^2-4*EC364</f>
        <v>-0.0473386230523248</v>
      </c>
      <c r="EF364" s="60" t="n">
        <f aca="false">IF(EE364&gt;=0,(ED364+IF(ED364&gt;=0,1,-1)*SQRT(EE364))/2,0)</f>
        <v>0</v>
      </c>
      <c r="EG364" s="60" t="n">
        <f aca="false">IF(AND(EE364&gt;=0,EF364&lt;&gt;0),MIN(EF364,EC364/EF364),-1)</f>
        <v>-1</v>
      </c>
      <c r="EH364" s="60" t="n">
        <f aca="false">AND(EE364&gt;=0,EG364&gt;DK364,ABS(EB364-EG364)&gt;=0.00005*MAX(EB364,EG364))</f>
        <v>0</v>
      </c>
      <c r="EI364" s="60" t="n">
        <f aca="false">IF(EH364,IFERROR((((EG364+DL364)*EG364+DM364)*EG364+DN364)/((3*EG364+2*DL364)*EG364+DM364),0),0)</f>
        <v>0</v>
      </c>
      <c r="EJ364" s="60" t="n">
        <f aca="false">IF(ABS(EI364)&lt;0.1*ABS(EG364),EG364-EI364,EG364)</f>
        <v>-1</v>
      </c>
      <c r="EK364" s="60" t="n">
        <f aca="false">IF(EH364,IFERROR((((EJ364+DL364)*EJ364+DM364)*EJ364+DN364)/((3*EJ364+2*DL364)*EJ364+DM364),0),0)</f>
        <v>0</v>
      </c>
      <c r="EL364" s="60" t="n">
        <f aca="false">IF(ABS(EK364)&lt;0.1*ABS(EJ364),EJ364-EK364,EJ364)</f>
        <v>-1</v>
      </c>
      <c r="EM364" s="60" t="n">
        <f aca="false">IF(EH364,MAX(EB364,EL364),EB364)</f>
        <v>0.91158844983184</v>
      </c>
      <c r="EN364" s="60" t="n">
        <f aca="false">IF(EH364,MIN(EB364,EL364),-1)</f>
        <v>-1</v>
      </c>
      <c r="EO364" s="60" t="n">
        <f aca="false">CHOOSE($C$7,DJ364/EM364,DJ364/DK364*LN(1+DK364/EM364),DJ364/(2*SQRT(2)*DK364)*LN((EM364+(1+SQRT(2))*DK364)/(EM364+(1-SQRT(2))*DK364)))</f>
        <v>0.218240791233887</v>
      </c>
      <c r="EP364" s="60" t="n">
        <f aca="false">EM364-1-LN(EM364-DK364)-EO364</f>
        <v>-0.107840271021729</v>
      </c>
      <c r="EQ364" s="60" t="n">
        <f aca="false">IF(EH364,CHOOSE($C$7,DJ364/EN364,DJ364/DK364*LN(1+DK364/EN364),DJ364/(2*SQRT(2)*DK364)*LN((EN364+(1+SQRT(2))*DK364)/(EN364+(1-SQRT(2))*DK364))),0)</f>
        <v>0</v>
      </c>
      <c r="ER364" s="60" t="n">
        <f aca="false">IF(EH364,EN364-1-LN(EN364-DK364)-EQ364,0)</f>
        <v>0</v>
      </c>
      <c r="ES364" s="60" t="n">
        <f aca="false">AND(EH364,ER364&lt;EP364)</f>
        <v>0</v>
      </c>
      <c r="ET364" s="60" t="n">
        <f aca="false">IF(ES364,EN364,EM364)</f>
        <v>0.91158844983184</v>
      </c>
      <c r="EU364" s="60" t="n">
        <f aca="false">IF(ES364,EQ364,EO364)</f>
        <v>0.218240791233887</v>
      </c>
      <c r="EV364" s="60" t="n">
        <f aca="false">LN(ET364-DK364)</f>
        <v>-0.198812070380318</v>
      </c>
      <c r="EW364" s="60" t="n">
        <f aca="false">$E$27/DI364*(ET364-1)-EV364-EU364*(2*CV364/DH364-$E$27/DI364)</f>
        <v>-0.107840271021729</v>
      </c>
      <c r="EX364" s="60" t="n">
        <f aca="false">$F$27/DI364*(ET364-1)-EV364-EU364*(2*CW364/DH364-$F$27/DI364)</f>
        <v>0.198812070380318</v>
      </c>
      <c r="EY364" s="60" t="n">
        <f aca="false">$G$27/DI364*(ET364-1)-EV364-EU364*(2*CX364/DH364-$G$27/DI364)</f>
        <v>0.198812070380318</v>
      </c>
      <c r="EZ364" s="60" t="n">
        <f aca="false">$H$27/DI364*(ET364-1)-EV364-EU364*(2*CY364/DH364-$H$27/DI364)</f>
        <v>0.198812070380318</v>
      </c>
      <c r="FA364" s="60" t="n">
        <f aca="false">$I$27/DI364*(ET364-1)-EV364-EU364*(2*CZ364/DH364-$I$27/DI364)</f>
        <v>0.198812070380318</v>
      </c>
      <c r="FB364" s="60" t="n">
        <f aca="false">$J$27/DI364*(ET364-1)-EV364-EU364*(2*DA364/DH364-$J$27/DI364)</f>
        <v>0.198812070380318</v>
      </c>
      <c r="FC364" s="60" t="n">
        <f aca="false">$K$27/DI364*(ET364-1)-EV364-EU364*(2*DB364/DH364-$K$27/DI364)</f>
        <v>0.198812070380318</v>
      </c>
      <c r="FD364" s="60" t="n">
        <f aca="false">$L$27/DI364*(ET364-1)-EV364-EU364*(2*DC364/DH364-$L$27/DI364)</f>
        <v>0.198812070380318</v>
      </c>
      <c r="FE364" s="60" t="n">
        <f aca="false">$M$27/DI364*(ET364-1)-EV364-EU364*(2*DD364/DH364-$M$27/DI364)</f>
        <v>0.198812070380318</v>
      </c>
      <c r="FF364" s="60" t="n">
        <f aca="false">$N$27/DI364*(ET364-1)-EV364-EU364*(2*DE364/DH364-$N$27/DI364)</f>
        <v>0.198812070380318</v>
      </c>
      <c r="FG364" s="60" t="n">
        <f aca="false">$O$27/DI364*(ET364-1)-EV364-EU364*(2*DF364/DH364-$O$27/DI364)</f>
        <v>0.198812070380318</v>
      </c>
      <c r="FH364" s="60" t="n">
        <f aca="false">$P$27/DI364*(ET364-1)-EV364-EU364*(2*DG364/DH364-$P$27/DI364)</f>
        <v>0.198812070380318</v>
      </c>
      <c r="FI364" s="60" t="n">
        <f aca="false">DK364/ET364&gt;$C$22</f>
        <v>0</v>
      </c>
      <c r="FJ364" s="60" t="n">
        <f aca="false">$E$28*SUMPRODUCT($E$31:$P$31,CJ364:CU364,$E$28:$P$28)</f>
        <v>0.184416866619846</v>
      </c>
      <c r="FK364" s="60" t="n">
        <f aca="false">$F$28*SUMPRODUCT($E$32:$P$32,CJ364:CU364,$E$28:$P$28)</f>
        <v>0</v>
      </c>
      <c r="FL364" s="60" t="n">
        <f aca="false">$G$28*SUMPRODUCT($E$33:$P$33,CJ364:CU364,$E$28:$P$28)</f>
        <v>0</v>
      </c>
      <c r="FM364" s="60" t="n">
        <f aca="false">$H$28*SUMPRODUCT($E$34:$P$34,CJ364:CU364,$E$28:$P$28)</f>
        <v>0</v>
      </c>
      <c r="FN364" s="60" t="n">
        <f aca="false">$I$28*SUMPRODUCT($E$35:$P$35,CJ364:CU364,$E$28:$P$28)</f>
        <v>0</v>
      </c>
      <c r="FO364" s="60" t="n">
        <f aca="false">$J$28*SUMPRODUCT($E$36:$P$36,CJ364:CU364,$E$28:$P$28)</f>
        <v>0</v>
      </c>
      <c r="FP364" s="60" t="n">
        <f aca="false">$K$28*SUMPRODUCT($E$37:$P$37,CJ364:CU364,$E$28:$P$28)</f>
        <v>0</v>
      </c>
      <c r="FQ364" s="60" t="n">
        <f aca="false">$L$28*SUMPRODUCT($E$38:$P$38,CJ364:CU364,$E$28:$P$28)</f>
        <v>0</v>
      </c>
      <c r="FR364" s="60" t="n">
        <f aca="false">$M$28*SUMPRODUCT($E$39:$P$39,CJ364:CU364,$E$28:$P$28)</f>
        <v>0</v>
      </c>
      <c r="FS364" s="60" t="n">
        <f aca="false">$N$28*SUMPRODUCT($E$40:$P$40,CJ364:CU364,$E$28:$P$28)</f>
        <v>0</v>
      </c>
      <c r="FT364" s="60" t="n">
        <f aca="false">$O$28*SUMPRODUCT($E$41:$P$41,CJ364:CU364,$E$28:$P$28)</f>
        <v>0</v>
      </c>
      <c r="FU364" s="60" t="n">
        <f aca="false">$P$28*SUMPRODUCT($E$42:$P$42,CJ364:CU364,$E$28:$P$28)</f>
        <v>0</v>
      </c>
      <c r="FV364" s="60" t="n">
        <f aca="false">SUMPRODUCT(CJ364:CU364,FJ364:FU364)</f>
        <v>0.184416866619846</v>
      </c>
      <c r="FW364" s="60" t="n">
        <f aca="false">SUMPRODUCT(CJ364:CU364,$E$27:$P$27)</f>
        <v>2.67389635063809E-005</v>
      </c>
      <c r="FX364" s="60" t="n">
        <f aca="false">FV364*$C$9/($C$10*$C$8)^2</f>
        <v>0.21776909410545</v>
      </c>
      <c r="FY364" s="60" t="n">
        <f aca="false">FW364*$C$9/($C$10*$C$8)</f>
        <v>0.0918845243259994</v>
      </c>
      <c r="FZ364" s="60" t="n">
        <f aca="false">CHOOSE($C$7,-(1+FY364),-1,-(1-FY364))</f>
        <v>-0.908115475674001</v>
      </c>
      <c r="GA364" s="60" t="n">
        <f aca="false">CHOOSE($C$7,FX364,FX364-FY364-FY364^2,FX364-3*FY364^2-2*FY364)</f>
        <v>0.00867174802160559</v>
      </c>
      <c r="GB364" s="60" t="n">
        <f aca="false">CHOOSE($C$7,-FX364*FY364,-FX364*FY364,-(FX364*FY364-FY364^2-FY364^3))</f>
        <v>-0.0107910842936637</v>
      </c>
      <c r="GC364" s="60" t="n">
        <f aca="false">GA364-FZ364^2/3</f>
        <v>-0.266219491031267</v>
      </c>
      <c r="GD364" s="60" t="n">
        <f aca="false">2*FZ364^3/27-FZ364*GA364/3+GB364</f>
        <v>-0.0636400988362784</v>
      </c>
      <c r="GE364" s="60" t="n">
        <f aca="false">GD364^2/4+GC364^3/27</f>
        <v>0.000313710901361829</v>
      </c>
      <c r="GF364" s="60" t="n">
        <f aca="false">-GD364/2-IF(GD364&gt;=0,1,-1)*SQRT(MAX(GE364,0))</f>
        <v>0.0495319352963236</v>
      </c>
      <c r="GG364" s="60" t="n">
        <f aca="false">SIGN(GF364)*ABS(GF364)^(1/3)</f>
        <v>0.367249967174439</v>
      </c>
      <c r="GH364" s="60" t="n">
        <f aca="false">IF(GG364=0,0,GG364-GC364/(3*GG364))</f>
        <v>0.60888329127384</v>
      </c>
      <c r="GI364" s="60" t="n">
        <f aca="false">2*SQRT(MAX(-GC364,0)/3)</f>
        <v>0.595784626668918</v>
      </c>
      <c r="GJ364" s="60" t="n">
        <f aca="false">ACOS(IF(GI364=0,0,MAX(-1,MIN(1,3*GD364/(GC364*GI364)))))</f>
        <v>0</v>
      </c>
      <c r="GK364" s="60" t="n">
        <f aca="false">GI364*COS(GJ364/3)</f>
        <v>0.595784626668918</v>
      </c>
      <c r="GL364" s="60" t="n">
        <f aca="false">IF(GE364&lt;0,GK364,GH364)-FZ364/3</f>
        <v>0.91158844983184</v>
      </c>
      <c r="GM364" s="60" t="n">
        <f aca="false">IFERROR((((GL364+FZ364)*GL364+GA364)*GL364+GB364)/((3*GL364+2*FZ364)*GL364+GA364),0)</f>
        <v>0</v>
      </c>
      <c r="GN364" s="60" t="n">
        <f aca="false">IF(ABS(GM364)&lt;0.1*ABS(GL364),GL364-GM364,GL364)</f>
        <v>0.91158844983184</v>
      </c>
      <c r="GO364" s="60" t="n">
        <f aca="false">IFERROR((((GN364+FZ364)*GN364+GA364)*GN364+GB364)/((3*GN364+2*FZ364)*GN364+GA364),0)</f>
        <v>0</v>
      </c>
      <c r="GP364" s="60" t="n">
        <f aca="false">IF(ABS(GO364)&lt;0.1*ABS(GN364),GN364-GO364,GN364)</f>
        <v>0.91158844983184</v>
      </c>
      <c r="GQ364" s="60" t="n">
        <f aca="false">-GB364/GP364</f>
        <v>0.0118376711504565</v>
      </c>
      <c r="GR364" s="60" t="n">
        <f aca="false">(GA364-GQ364)/GP364</f>
        <v>-0.00347297415783941</v>
      </c>
      <c r="GS364" s="60" t="n">
        <f aca="false">GR364^2-4*GQ364</f>
        <v>-0.0473386230523248</v>
      </c>
      <c r="GT364" s="60" t="n">
        <f aca="false">IF(GS364&gt;=0,(GR364+IF(GR364&gt;=0,1,-1)*SQRT(GS364))/2,0)</f>
        <v>0</v>
      </c>
      <c r="GU364" s="60" t="n">
        <f aca="false">IF(AND(GS364&gt;=0,GT364&lt;&gt;0),MIN(GT364,GQ364/GT364),-1)</f>
        <v>-1</v>
      </c>
      <c r="GV364" s="60" t="n">
        <f aca="false">AND(GS364&gt;=0,GU364&gt;FY364,ABS(GP364-GU364)&gt;=0.00005*MAX(GP364,GU364))</f>
        <v>0</v>
      </c>
      <c r="GW364" s="60" t="n">
        <f aca="false">IF(GV364,IFERROR((((GU364+FZ364)*GU364+GA364)*GU364+GB364)/((3*GU364+2*FZ364)*GU364+GA364),0),0)</f>
        <v>0</v>
      </c>
      <c r="GX364" s="60" t="n">
        <f aca="false">IF(ABS(GW364)&lt;0.1*ABS(GU364),GU364-GW364,GU364)</f>
        <v>-1</v>
      </c>
      <c r="GY364" s="60" t="n">
        <f aca="false">IF(GV364,IFERROR((((GX364+FZ364)*GX364+GA364)*GX364+GB364)/((3*GX364+2*FZ364)*GX364+GA364),0),0)</f>
        <v>0</v>
      </c>
      <c r="GZ364" s="60" t="n">
        <f aca="false">IF(ABS(GY364)&lt;0.1*ABS(GX364),GX364-GY364,GX364)</f>
        <v>-1</v>
      </c>
      <c r="HA364" s="60" t="n">
        <f aca="false">IF(GV364,MAX(GP364,GZ364),GP364)</f>
        <v>0.91158844983184</v>
      </c>
      <c r="HB364" s="60" t="n">
        <f aca="false">IF(GV364,MIN(GP364,GZ364),-1)</f>
        <v>-1</v>
      </c>
      <c r="HC364" s="60" t="n">
        <f aca="false">CHOOSE($C$7,FX364/HA364,FX364/FY364*LN(1+FY364/HA364),FX364/(2*SQRT(2)*FY364)*LN((HA364+(1+SQRT(2))*FY364)/(HA364+(1-SQRT(2))*FY364)))</f>
        <v>0.218240791233887</v>
      </c>
      <c r="HD364" s="60" t="n">
        <f aca="false">HA364-1-LN(HA364-FY364)-HC364</f>
        <v>-0.107840271021729</v>
      </c>
      <c r="HE364" s="60" t="n">
        <f aca="false">IF(GV364,CHOOSE($C$7,FX364/HB364,FX364/FY364*LN(1+FY364/HB364),FX364/(2*SQRT(2)*FY364)*LN((HB364+(1+SQRT(2))*FY364)/(HB364+(1-SQRT(2))*FY364))),0)</f>
        <v>0</v>
      </c>
      <c r="HF364" s="60" t="n">
        <f aca="false">IF(GV364,HB364-1-LN(HB364-FY364)-HE364,0)</f>
        <v>0</v>
      </c>
      <c r="HG364" s="60" t="n">
        <f aca="false">AND(GV364,HF364&lt;HD364)</f>
        <v>0</v>
      </c>
      <c r="HH364" s="60" t="n">
        <f aca="false">IF(HG364,HB364,HA364)</f>
        <v>0.91158844983184</v>
      </c>
      <c r="HI364" s="60" t="n">
        <f aca="false">IF(HG364,HE364,HC364)</f>
        <v>0.218240791233887</v>
      </c>
      <c r="HJ364" s="60" t="n">
        <f aca="false">LN(HH364-FY364)</f>
        <v>-0.198812070380318</v>
      </c>
      <c r="HK364" s="60" t="n">
        <f aca="false">$E$27/FW364*(HH364-1)-HJ364-HI364*(2*FJ364/FV364-$E$27/FW364)</f>
        <v>-0.107840271021729</v>
      </c>
      <c r="HL364" s="60" t="n">
        <f aca="false">$F$27/FW364*(HH364-1)-HJ364-HI364*(2*FK364/FV364-$F$27/FW364)</f>
        <v>0.198812070380318</v>
      </c>
      <c r="HM364" s="60" t="n">
        <f aca="false">$G$27/FW364*(HH364-1)-HJ364-HI364*(2*FL364/FV364-$G$27/FW364)</f>
        <v>0.198812070380318</v>
      </c>
      <c r="HN364" s="60" t="n">
        <f aca="false">$H$27/FW364*(HH364-1)-HJ364-HI364*(2*FM364/FV364-$H$27/FW364)</f>
        <v>0.198812070380318</v>
      </c>
      <c r="HO364" s="60" t="n">
        <f aca="false">$I$27/FW364*(HH364-1)-HJ364-HI364*(2*FN364/FV364-$I$27/FW364)</f>
        <v>0.198812070380318</v>
      </c>
      <c r="HP364" s="60" t="n">
        <f aca="false">$J$27/FW364*(HH364-1)-HJ364-HI364*(2*FO364/FV364-$J$27/FW364)</f>
        <v>0.198812070380318</v>
      </c>
      <c r="HQ364" s="60" t="n">
        <f aca="false">$K$27/FW364*(HH364-1)-HJ364-HI364*(2*FP364/FV364-$K$27/FW364)</f>
        <v>0.198812070380318</v>
      </c>
      <c r="HR364" s="60" t="n">
        <f aca="false">$L$27/FW364*(HH364-1)-HJ364-HI364*(2*FQ364/FV364-$L$27/FW364)</f>
        <v>0.198812070380318</v>
      </c>
      <c r="HS364" s="60" t="n">
        <f aca="false">$M$27/FW364*(HH364-1)-HJ364-HI364*(2*FR364/FV364-$M$27/FW364)</f>
        <v>0.198812070380318</v>
      </c>
      <c r="HT364" s="60" t="n">
        <f aca="false">$N$27/FW364*(HH364-1)-HJ364-HI364*(2*FS364/FV364-$N$27/FW364)</f>
        <v>0.198812070380318</v>
      </c>
      <c r="HU364" s="60" t="n">
        <f aca="false">$O$27/FW364*(HH364-1)-HJ364-HI364*(2*FT364/FV364-$O$27/FW364)</f>
        <v>0.198812070380318</v>
      </c>
      <c r="HV364" s="60" t="n">
        <f aca="false">$P$27/FW364*(HH364-1)-HJ364-HI364*(2*FU364/FV364-$P$27/FW364)</f>
        <v>0.198812070380318</v>
      </c>
      <c r="HW364" s="60" t="n">
        <f aca="false">FY364/HH364&gt;$C$22</f>
        <v>0</v>
      </c>
      <c r="HX364" s="60" t="n">
        <f aca="false">IF($E$13&gt;0,MAX(-300,MIN(300,EW364-HK364)),0)</f>
        <v>0</v>
      </c>
      <c r="HY364" s="60" t="n">
        <f aca="false">IF($F$13&gt;0,MAX(-300,MIN(300,EX364-HL364)),0)</f>
        <v>0</v>
      </c>
      <c r="HZ364" s="60" t="n">
        <f aca="false">IF($G$13&gt;0,MAX(-300,MIN(300,EY364-HM364)),0)</f>
        <v>0</v>
      </c>
      <c r="IA364" s="60" t="n">
        <f aca="false">IF($H$13&gt;0,MAX(-300,MIN(300,EZ364-HN364)),0)</f>
        <v>0</v>
      </c>
      <c r="IB364" s="60" t="n">
        <f aca="false">IF($I$13&gt;0,MAX(-300,MIN(300,FA364-HO364)),0)</f>
        <v>0</v>
      </c>
      <c r="IC364" s="60" t="n">
        <f aca="false">IF($J$13&gt;0,MAX(-300,MIN(300,FB364-HP364)),0)</f>
        <v>0</v>
      </c>
      <c r="ID364" s="60" t="n">
        <f aca="false">IF($K$13&gt;0,MAX(-300,MIN(300,FC364-HQ364)),0)</f>
        <v>0</v>
      </c>
      <c r="IE364" s="60" t="n">
        <f aca="false">IF($L$13&gt;0,MAX(-300,MIN(300,FD364-HR364)),0)</f>
        <v>0</v>
      </c>
      <c r="IF364" s="60" t="n">
        <f aca="false">IF($M$13&gt;0,MAX(-300,MIN(300,FE364-HS364)),0)</f>
        <v>0</v>
      </c>
      <c r="IG364" s="60" t="n">
        <f aca="false">IF($N$13&gt;0,MAX(-300,MIN(300,FF364-HT364)),0)</f>
        <v>0</v>
      </c>
      <c r="IH364" s="60" t="n">
        <f aca="false">IF($O$13&gt;0,MAX(-300,MIN(300,FG364-HU364)),0)</f>
        <v>0</v>
      </c>
      <c r="II364" s="60" t="n">
        <f aca="false">IF($P$13&gt;0,MAX(-300,MIN(300,FH364-HV364)),0)</f>
        <v>0</v>
      </c>
      <c r="IJ364" s="60" t="n">
        <f aca="false">SUMXMY2(HX364:II364,B364:M364)</f>
        <v>0</v>
      </c>
      <c r="IK364" s="60" t="n">
        <f aca="false">SUMSQ(B364:M364)</f>
        <v>0</v>
      </c>
    </row>
    <row r="365" customFormat="false" ht="15" hidden="false" customHeight="false" outlineLevel="0" collapsed="false">
      <c r="A365" s="59" t="n">
        <v>4</v>
      </c>
      <c r="B365" s="60" t="n">
        <f aca="false">HX364</f>
        <v>0</v>
      </c>
      <c r="C365" s="60" t="n">
        <f aca="false">HY364</f>
        <v>0</v>
      </c>
      <c r="D365" s="60" t="n">
        <f aca="false">HZ364</f>
        <v>0</v>
      </c>
      <c r="E365" s="60" t="n">
        <f aca="false">IA364</f>
        <v>0</v>
      </c>
      <c r="F365" s="60" t="n">
        <f aca="false">IB364</f>
        <v>0</v>
      </c>
      <c r="G365" s="60" t="n">
        <f aca="false">IC364</f>
        <v>0</v>
      </c>
      <c r="H365" s="60" t="n">
        <f aca="false">ID364</f>
        <v>0</v>
      </c>
      <c r="I365" s="60" t="n">
        <f aca="false">IE364</f>
        <v>0</v>
      </c>
      <c r="J365" s="60" t="n">
        <f aca="false">IF364</f>
        <v>0</v>
      </c>
      <c r="K365" s="60" t="n">
        <f aca="false">IG364</f>
        <v>0</v>
      </c>
      <c r="L365" s="60" t="n">
        <f aca="false">IH364</f>
        <v>0</v>
      </c>
      <c r="M365" s="60" t="n">
        <f aca="false">II364</f>
        <v>0</v>
      </c>
      <c r="N365" s="60" t="n">
        <f aca="false">EXP(B365)</f>
        <v>1</v>
      </c>
      <c r="O365" s="60" t="n">
        <f aca="false">EXP(C365)</f>
        <v>1</v>
      </c>
      <c r="P365" s="60" t="n">
        <f aca="false">EXP(D365)</f>
        <v>1</v>
      </c>
      <c r="Q365" s="60" t="n">
        <f aca="false">EXP(E365)</f>
        <v>1</v>
      </c>
      <c r="R365" s="60" t="n">
        <f aca="false">EXP(F365)</f>
        <v>1</v>
      </c>
      <c r="S365" s="60" t="n">
        <f aca="false">EXP(G365)</f>
        <v>1</v>
      </c>
      <c r="T365" s="60" t="n">
        <f aca="false">EXP(H365)</f>
        <v>1</v>
      </c>
      <c r="U365" s="60" t="n">
        <f aca="false">EXP(I365)</f>
        <v>1</v>
      </c>
      <c r="V365" s="60" t="n">
        <f aca="false">EXP(J365)</f>
        <v>1</v>
      </c>
      <c r="W365" s="60" t="n">
        <f aca="false">EXP(K365)</f>
        <v>1</v>
      </c>
      <c r="X365" s="60" t="n">
        <f aca="false">EXP(L365)</f>
        <v>1</v>
      </c>
      <c r="Y365" s="60" t="n">
        <f aca="false">EXP(M365)</f>
        <v>1</v>
      </c>
      <c r="Z365" s="60" t="n">
        <f aca="false">MAX(N365:Y365)</f>
        <v>1</v>
      </c>
      <c r="AA365" s="60" t="n">
        <f aca="false">MIN(N365:Y365)</f>
        <v>1</v>
      </c>
      <c r="AB365" s="60" t="n">
        <f aca="false">AND(Z365&gt;1,AA365&lt;1)</f>
        <v>0</v>
      </c>
      <c r="AC365" s="60" t="n">
        <f aca="false">IF(AB365,1/(1-Z365),0)</f>
        <v>0</v>
      </c>
      <c r="AD365" s="60" t="n">
        <f aca="false">IF(AB365,1/(1-AA365),1)</f>
        <v>1</v>
      </c>
      <c r="AE365" s="60" t="n">
        <f aca="false">IF(AB365,MIN(MAX(BI364,AC365+0.000000001*(AD365-AC365)),AD365-0.000000001*(AD365-AC365)),IF(AA365&gt;=1,1,0))</f>
        <v>1</v>
      </c>
      <c r="AF365" s="60" t="n">
        <f aca="false">SUMPRODUCT($E$13:$P$13*(N365:Y365-1)/(1+AE365*(N365:Y365-1)))</f>
        <v>0</v>
      </c>
      <c r="AG365" s="60" t="n">
        <f aca="false">-SUMPRODUCT($E$13:$P$13*(N365:Y365-1)^2/(1+AE365*(N365:Y365-1))^2)</f>
        <v>-0</v>
      </c>
      <c r="AH365" s="60" t="n">
        <f aca="false">IF(OR(NOT(AB365),AG365=0),AE365,IF(AE365-AF365/AG365&lt;=AC365,(AE365+AC365)/2,IF(AE365-AF365/AG365&gt;=AD365,(AE365+AD365)/2,AE365-AF365/AG365)))</f>
        <v>1</v>
      </c>
      <c r="AI365" s="60" t="n">
        <f aca="false">SUMPRODUCT($E$13:$P$13*(N365:Y365-1)/(1+AH365*(N365:Y365-1)))</f>
        <v>0</v>
      </c>
      <c r="AJ365" s="60" t="n">
        <f aca="false">-SUMPRODUCT($E$13:$P$13*(N365:Y365-1)^2/(1+AH365*(N365:Y365-1))^2)</f>
        <v>-0</v>
      </c>
      <c r="AK365" s="60" t="n">
        <f aca="false">IF(OR(NOT(AB365),AJ365=0),AH365,IF(AH365-AI365/AJ365&lt;=AC365,(AH365+AC365)/2,IF(AH365-AI365/AJ365&gt;=AD365,(AH365+AD365)/2,AH365-AI365/AJ365)))</f>
        <v>1</v>
      </c>
      <c r="AL365" s="60" t="n">
        <f aca="false">SUMPRODUCT($E$13:$P$13*(N365:Y365-1)/(1+AK365*(N365:Y365-1)))</f>
        <v>0</v>
      </c>
      <c r="AM365" s="60" t="n">
        <f aca="false">-SUMPRODUCT($E$13:$P$13*(N365:Y365-1)^2/(1+AK365*(N365:Y365-1))^2)</f>
        <v>-0</v>
      </c>
      <c r="AN365" s="60" t="n">
        <f aca="false">IF(OR(NOT(AB365),AM365=0),AK365,IF(AK365-AL365/AM365&lt;=AC365,(AK365+AC365)/2,IF(AK365-AL365/AM365&gt;=AD365,(AK365+AD365)/2,AK365-AL365/AM365)))</f>
        <v>1</v>
      </c>
      <c r="AO365" s="60" t="n">
        <f aca="false">SUMPRODUCT($E$13:$P$13*(N365:Y365-1)/(1+AN365*(N365:Y365-1)))</f>
        <v>0</v>
      </c>
      <c r="AP365" s="60" t="n">
        <f aca="false">-SUMPRODUCT($E$13:$P$13*(N365:Y365-1)^2/(1+AN365*(N365:Y365-1))^2)</f>
        <v>-0</v>
      </c>
      <c r="AQ365" s="60" t="n">
        <f aca="false">IF(OR(NOT(AB365),AP365=0),AN365,IF(AN365-AO365/AP365&lt;=AC365,(AN365+AC365)/2,IF(AN365-AO365/AP365&gt;=AD365,(AN365+AD365)/2,AN365-AO365/AP365)))</f>
        <v>1</v>
      </c>
      <c r="AR365" s="60" t="n">
        <f aca="false">SUMPRODUCT($E$13:$P$13*(N365:Y365-1)/(1+AQ365*(N365:Y365-1)))</f>
        <v>0</v>
      </c>
      <c r="AS365" s="60" t="n">
        <f aca="false">-SUMPRODUCT($E$13:$P$13*(N365:Y365-1)^2/(1+AQ365*(N365:Y365-1))^2)</f>
        <v>-0</v>
      </c>
      <c r="AT365" s="60" t="n">
        <f aca="false">IF(OR(NOT(AB365),AS365=0),AQ365,IF(AQ365-AR365/AS365&lt;=AC365,(AQ365+AC365)/2,IF(AQ365-AR365/AS365&gt;=AD365,(AQ365+AD365)/2,AQ365-AR365/AS365)))</f>
        <v>1</v>
      </c>
      <c r="AU365" s="60" t="n">
        <f aca="false">SUMPRODUCT($E$13:$P$13*(N365:Y365-1)/(1+AT365*(N365:Y365-1)))</f>
        <v>0</v>
      </c>
      <c r="AV365" s="60" t="n">
        <f aca="false">-SUMPRODUCT($E$13:$P$13*(N365:Y365-1)^2/(1+AT365*(N365:Y365-1))^2)</f>
        <v>-0</v>
      </c>
      <c r="AW365" s="60" t="n">
        <f aca="false">IF(OR(NOT(AB365),AV365=0),AT365,IF(AT365-AU365/AV365&lt;=AC365,(AT365+AC365)/2,IF(AT365-AU365/AV365&gt;=AD365,(AT365+AD365)/2,AT365-AU365/AV365)))</f>
        <v>1</v>
      </c>
      <c r="AX365" s="60" t="n">
        <f aca="false">SUMPRODUCT($E$13:$P$13*(N365:Y365-1)/(1+AW365*(N365:Y365-1)))</f>
        <v>0</v>
      </c>
      <c r="AY365" s="60" t="n">
        <f aca="false">-SUMPRODUCT($E$13:$P$13*(N365:Y365-1)^2/(1+AW365*(N365:Y365-1))^2)</f>
        <v>-0</v>
      </c>
      <c r="AZ365" s="60" t="n">
        <f aca="false">IF(OR(NOT(AB365),AY365=0),AW365,IF(AW365-AX365/AY365&lt;=AC365,(AW365+AC365)/2,IF(AW365-AX365/AY365&gt;=AD365,(AW365+AD365)/2,AW365-AX365/AY365)))</f>
        <v>1</v>
      </c>
      <c r="BA365" s="60" t="n">
        <f aca="false">SUMPRODUCT($E$13:$P$13*(N365:Y365-1)/(1+AZ365*(N365:Y365-1)))</f>
        <v>0</v>
      </c>
      <c r="BB365" s="60" t="n">
        <f aca="false">-SUMPRODUCT($E$13:$P$13*(N365:Y365-1)^2/(1+AZ365*(N365:Y365-1))^2)</f>
        <v>-0</v>
      </c>
      <c r="BC365" s="60" t="n">
        <f aca="false">IF(OR(NOT(AB365),BB365=0),AZ365,IF(AZ365-BA365/BB365&lt;=AC365,(AZ365+AC365)/2,IF(AZ365-BA365/BB365&gt;=AD365,(AZ365+AD365)/2,AZ365-BA365/BB365)))</f>
        <v>1</v>
      </c>
      <c r="BD365" s="60" t="n">
        <f aca="false">SUMPRODUCT($E$13:$P$13*(N365:Y365-1)/(1+BC365*(N365:Y365-1)))</f>
        <v>0</v>
      </c>
      <c r="BE365" s="60" t="n">
        <f aca="false">-SUMPRODUCT($E$13:$P$13*(N365:Y365-1)^2/(1+BC365*(N365:Y365-1))^2)</f>
        <v>-0</v>
      </c>
      <c r="BF365" s="60" t="n">
        <f aca="false">IF(OR(NOT(AB365),BE365=0),BC365,IF(BC365-BD365/BE365&lt;=AC365,(BC365+AC365)/2,IF(BC365-BD365/BE365&gt;=AD365,(BC365+AD365)/2,BC365-BD365/BE365)))</f>
        <v>1</v>
      </c>
      <c r="BG365" s="60" t="n">
        <f aca="false">SUMPRODUCT($E$13:$P$13*(N365:Y365-1)/(1+BF365*(N365:Y365-1)))</f>
        <v>0</v>
      </c>
      <c r="BH365" s="60" t="n">
        <f aca="false">-SUMPRODUCT($E$13:$P$13*(N365:Y365-1)^2/(1+BF365*(N365:Y365-1))^2)</f>
        <v>-0</v>
      </c>
      <c r="BI365" s="60" t="n">
        <f aca="false">IF(OR(NOT(AB365),BH365=0),BF365,IF(BF365-BG365/BH365&lt;=AC365,(BF365+AC365)/2,IF(BF365-BG365/BH365&gt;=AD365,(BF365+AD365)/2,BF365-BG365/BH365)))</f>
        <v>1</v>
      </c>
      <c r="BJ365" s="60" t="n">
        <f aca="false">$E$13/(1+BI365*(N365-1))</f>
        <v>1</v>
      </c>
      <c r="BK365" s="60" t="n">
        <f aca="false">$F$13/(1+BI365*(O365-1))</f>
        <v>0</v>
      </c>
      <c r="BL365" s="60" t="n">
        <f aca="false">$G$13/(1+BI365*(P365-1))</f>
        <v>0</v>
      </c>
      <c r="BM365" s="60" t="n">
        <f aca="false">$H$13/(1+BI365*(Q365-1))</f>
        <v>0</v>
      </c>
      <c r="BN365" s="60" t="n">
        <f aca="false">$I$13/(1+BI365*(R365-1))</f>
        <v>0</v>
      </c>
      <c r="BO365" s="60" t="n">
        <f aca="false">$J$13/(1+BI365*(S365-1))</f>
        <v>0</v>
      </c>
      <c r="BP365" s="60" t="n">
        <f aca="false">$K$13/(1+BI365*(T365-1))</f>
        <v>0</v>
      </c>
      <c r="BQ365" s="60" t="n">
        <f aca="false">$L$13/(1+BI365*(U365-1))</f>
        <v>0</v>
      </c>
      <c r="BR365" s="60" t="n">
        <f aca="false">$M$13/(1+BI365*(V365-1))</f>
        <v>0</v>
      </c>
      <c r="BS365" s="60" t="n">
        <f aca="false">$N$13/(1+BI365*(W365-1))</f>
        <v>0</v>
      </c>
      <c r="BT365" s="60" t="n">
        <f aca="false">$O$13/(1+BI365*(X365-1))</f>
        <v>0</v>
      </c>
      <c r="BU365" s="60" t="n">
        <f aca="false">$P$13/(1+BI365*(Y365-1))</f>
        <v>0</v>
      </c>
      <c r="BV365" s="60" t="n">
        <f aca="false">SUM(BJ365:BU365)</f>
        <v>1</v>
      </c>
      <c r="BW365" s="60" t="n">
        <f aca="false">SUMPRODUCT(N365:Y365,BJ365:BU365)</f>
        <v>1</v>
      </c>
      <c r="BX365" s="60" t="n">
        <f aca="false">BJ365/BV365</f>
        <v>1</v>
      </c>
      <c r="BY365" s="60" t="n">
        <f aca="false">BK365/BV365</f>
        <v>0</v>
      </c>
      <c r="BZ365" s="60" t="n">
        <f aca="false">BL365/BV365</f>
        <v>0</v>
      </c>
      <c r="CA365" s="60" t="n">
        <f aca="false">BM365/BV365</f>
        <v>0</v>
      </c>
      <c r="CB365" s="60" t="n">
        <f aca="false">BN365/BV365</f>
        <v>0</v>
      </c>
      <c r="CC365" s="60" t="n">
        <f aca="false">BO365/BV365</f>
        <v>0</v>
      </c>
      <c r="CD365" s="60" t="n">
        <f aca="false">BP365/BV365</f>
        <v>0</v>
      </c>
      <c r="CE365" s="60" t="n">
        <f aca="false">BQ365/BV365</f>
        <v>0</v>
      </c>
      <c r="CF365" s="60" t="n">
        <f aca="false">BR365/BV365</f>
        <v>0</v>
      </c>
      <c r="CG365" s="60" t="n">
        <f aca="false">BS365/BV365</f>
        <v>0</v>
      </c>
      <c r="CH365" s="60" t="n">
        <f aca="false">BT365/BV365</f>
        <v>0</v>
      </c>
      <c r="CI365" s="60" t="n">
        <f aca="false">BU365/BV365</f>
        <v>0</v>
      </c>
      <c r="CJ365" s="60" t="n">
        <f aca="false">N365*BJ365/BW365</f>
        <v>1</v>
      </c>
      <c r="CK365" s="60" t="n">
        <f aca="false">O365*BK365/BW365</f>
        <v>0</v>
      </c>
      <c r="CL365" s="60" t="n">
        <f aca="false">P365*BL365/BW365</f>
        <v>0</v>
      </c>
      <c r="CM365" s="60" t="n">
        <f aca="false">Q365*BM365/BW365</f>
        <v>0</v>
      </c>
      <c r="CN365" s="60" t="n">
        <f aca="false">R365*BN365/BW365</f>
        <v>0</v>
      </c>
      <c r="CO365" s="60" t="n">
        <f aca="false">S365*BO365/BW365</f>
        <v>0</v>
      </c>
      <c r="CP365" s="60" t="n">
        <f aca="false">T365*BP365/BW365</f>
        <v>0</v>
      </c>
      <c r="CQ365" s="60" t="n">
        <f aca="false">U365*BQ365/BW365</f>
        <v>0</v>
      </c>
      <c r="CR365" s="60" t="n">
        <f aca="false">V365*BR365/BW365</f>
        <v>0</v>
      </c>
      <c r="CS365" s="60" t="n">
        <f aca="false">W365*BS365/BW365</f>
        <v>0</v>
      </c>
      <c r="CT365" s="60" t="n">
        <f aca="false">X365*BT365/BW365</f>
        <v>0</v>
      </c>
      <c r="CU365" s="60" t="n">
        <f aca="false">Y365*BU365/BW365</f>
        <v>0</v>
      </c>
      <c r="CV365" s="60" t="n">
        <f aca="false">$E$28*SUMPRODUCT($E$31:$P$31,BX365:CI365,$E$28:$P$28)</f>
        <v>0.184416866619846</v>
      </c>
      <c r="CW365" s="60" t="n">
        <f aca="false">$F$28*SUMPRODUCT($E$32:$P$32,BX365:CI365,$E$28:$P$28)</f>
        <v>0</v>
      </c>
      <c r="CX365" s="60" t="n">
        <f aca="false">$G$28*SUMPRODUCT($E$33:$P$33,BX365:CI365,$E$28:$P$28)</f>
        <v>0</v>
      </c>
      <c r="CY365" s="60" t="n">
        <f aca="false">$H$28*SUMPRODUCT($E$34:$P$34,BX365:CI365,$E$28:$P$28)</f>
        <v>0</v>
      </c>
      <c r="CZ365" s="60" t="n">
        <f aca="false">$I$28*SUMPRODUCT($E$35:$P$35,BX365:CI365,$E$28:$P$28)</f>
        <v>0</v>
      </c>
      <c r="DA365" s="60" t="n">
        <f aca="false">$J$28*SUMPRODUCT($E$36:$P$36,BX365:CI365,$E$28:$P$28)</f>
        <v>0</v>
      </c>
      <c r="DB365" s="60" t="n">
        <f aca="false">$K$28*SUMPRODUCT($E$37:$P$37,BX365:CI365,$E$28:$P$28)</f>
        <v>0</v>
      </c>
      <c r="DC365" s="60" t="n">
        <f aca="false">$L$28*SUMPRODUCT($E$38:$P$38,BX365:CI365,$E$28:$P$28)</f>
        <v>0</v>
      </c>
      <c r="DD365" s="60" t="n">
        <f aca="false">$M$28*SUMPRODUCT($E$39:$P$39,BX365:CI365,$E$28:$P$28)</f>
        <v>0</v>
      </c>
      <c r="DE365" s="60" t="n">
        <f aca="false">$N$28*SUMPRODUCT($E$40:$P$40,BX365:CI365,$E$28:$P$28)</f>
        <v>0</v>
      </c>
      <c r="DF365" s="60" t="n">
        <f aca="false">$O$28*SUMPRODUCT($E$41:$P$41,BX365:CI365,$E$28:$P$28)</f>
        <v>0</v>
      </c>
      <c r="DG365" s="60" t="n">
        <f aca="false">$P$28*SUMPRODUCT($E$42:$P$42,BX365:CI365,$E$28:$P$28)</f>
        <v>0</v>
      </c>
      <c r="DH365" s="60" t="n">
        <f aca="false">SUMPRODUCT(BX365:CI365,CV365:DG365)</f>
        <v>0.184416866619846</v>
      </c>
      <c r="DI365" s="60" t="n">
        <f aca="false">SUMPRODUCT(BX365:CI365,$E$27:$P$27)</f>
        <v>2.67389635063809E-005</v>
      </c>
      <c r="DJ365" s="60" t="n">
        <f aca="false">DH365*$C$9/($C$10*$C$8)^2</f>
        <v>0.21776909410545</v>
      </c>
      <c r="DK365" s="60" t="n">
        <f aca="false">DI365*$C$9/($C$10*$C$8)</f>
        <v>0.0918845243259994</v>
      </c>
      <c r="DL365" s="60" t="n">
        <f aca="false">CHOOSE($C$7,-(1+DK365),-1,-(1-DK365))</f>
        <v>-0.908115475674001</v>
      </c>
      <c r="DM365" s="60" t="n">
        <f aca="false">CHOOSE($C$7,DJ365,DJ365-DK365-DK365^2,DJ365-3*DK365^2-2*DK365)</f>
        <v>0.00867174802160559</v>
      </c>
      <c r="DN365" s="60" t="n">
        <f aca="false">CHOOSE($C$7,-DJ365*DK365,-DJ365*DK365,-(DJ365*DK365-DK365^2-DK365^3))</f>
        <v>-0.0107910842936637</v>
      </c>
      <c r="DO365" s="60" t="n">
        <f aca="false">DM365-DL365^2/3</f>
        <v>-0.266219491031267</v>
      </c>
      <c r="DP365" s="60" t="n">
        <f aca="false">2*DL365^3/27-DL365*DM365/3+DN365</f>
        <v>-0.0636400988362784</v>
      </c>
      <c r="DQ365" s="60" t="n">
        <f aca="false">DP365^2/4+DO365^3/27</f>
        <v>0.000313710901361829</v>
      </c>
      <c r="DR365" s="60" t="n">
        <f aca="false">-DP365/2-IF(DP365&gt;=0,1,-1)*SQRT(MAX(DQ365,0))</f>
        <v>0.0495319352963236</v>
      </c>
      <c r="DS365" s="60" t="n">
        <f aca="false">SIGN(DR365)*ABS(DR365)^(1/3)</f>
        <v>0.367249967174439</v>
      </c>
      <c r="DT365" s="60" t="n">
        <f aca="false">IF(DS365=0,0,DS365-DO365/(3*DS365))</f>
        <v>0.60888329127384</v>
      </c>
      <c r="DU365" s="60" t="n">
        <f aca="false">2*SQRT(MAX(-DO365,0)/3)</f>
        <v>0.595784626668918</v>
      </c>
      <c r="DV365" s="60" t="n">
        <f aca="false">ACOS(IF(DU365=0,0,MAX(-1,MIN(1,3*DP365/(DO365*DU365)))))</f>
        <v>0</v>
      </c>
      <c r="DW365" s="60" t="n">
        <f aca="false">DU365*COS(DV365/3)</f>
        <v>0.595784626668918</v>
      </c>
      <c r="DX365" s="60" t="n">
        <f aca="false">IF(DQ365&lt;0,DW365,DT365)-DL365/3</f>
        <v>0.91158844983184</v>
      </c>
      <c r="DY365" s="60" t="n">
        <f aca="false">IFERROR((((DX365+DL365)*DX365+DM365)*DX365+DN365)/((3*DX365+2*DL365)*DX365+DM365),0)</f>
        <v>0</v>
      </c>
      <c r="DZ365" s="60" t="n">
        <f aca="false">IF(ABS(DY365)&lt;0.1*ABS(DX365),DX365-DY365,DX365)</f>
        <v>0.91158844983184</v>
      </c>
      <c r="EA365" s="60" t="n">
        <f aca="false">IFERROR((((DZ365+DL365)*DZ365+DM365)*DZ365+DN365)/((3*DZ365+2*DL365)*DZ365+DM365),0)</f>
        <v>0</v>
      </c>
      <c r="EB365" s="60" t="n">
        <f aca="false">IF(ABS(EA365)&lt;0.1*ABS(DZ365),DZ365-EA365,DZ365)</f>
        <v>0.91158844983184</v>
      </c>
      <c r="EC365" s="60" t="n">
        <f aca="false">-DN365/EB365</f>
        <v>0.0118376711504565</v>
      </c>
      <c r="ED365" s="60" t="n">
        <f aca="false">(DM365-EC365)/EB365</f>
        <v>-0.00347297415783941</v>
      </c>
      <c r="EE365" s="60" t="n">
        <f aca="false">ED365^2-4*EC365</f>
        <v>-0.0473386230523248</v>
      </c>
      <c r="EF365" s="60" t="n">
        <f aca="false">IF(EE365&gt;=0,(ED365+IF(ED365&gt;=0,1,-1)*SQRT(EE365))/2,0)</f>
        <v>0</v>
      </c>
      <c r="EG365" s="60" t="n">
        <f aca="false">IF(AND(EE365&gt;=0,EF365&lt;&gt;0),MIN(EF365,EC365/EF365),-1)</f>
        <v>-1</v>
      </c>
      <c r="EH365" s="60" t="n">
        <f aca="false">AND(EE365&gt;=0,EG365&gt;DK365,ABS(EB365-EG365)&gt;=0.00005*MAX(EB365,EG365))</f>
        <v>0</v>
      </c>
      <c r="EI365" s="60" t="n">
        <f aca="false">IF(EH365,IFERROR((((EG365+DL365)*EG365+DM365)*EG365+DN365)/((3*EG365+2*DL365)*EG365+DM365),0),0)</f>
        <v>0</v>
      </c>
      <c r="EJ365" s="60" t="n">
        <f aca="false">IF(ABS(EI365)&lt;0.1*ABS(EG365),EG365-EI365,EG365)</f>
        <v>-1</v>
      </c>
      <c r="EK365" s="60" t="n">
        <f aca="false">IF(EH365,IFERROR((((EJ365+DL365)*EJ365+DM365)*EJ365+DN365)/((3*EJ365+2*DL365)*EJ365+DM365),0),0)</f>
        <v>0</v>
      </c>
      <c r="EL365" s="60" t="n">
        <f aca="false">IF(ABS(EK365)&lt;0.1*ABS(EJ365),EJ365-EK365,EJ365)</f>
        <v>-1</v>
      </c>
      <c r="EM365" s="60" t="n">
        <f aca="false">IF(EH365,MAX(EB365,EL365),EB365)</f>
        <v>0.91158844983184</v>
      </c>
      <c r="EN365" s="60" t="n">
        <f aca="false">IF(EH365,MIN(EB365,EL365),-1)</f>
        <v>-1</v>
      </c>
      <c r="EO365" s="60" t="n">
        <f aca="false">CHOOSE($C$7,DJ365/EM365,DJ365/DK365*LN(1+DK365/EM365),DJ365/(2*SQRT(2)*DK365)*LN((EM365+(1+SQRT(2))*DK365)/(EM365+(1-SQRT(2))*DK365)))</f>
        <v>0.218240791233887</v>
      </c>
      <c r="EP365" s="60" t="n">
        <f aca="false">EM365-1-LN(EM365-DK365)-EO365</f>
        <v>-0.107840271021729</v>
      </c>
      <c r="EQ365" s="60" t="n">
        <f aca="false">IF(EH365,CHOOSE($C$7,DJ365/EN365,DJ365/DK365*LN(1+DK365/EN365),DJ365/(2*SQRT(2)*DK365)*LN((EN365+(1+SQRT(2))*DK365)/(EN365+(1-SQRT(2))*DK365))),0)</f>
        <v>0</v>
      </c>
      <c r="ER365" s="60" t="n">
        <f aca="false">IF(EH365,EN365-1-LN(EN365-DK365)-EQ365,0)</f>
        <v>0</v>
      </c>
      <c r="ES365" s="60" t="n">
        <f aca="false">AND(EH365,ER365&lt;EP365)</f>
        <v>0</v>
      </c>
      <c r="ET365" s="60" t="n">
        <f aca="false">IF(ES365,EN365,EM365)</f>
        <v>0.91158844983184</v>
      </c>
      <c r="EU365" s="60" t="n">
        <f aca="false">IF(ES365,EQ365,EO365)</f>
        <v>0.218240791233887</v>
      </c>
      <c r="EV365" s="60" t="n">
        <f aca="false">LN(ET365-DK365)</f>
        <v>-0.198812070380318</v>
      </c>
      <c r="EW365" s="60" t="n">
        <f aca="false">$E$27/DI365*(ET365-1)-EV365-EU365*(2*CV365/DH365-$E$27/DI365)</f>
        <v>-0.107840271021729</v>
      </c>
      <c r="EX365" s="60" t="n">
        <f aca="false">$F$27/DI365*(ET365-1)-EV365-EU365*(2*CW365/DH365-$F$27/DI365)</f>
        <v>0.198812070380318</v>
      </c>
      <c r="EY365" s="60" t="n">
        <f aca="false">$G$27/DI365*(ET365-1)-EV365-EU365*(2*CX365/DH365-$G$27/DI365)</f>
        <v>0.198812070380318</v>
      </c>
      <c r="EZ365" s="60" t="n">
        <f aca="false">$H$27/DI365*(ET365-1)-EV365-EU365*(2*CY365/DH365-$H$27/DI365)</f>
        <v>0.198812070380318</v>
      </c>
      <c r="FA365" s="60" t="n">
        <f aca="false">$I$27/DI365*(ET365-1)-EV365-EU365*(2*CZ365/DH365-$I$27/DI365)</f>
        <v>0.198812070380318</v>
      </c>
      <c r="FB365" s="60" t="n">
        <f aca="false">$J$27/DI365*(ET365-1)-EV365-EU365*(2*DA365/DH365-$J$27/DI365)</f>
        <v>0.198812070380318</v>
      </c>
      <c r="FC365" s="60" t="n">
        <f aca="false">$K$27/DI365*(ET365-1)-EV365-EU365*(2*DB365/DH365-$K$27/DI365)</f>
        <v>0.198812070380318</v>
      </c>
      <c r="FD365" s="60" t="n">
        <f aca="false">$L$27/DI365*(ET365-1)-EV365-EU365*(2*DC365/DH365-$L$27/DI365)</f>
        <v>0.198812070380318</v>
      </c>
      <c r="FE365" s="60" t="n">
        <f aca="false">$M$27/DI365*(ET365-1)-EV365-EU365*(2*DD365/DH365-$M$27/DI365)</f>
        <v>0.198812070380318</v>
      </c>
      <c r="FF365" s="60" t="n">
        <f aca="false">$N$27/DI365*(ET365-1)-EV365-EU365*(2*DE365/DH365-$N$27/DI365)</f>
        <v>0.198812070380318</v>
      </c>
      <c r="FG365" s="60" t="n">
        <f aca="false">$O$27/DI365*(ET365-1)-EV365-EU365*(2*DF365/DH365-$O$27/DI365)</f>
        <v>0.198812070380318</v>
      </c>
      <c r="FH365" s="60" t="n">
        <f aca="false">$P$27/DI365*(ET365-1)-EV365-EU365*(2*DG365/DH365-$P$27/DI365)</f>
        <v>0.198812070380318</v>
      </c>
      <c r="FI365" s="60" t="n">
        <f aca="false">DK365/ET365&gt;$C$22</f>
        <v>0</v>
      </c>
      <c r="FJ365" s="60" t="n">
        <f aca="false">$E$28*SUMPRODUCT($E$31:$P$31,CJ365:CU365,$E$28:$P$28)</f>
        <v>0.184416866619846</v>
      </c>
      <c r="FK365" s="60" t="n">
        <f aca="false">$F$28*SUMPRODUCT($E$32:$P$32,CJ365:CU365,$E$28:$P$28)</f>
        <v>0</v>
      </c>
      <c r="FL365" s="60" t="n">
        <f aca="false">$G$28*SUMPRODUCT($E$33:$P$33,CJ365:CU365,$E$28:$P$28)</f>
        <v>0</v>
      </c>
      <c r="FM365" s="60" t="n">
        <f aca="false">$H$28*SUMPRODUCT($E$34:$P$34,CJ365:CU365,$E$28:$P$28)</f>
        <v>0</v>
      </c>
      <c r="FN365" s="60" t="n">
        <f aca="false">$I$28*SUMPRODUCT($E$35:$P$35,CJ365:CU365,$E$28:$P$28)</f>
        <v>0</v>
      </c>
      <c r="FO365" s="60" t="n">
        <f aca="false">$J$28*SUMPRODUCT($E$36:$P$36,CJ365:CU365,$E$28:$P$28)</f>
        <v>0</v>
      </c>
      <c r="FP365" s="60" t="n">
        <f aca="false">$K$28*SUMPRODUCT($E$37:$P$37,CJ365:CU365,$E$28:$P$28)</f>
        <v>0</v>
      </c>
      <c r="FQ365" s="60" t="n">
        <f aca="false">$L$28*SUMPRODUCT($E$38:$P$38,CJ365:CU365,$E$28:$P$28)</f>
        <v>0</v>
      </c>
      <c r="FR365" s="60" t="n">
        <f aca="false">$M$28*SUMPRODUCT($E$39:$P$39,CJ365:CU365,$E$28:$P$28)</f>
        <v>0</v>
      </c>
      <c r="FS365" s="60" t="n">
        <f aca="false">$N$28*SUMPRODUCT($E$40:$P$40,CJ365:CU365,$E$28:$P$28)</f>
        <v>0</v>
      </c>
      <c r="FT365" s="60" t="n">
        <f aca="false">$O$28*SUMPRODUCT($E$41:$P$41,CJ365:CU365,$E$28:$P$28)</f>
        <v>0</v>
      </c>
      <c r="FU365" s="60" t="n">
        <f aca="false">$P$28*SUMPRODUCT($E$42:$P$42,CJ365:CU365,$E$28:$P$28)</f>
        <v>0</v>
      </c>
      <c r="FV365" s="60" t="n">
        <f aca="false">SUMPRODUCT(CJ365:CU365,FJ365:FU365)</f>
        <v>0.184416866619846</v>
      </c>
      <c r="FW365" s="60" t="n">
        <f aca="false">SUMPRODUCT(CJ365:CU365,$E$27:$P$27)</f>
        <v>2.67389635063809E-005</v>
      </c>
      <c r="FX365" s="60" t="n">
        <f aca="false">FV365*$C$9/($C$10*$C$8)^2</f>
        <v>0.21776909410545</v>
      </c>
      <c r="FY365" s="60" t="n">
        <f aca="false">FW365*$C$9/($C$10*$C$8)</f>
        <v>0.0918845243259994</v>
      </c>
      <c r="FZ365" s="60" t="n">
        <f aca="false">CHOOSE($C$7,-(1+FY365),-1,-(1-FY365))</f>
        <v>-0.908115475674001</v>
      </c>
      <c r="GA365" s="60" t="n">
        <f aca="false">CHOOSE($C$7,FX365,FX365-FY365-FY365^2,FX365-3*FY365^2-2*FY365)</f>
        <v>0.00867174802160559</v>
      </c>
      <c r="GB365" s="60" t="n">
        <f aca="false">CHOOSE($C$7,-FX365*FY365,-FX365*FY365,-(FX365*FY365-FY365^2-FY365^3))</f>
        <v>-0.0107910842936637</v>
      </c>
      <c r="GC365" s="60" t="n">
        <f aca="false">GA365-FZ365^2/3</f>
        <v>-0.266219491031267</v>
      </c>
      <c r="GD365" s="60" t="n">
        <f aca="false">2*FZ365^3/27-FZ365*GA365/3+GB365</f>
        <v>-0.0636400988362784</v>
      </c>
      <c r="GE365" s="60" t="n">
        <f aca="false">GD365^2/4+GC365^3/27</f>
        <v>0.000313710901361829</v>
      </c>
      <c r="GF365" s="60" t="n">
        <f aca="false">-GD365/2-IF(GD365&gt;=0,1,-1)*SQRT(MAX(GE365,0))</f>
        <v>0.0495319352963236</v>
      </c>
      <c r="GG365" s="60" t="n">
        <f aca="false">SIGN(GF365)*ABS(GF365)^(1/3)</f>
        <v>0.367249967174439</v>
      </c>
      <c r="GH365" s="60" t="n">
        <f aca="false">IF(GG365=0,0,GG365-GC365/(3*GG365))</f>
        <v>0.60888329127384</v>
      </c>
      <c r="GI365" s="60" t="n">
        <f aca="false">2*SQRT(MAX(-GC365,0)/3)</f>
        <v>0.595784626668918</v>
      </c>
      <c r="GJ365" s="60" t="n">
        <f aca="false">ACOS(IF(GI365=0,0,MAX(-1,MIN(1,3*GD365/(GC365*GI365)))))</f>
        <v>0</v>
      </c>
      <c r="GK365" s="60" t="n">
        <f aca="false">GI365*COS(GJ365/3)</f>
        <v>0.595784626668918</v>
      </c>
      <c r="GL365" s="60" t="n">
        <f aca="false">IF(GE365&lt;0,GK365,GH365)-FZ365/3</f>
        <v>0.91158844983184</v>
      </c>
      <c r="GM365" s="60" t="n">
        <f aca="false">IFERROR((((GL365+FZ365)*GL365+GA365)*GL365+GB365)/((3*GL365+2*FZ365)*GL365+GA365),0)</f>
        <v>0</v>
      </c>
      <c r="GN365" s="60" t="n">
        <f aca="false">IF(ABS(GM365)&lt;0.1*ABS(GL365),GL365-GM365,GL365)</f>
        <v>0.91158844983184</v>
      </c>
      <c r="GO365" s="60" t="n">
        <f aca="false">IFERROR((((GN365+FZ365)*GN365+GA365)*GN365+GB365)/((3*GN365+2*FZ365)*GN365+GA365),0)</f>
        <v>0</v>
      </c>
      <c r="GP365" s="60" t="n">
        <f aca="false">IF(ABS(GO365)&lt;0.1*ABS(GN365),GN365-GO365,GN365)</f>
        <v>0.91158844983184</v>
      </c>
      <c r="GQ365" s="60" t="n">
        <f aca="false">-GB365/GP365</f>
        <v>0.0118376711504565</v>
      </c>
      <c r="GR365" s="60" t="n">
        <f aca="false">(GA365-GQ365)/GP365</f>
        <v>-0.00347297415783941</v>
      </c>
      <c r="GS365" s="60" t="n">
        <f aca="false">GR365^2-4*GQ365</f>
        <v>-0.0473386230523248</v>
      </c>
      <c r="GT365" s="60" t="n">
        <f aca="false">IF(GS365&gt;=0,(GR365+IF(GR365&gt;=0,1,-1)*SQRT(GS365))/2,0)</f>
        <v>0</v>
      </c>
      <c r="GU365" s="60" t="n">
        <f aca="false">IF(AND(GS365&gt;=0,GT365&lt;&gt;0),MIN(GT365,GQ365/GT365),-1)</f>
        <v>-1</v>
      </c>
      <c r="GV365" s="60" t="n">
        <f aca="false">AND(GS365&gt;=0,GU365&gt;FY365,ABS(GP365-GU365)&gt;=0.00005*MAX(GP365,GU365))</f>
        <v>0</v>
      </c>
      <c r="GW365" s="60" t="n">
        <f aca="false">IF(GV365,IFERROR((((GU365+FZ365)*GU365+GA365)*GU365+GB365)/((3*GU365+2*FZ365)*GU365+GA365),0),0)</f>
        <v>0</v>
      </c>
      <c r="GX365" s="60" t="n">
        <f aca="false">IF(ABS(GW365)&lt;0.1*ABS(GU365),GU365-GW365,GU365)</f>
        <v>-1</v>
      </c>
      <c r="GY365" s="60" t="n">
        <f aca="false">IF(GV365,IFERROR((((GX365+FZ365)*GX365+GA365)*GX365+GB365)/((3*GX365+2*FZ365)*GX365+GA365),0),0)</f>
        <v>0</v>
      </c>
      <c r="GZ365" s="60" t="n">
        <f aca="false">IF(ABS(GY365)&lt;0.1*ABS(GX365),GX365-GY365,GX365)</f>
        <v>-1</v>
      </c>
      <c r="HA365" s="60" t="n">
        <f aca="false">IF(GV365,MAX(GP365,GZ365),GP365)</f>
        <v>0.91158844983184</v>
      </c>
      <c r="HB365" s="60" t="n">
        <f aca="false">IF(GV365,MIN(GP365,GZ365),-1)</f>
        <v>-1</v>
      </c>
      <c r="HC365" s="60" t="n">
        <f aca="false">CHOOSE($C$7,FX365/HA365,FX365/FY365*LN(1+FY365/HA365),FX365/(2*SQRT(2)*FY365)*LN((HA365+(1+SQRT(2))*FY365)/(HA365+(1-SQRT(2))*FY365)))</f>
        <v>0.218240791233887</v>
      </c>
      <c r="HD365" s="60" t="n">
        <f aca="false">HA365-1-LN(HA365-FY365)-HC365</f>
        <v>-0.107840271021729</v>
      </c>
      <c r="HE365" s="60" t="n">
        <f aca="false">IF(GV365,CHOOSE($C$7,FX365/HB365,FX365/FY365*LN(1+FY365/HB365),FX365/(2*SQRT(2)*FY365)*LN((HB365+(1+SQRT(2))*FY365)/(HB365+(1-SQRT(2))*FY365))),0)</f>
        <v>0</v>
      </c>
      <c r="HF365" s="60" t="n">
        <f aca="false">IF(GV365,HB365-1-LN(HB365-FY365)-HE365,0)</f>
        <v>0</v>
      </c>
      <c r="HG365" s="60" t="n">
        <f aca="false">AND(GV365,HF365&lt;HD365)</f>
        <v>0</v>
      </c>
      <c r="HH365" s="60" t="n">
        <f aca="false">IF(HG365,HB365,HA365)</f>
        <v>0.91158844983184</v>
      </c>
      <c r="HI365" s="60" t="n">
        <f aca="false">IF(HG365,HE365,HC365)</f>
        <v>0.218240791233887</v>
      </c>
      <c r="HJ365" s="60" t="n">
        <f aca="false">LN(HH365-FY365)</f>
        <v>-0.198812070380318</v>
      </c>
      <c r="HK365" s="60" t="n">
        <f aca="false">$E$27/FW365*(HH365-1)-HJ365-HI365*(2*FJ365/FV365-$E$27/FW365)</f>
        <v>-0.107840271021729</v>
      </c>
      <c r="HL365" s="60" t="n">
        <f aca="false">$F$27/FW365*(HH365-1)-HJ365-HI365*(2*FK365/FV365-$F$27/FW365)</f>
        <v>0.198812070380318</v>
      </c>
      <c r="HM365" s="60" t="n">
        <f aca="false">$G$27/FW365*(HH365-1)-HJ365-HI365*(2*FL365/FV365-$G$27/FW365)</f>
        <v>0.198812070380318</v>
      </c>
      <c r="HN365" s="60" t="n">
        <f aca="false">$H$27/FW365*(HH365-1)-HJ365-HI365*(2*FM365/FV365-$H$27/FW365)</f>
        <v>0.198812070380318</v>
      </c>
      <c r="HO365" s="60" t="n">
        <f aca="false">$I$27/FW365*(HH365-1)-HJ365-HI365*(2*FN365/FV365-$I$27/FW365)</f>
        <v>0.198812070380318</v>
      </c>
      <c r="HP365" s="60" t="n">
        <f aca="false">$J$27/FW365*(HH365-1)-HJ365-HI365*(2*FO365/FV365-$J$27/FW365)</f>
        <v>0.198812070380318</v>
      </c>
      <c r="HQ365" s="60" t="n">
        <f aca="false">$K$27/FW365*(HH365-1)-HJ365-HI365*(2*FP365/FV365-$K$27/FW365)</f>
        <v>0.198812070380318</v>
      </c>
      <c r="HR365" s="60" t="n">
        <f aca="false">$L$27/FW365*(HH365-1)-HJ365-HI365*(2*FQ365/FV365-$L$27/FW365)</f>
        <v>0.198812070380318</v>
      </c>
      <c r="HS365" s="60" t="n">
        <f aca="false">$M$27/FW365*(HH365-1)-HJ365-HI365*(2*FR365/FV365-$M$27/FW365)</f>
        <v>0.198812070380318</v>
      </c>
      <c r="HT365" s="60" t="n">
        <f aca="false">$N$27/FW365*(HH365-1)-HJ365-HI365*(2*FS365/FV365-$N$27/FW365)</f>
        <v>0.198812070380318</v>
      </c>
      <c r="HU365" s="60" t="n">
        <f aca="false">$O$27/FW365*(HH365-1)-HJ365-HI365*(2*FT365/FV365-$O$27/FW365)</f>
        <v>0.198812070380318</v>
      </c>
      <c r="HV365" s="60" t="n">
        <f aca="false">$P$27/FW365*(HH365-1)-HJ365-HI365*(2*FU365/FV365-$P$27/FW365)</f>
        <v>0.198812070380318</v>
      </c>
      <c r="HW365" s="60" t="n">
        <f aca="false">FY365/HH365&gt;$C$22</f>
        <v>0</v>
      </c>
      <c r="HX365" s="60" t="n">
        <f aca="false">IF($E$13&gt;0,MAX(-300,MIN(300,EW365-HK365)),0)</f>
        <v>0</v>
      </c>
      <c r="HY365" s="60" t="n">
        <f aca="false">IF($F$13&gt;0,MAX(-300,MIN(300,EX365-HL365)),0)</f>
        <v>0</v>
      </c>
      <c r="HZ365" s="60" t="n">
        <f aca="false">IF($G$13&gt;0,MAX(-300,MIN(300,EY365-HM365)),0)</f>
        <v>0</v>
      </c>
      <c r="IA365" s="60" t="n">
        <f aca="false">IF($H$13&gt;0,MAX(-300,MIN(300,EZ365-HN365)),0)</f>
        <v>0</v>
      </c>
      <c r="IB365" s="60" t="n">
        <f aca="false">IF($I$13&gt;0,MAX(-300,MIN(300,FA365-HO365)),0)</f>
        <v>0</v>
      </c>
      <c r="IC365" s="60" t="n">
        <f aca="false">IF($J$13&gt;0,MAX(-300,MIN(300,FB365-HP365)),0)</f>
        <v>0</v>
      </c>
      <c r="ID365" s="60" t="n">
        <f aca="false">IF($K$13&gt;0,MAX(-300,MIN(300,FC365-HQ365)),0)</f>
        <v>0</v>
      </c>
      <c r="IE365" s="60" t="n">
        <f aca="false">IF($L$13&gt;0,MAX(-300,MIN(300,FD365-HR365)),0)</f>
        <v>0</v>
      </c>
      <c r="IF365" s="60" t="n">
        <f aca="false">IF($M$13&gt;0,MAX(-300,MIN(300,FE365-HS365)),0)</f>
        <v>0</v>
      </c>
      <c r="IG365" s="60" t="n">
        <f aca="false">IF($N$13&gt;0,MAX(-300,MIN(300,FF365-HT365)),0)</f>
        <v>0</v>
      </c>
      <c r="IH365" s="60" t="n">
        <f aca="false">IF($O$13&gt;0,MAX(-300,MIN(300,FG365-HU365)),0)</f>
        <v>0</v>
      </c>
      <c r="II365" s="60" t="n">
        <f aca="false">IF($P$13&gt;0,MAX(-300,MIN(300,FH365-HV365)),0)</f>
        <v>0</v>
      </c>
      <c r="IJ365" s="60" t="n">
        <f aca="false">SUMXMY2(HX365:II365,B365:M365)</f>
        <v>0</v>
      </c>
      <c r="IK365" s="60" t="n">
        <f aca="false">SUMSQ(B365:M365)</f>
        <v>0</v>
      </c>
    </row>
    <row r="366" customFormat="false" ht="15" hidden="false" customHeight="false" outlineLevel="0" collapsed="false">
      <c r="A366" s="59" t="n">
        <v>5</v>
      </c>
      <c r="B366" s="60" t="n">
        <f aca="false">HX365</f>
        <v>0</v>
      </c>
      <c r="C366" s="60" t="n">
        <f aca="false">HY365</f>
        <v>0</v>
      </c>
      <c r="D366" s="60" t="n">
        <f aca="false">HZ365</f>
        <v>0</v>
      </c>
      <c r="E366" s="60" t="n">
        <f aca="false">IA365</f>
        <v>0</v>
      </c>
      <c r="F366" s="60" t="n">
        <f aca="false">IB365</f>
        <v>0</v>
      </c>
      <c r="G366" s="60" t="n">
        <f aca="false">IC365</f>
        <v>0</v>
      </c>
      <c r="H366" s="60" t="n">
        <f aca="false">ID365</f>
        <v>0</v>
      </c>
      <c r="I366" s="60" t="n">
        <f aca="false">IE365</f>
        <v>0</v>
      </c>
      <c r="J366" s="60" t="n">
        <f aca="false">IF365</f>
        <v>0</v>
      </c>
      <c r="K366" s="60" t="n">
        <f aca="false">IG365</f>
        <v>0</v>
      </c>
      <c r="L366" s="60" t="n">
        <f aca="false">IH365</f>
        <v>0</v>
      </c>
      <c r="M366" s="60" t="n">
        <f aca="false">II365</f>
        <v>0</v>
      </c>
      <c r="N366" s="60" t="n">
        <f aca="false">EXP(B366)</f>
        <v>1</v>
      </c>
      <c r="O366" s="60" t="n">
        <f aca="false">EXP(C366)</f>
        <v>1</v>
      </c>
      <c r="P366" s="60" t="n">
        <f aca="false">EXP(D366)</f>
        <v>1</v>
      </c>
      <c r="Q366" s="60" t="n">
        <f aca="false">EXP(E366)</f>
        <v>1</v>
      </c>
      <c r="R366" s="60" t="n">
        <f aca="false">EXP(F366)</f>
        <v>1</v>
      </c>
      <c r="S366" s="60" t="n">
        <f aca="false">EXP(G366)</f>
        <v>1</v>
      </c>
      <c r="T366" s="60" t="n">
        <f aca="false">EXP(H366)</f>
        <v>1</v>
      </c>
      <c r="U366" s="60" t="n">
        <f aca="false">EXP(I366)</f>
        <v>1</v>
      </c>
      <c r="V366" s="60" t="n">
        <f aca="false">EXP(J366)</f>
        <v>1</v>
      </c>
      <c r="W366" s="60" t="n">
        <f aca="false">EXP(K366)</f>
        <v>1</v>
      </c>
      <c r="X366" s="60" t="n">
        <f aca="false">EXP(L366)</f>
        <v>1</v>
      </c>
      <c r="Y366" s="60" t="n">
        <f aca="false">EXP(M366)</f>
        <v>1</v>
      </c>
      <c r="Z366" s="60" t="n">
        <f aca="false">MAX(N366:Y366)</f>
        <v>1</v>
      </c>
      <c r="AA366" s="60" t="n">
        <f aca="false">MIN(N366:Y366)</f>
        <v>1</v>
      </c>
      <c r="AB366" s="60" t="n">
        <f aca="false">AND(Z366&gt;1,AA366&lt;1)</f>
        <v>0</v>
      </c>
      <c r="AC366" s="60" t="n">
        <f aca="false">IF(AB366,1/(1-Z366),0)</f>
        <v>0</v>
      </c>
      <c r="AD366" s="60" t="n">
        <f aca="false">IF(AB366,1/(1-AA366),1)</f>
        <v>1</v>
      </c>
      <c r="AE366" s="60" t="n">
        <f aca="false">IF(AB366,MIN(MAX(BI365,AC366+0.000000001*(AD366-AC366)),AD366-0.000000001*(AD366-AC366)),IF(AA366&gt;=1,1,0))</f>
        <v>1</v>
      </c>
      <c r="AF366" s="60" t="n">
        <f aca="false">SUMPRODUCT($E$13:$P$13*(N366:Y366-1)/(1+AE366*(N366:Y366-1)))</f>
        <v>0</v>
      </c>
      <c r="AG366" s="60" t="n">
        <f aca="false">-SUMPRODUCT($E$13:$P$13*(N366:Y366-1)^2/(1+AE366*(N366:Y366-1))^2)</f>
        <v>-0</v>
      </c>
      <c r="AH366" s="60" t="n">
        <f aca="false">IF(OR(NOT(AB366),AG366=0),AE366,IF(AE366-AF366/AG366&lt;=AC366,(AE366+AC366)/2,IF(AE366-AF366/AG366&gt;=AD366,(AE366+AD366)/2,AE366-AF366/AG366)))</f>
        <v>1</v>
      </c>
      <c r="AI366" s="60" t="n">
        <f aca="false">SUMPRODUCT($E$13:$P$13*(N366:Y366-1)/(1+AH366*(N366:Y366-1)))</f>
        <v>0</v>
      </c>
      <c r="AJ366" s="60" t="n">
        <f aca="false">-SUMPRODUCT($E$13:$P$13*(N366:Y366-1)^2/(1+AH366*(N366:Y366-1))^2)</f>
        <v>-0</v>
      </c>
      <c r="AK366" s="60" t="n">
        <f aca="false">IF(OR(NOT(AB366),AJ366=0),AH366,IF(AH366-AI366/AJ366&lt;=AC366,(AH366+AC366)/2,IF(AH366-AI366/AJ366&gt;=AD366,(AH366+AD366)/2,AH366-AI366/AJ366)))</f>
        <v>1</v>
      </c>
      <c r="AL366" s="60" t="n">
        <f aca="false">SUMPRODUCT($E$13:$P$13*(N366:Y366-1)/(1+AK366*(N366:Y366-1)))</f>
        <v>0</v>
      </c>
      <c r="AM366" s="60" t="n">
        <f aca="false">-SUMPRODUCT($E$13:$P$13*(N366:Y366-1)^2/(1+AK366*(N366:Y366-1))^2)</f>
        <v>-0</v>
      </c>
      <c r="AN366" s="60" t="n">
        <f aca="false">IF(OR(NOT(AB366),AM366=0),AK366,IF(AK366-AL366/AM366&lt;=AC366,(AK366+AC366)/2,IF(AK366-AL366/AM366&gt;=AD366,(AK366+AD366)/2,AK366-AL366/AM366)))</f>
        <v>1</v>
      </c>
      <c r="AO366" s="60" t="n">
        <f aca="false">SUMPRODUCT($E$13:$P$13*(N366:Y366-1)/(1+AN366*(N366:Y366-1)))</f>
        <v>0</v>
      </c>
      <c r="AP366" s="60" t="n">
        <f aca="false">-SUMPRODUCT($E$13:$P$13*(N366:Y366-1)^2/(1+AN366*(N366:Y366-1))^2)</f>
        <v>-0</v>
      </c>
      <c r="AQ366" s="60" t="n">
        <f aca="false">IF(OR(NOT(AB366),AP366=0),AN366,IF(AN366-AO366/AP366&lt;=AC366,(AN366+AC366)/2,IF(AN366-AO366/AP366&gt;=AD366,(AN366+AD366)/2,AN366-AO366/AP366)))</f>
        <v>1</v>
      </c>
      <c r="AR366" s="60" t="n">
        <f aca="false">SUMPRODUCT($E$13:$P$13*(N366:Y366-1)/(1+AQ366*(N366:Y366-1)))</f>
        <v>0</v>
      </c>
      <c r="AS366" s="60" t="n">
        <f aca="false">-SUMPRODUCT($E$13:$P$13*(N366:Y366-1)^2/(1+AQ366*(N366:Y366-1))^2)</f>
        <v>-0</v>
      </c>
      <c r="AT366" s="60" t="n">
        <f aca="false">IF(OR(NOT(AB366),AS366=0),AQ366,IF(AQ366-AR366/AS366&lt;=AC366,(AQ366+AC366)/2,IF(AQ366-AR366/AS366&gt;=AD366,(AQ366+AD366)/2,AQ366-AR366/AS366)))</f>
        <v>1</v>
      </c>
      <c r="AU366" s="60" t="n">
        <f aca="false">SUMPRODUCT($E$13:$P$13*(N366:Y366-1)/(1+AT366*(N366:Y366-1)))</f>
        <v>0</v>
      </c>
      <c r="AV366" s="60" t="n">
        <f aca="false">-SUMPRODUCT($E$13:$P$13*(N366:Y366-1)^2/(1+AT366*(N366:Y366-1))^2)</f>
        <v>-0</v>
      </c>
      <c r="AW366" s="60" t="n">
        <f aca="false">IF(OR(NOT(AB366),AV366=0),AT366,IF(AT366-AU366/AV366&lt;=AC366,(AT366+AC366)/2,IF(AT366-AU366/AV366&gt;=AD366,(AT366+AD366)/2,AT366-AU366/AV366)))</f>
        <v>1</v>
      </c>
      <c r="AX366" s="60" t="n">
        <f aca="false">SUMPRODUCT($E$13:$P$13*(N366:Y366-1)/(1+AW366*(N366:Y366-1)))</f>
        <v>0</v>
      </c>
      <c r="AY366" s="60" t="n">
        <f aca="false">-SUMPRODUCT($E$13:$P$13*(N366:Y366-1)^2/(1+AW366*(N366:Y366-1))^2)</f>
        <v>-0</v>
      </c>
      <c r="AZ366" s="60" t="n">
        <f aca="false">IF(OR(NOT(AB366),AY366=0),AW366,IF(AW366-AX366/AY366&lt;=AC366,(AW366+AC366)/2,IF(AW366-AX366/AY366&gt;=AD366,(AW366+AD366)/2,AW366-AX366/AY366)))</f>
        <v>1</v>
      </c>
      <c r="BA366" s="60" t="n">
        <f aca="false">SUMPRODUCT($E$13:$P$13*(N366:Y366-1)/(1+AZ366*(N366:Y366-1)))</f>
        <v>0</v>
      </c>
      <c r="BB366" s="60" t="n">
        <f aca="false">-SUMPRODUCT($E$13:$P$13*(N366:Y366-1)^2/(1+AZ366*(N366:Y366-1))^2)</f>
        <v>-0</v>
      </c>
      <c r="BC366" s="60" t="n">
        <f aca="false">IF(OR(NOT(AB366),BB366=0),AZ366,IF(AZ366-BA366/BB366&lt;=AC366,(AZ366+AC366)/2,IF(AZ366-BA366/BB366&gt;=AD366,(AZ366+AD366)/2,AZ366-BA366/BB366)))</f>
        <v>1</v>
      </c>
      <c r="BD366" s="60" t="n">
        <f aca="false">SUMPRODUCT($E$13:$P$13*(N366:Y366-1)/(1+BC366*(N366:Y366-1)))</f>
        <v>0</v>
      </c>
      <c r="BE366" s="60" t="n">
        <f aca="false">-SUMPRODUCT($E$13:$P$13*(N366:Y366-1)^2/(1+BC366*(N366:Y366-1))^2)</f>
        <v>-0</v>
      </c>
      <c r="BF366" s="60" t="n">
        <f aca="false">IF(OR(NOT(AB366),BE366=0),BC366,IF(BC366-BD366/BE366&lt;=AC366,(BC366+AC366)/2,IF(BC366-BD366/BE366&gt;=AD366,(BC366+AD366)/2,BC366-BD366/BE366)))</f>
        <v>1</v>
      </c>
      <c r="BG366" s="60" t="n">
        <f aca="false">SUMPRODUCT($E$13:$P$13*(N366:Y366-1)/(1+BF366*(N366:Y366-1)))</f>
        <v>0</v>
      </c>
      <c r="BH366" s="60" t="n">
        <f aca="false">-SUMPRODUCT($E$13:$P$13*(N366:Y366-1)^2/(1+BF366*(N366:Y366-1))^2)</f>
        <v>-0</v>
      </c>
      <c r="BI366" s="60" t="n">
        <f aca="false">IF(OR(NOT(AB366),BH366=0),BF366,IF(BF366-BG366/BH366&lt;=AC366,(BF366+AC366)/2,IF(BF366-BG366/BH366&gt;=AD366,(BF366+AD366)/2,BF366-BG366/BH366)))</f>
        <v>1</v>
      </c>
      <c r="BJ366" s="60" t="n">
        <f aca="false">$E$13/(1+BI366*(N366-1))</f>
        <v>1</v>
      </c>
      <c r="BK366" s="60" t="n">
        <f aca="false">$F$13/(1+BI366*(O366-1))</f>
        <v>0</v>
      </c>
      <c r="BL366" s="60" t="n">
        <f aca="false">$G$13/(1+BI366*(P366-1))</f>
        <v>0</v>
      </c>
      <c r="BM366" s="60" t="n">
        <f aca="false">$H$13/(1+BI366*(Q366-1))</f>
        <v>0</v>
      </c>
      <c r="BN366" s="60" t="n">
        <f aca="false">$I$13/(1+BI366*(R366-1))</f>
        <v>0</v>
      </c>
      <c r="BO366" s="60" t="n">
        <f aca="false">$J$13/(1+BI366*(S366-1))</f>
        <v>0</v>
      </c>
      <c r="BP366" s="60" t="n">
        <f aca="false">$K$13/(1+BI366*(T366-1))</f>
        <v>0</v>
      </c>
      <c r="BQ366" s="60" t="n">
        <f aca="false">$L$13/(1+BI366*(U366-1))</f>
        <v>0</v>
      </c>
      <c r="BR366" s="60" t="n">
        <f aca="false">$M$13/(1+BI366*(V366-1))</f>
        <v>0</v>
      </c>
      <c r="BS366" s="60" t="n">
        <f aca="false">$N$13/(1+BI366*(W366-1))</f>
        <v>0</v>
      </c>
      <c r="BT366" s="60" t="n">
        <f aca="false">$O$13/(1+BI366*(X366-1))</f>
        <v>0</v>
      </c>
      <c r="BU366" s="60" t="n">
        <f aca="false">$P$13/(1+BI366*(Y366-1))</f>
        <v>0</v>
      </c>
      <c r="BV366" s="60" t="n">
        <f aca="false">SUM(BJ366:BU366)</f>
        <v>1</v>
      </c>
      <c r="BW366" s="60" t="n">
        <f aca="false">SUMPRODUCT(N366:Y366,BJ366:BU366)</f>
        <v>1</v>
      </c>
      <c r="BX366" s="60" t="n">
        <f aca="false">BJ366/BV366</f>
        <v>1</v>
      </c>
      <c r="BY366" s="60" t="n">
        <f aca="false">BK366/BV366</f>
        <v>0</v>
      </c>
      <c r="BZ366" s="60" t="n">
        <f aca="false">BL366/BV366</f>
        <v>0</v>
      </c>
      <c r="CA366" s="60" t="n">
        <f aca="false">BM366/BV366</f>
        <v>0</v>
      </c>
      <c r="CB366" s="60" t="n">
        <f aca="false">BN366/BV366</f>
        <v>0</v>
      </c>
      <c r="CC366" s="60" t="n">
        <f aca="false">BO366/BV366</f>
        <v>0</v>
      </c>
      <c r="CD366" s="60" t="n">
        <f aca="false">BP366/BV366</f>
        <v>0</v>
      </c>
      <c r="CE366" s="60" t="n">
        <f aca="false">BQ366/BV366</f>
        <v>0</v>
      </c>
      <c r="CF366" s="60" t="n">
        <f aca="false">BR366/BV366</f>
        <v>0</v>
      </c>
      <c r="CG366" s="60" t="n">
        <f aca="false">BS366/BV366</f>
        <v>0</v>
      </c>
      <c r="CH366" s="60" t="n">
        <f aca="false">BT366/BV366</f>
        <v>0</v>
      </c>
      <c r="CI366" s="60" t="n">
        <f aca="false">BU366/BV366</f>
        <v>0</v>
      </c>
      <c r="CJ366" s="60" t="n">
        <f aca="false">N366*BJ366/BW366</f>
        <v>1</v>
      </c>
      <c r="CK366" s="60" t="n">
        <f aca="false">O366*BK366/BW366</f>
        <v>0</v>
      </c>
      <c r="CL366" s="60" t="n">
        <f aca="false">P366*BL366/BW366</f>
        <v>0</v>
      </c>
      <c r="CM366" s="60" t="n">
        <f aca="false">Q366*BM366/BW366</f>
        <v>0</v>
      </c>
      <c r="CN366" s="60" t="n">
        <f aca="false">R366*BN366/BW366</f>
        <v>0</v>
      </c>
      <c r="CO366" s="60" t="n">
        <f aca="false">S366*BO366/BW366</f>
        <v>0</v>
      </c>
      <c r="CP366" s="60" t="n">
        <f aca="false">T366*BP366/BW366</f>
        <v>0</v>
      </c>
      <c r="CQ366" s="60" t="n">
        <f aca="false">U366*BQ366/BW366</f>
        <v>0</v>
      </c>
      <c r="CR366" s="60" t="n">
        <f aca="false">V366*BR366/BW366</f>
        <v>0</v>
      </c>
      <c r="CS366" s="60" t="n">
        <f aca="false">W366*BS366/BW366</f>
        <v>0</v>
      </c>
      <c r="CT366" s="60" t="n">
        <f aca="false">X366*BT366/BW366</f>
        <v>0</v>
      </c>
      <c r="CU366" s="60" t="n">
        <f aca="false">Y366*BU366/BW366</f>
        <v>0</v>
      </c>
      <c r="CV366" s="60" t="n">
        <f aca="false">$E$28*SUMPRODUCT($E$31:$P$31,BX366:CI366,$E$28:$P$28)</f>
        <v>0.184416866619846</v>
      </c>
      <c r="CW366" s="60" t="n">
        <f aca="false">$F$28*SUMPRODUCT($E$32:$P$32,BX366:CI366,$E$28:$P$28)</f>
        <v>0</v>
      </c>
      <c r="CX366" s="60" t="n">
        <f aca="false">$G$28*SUMPRODUCT($E$33:$P$33,BX366:CI366,$E$28:$P$28)</f>
        <v>0</v>
      </c>
      <c r="CY366" s="60" t="n">
        <f aca="false">$H$28*SUMPRODUCT($E$34:$P$34,BX366:CI366,$E$28:$P$28)</f>
        <v>0</v>
      </c>
      <c r="CZ366" s="60" t="n">
        <f aca="false">$I$28*SUMPRODUCT($E$35:$P$35,BX366:CI366,$E$28:$P$28)</f>
        <v>0</v>
      </c>
      <c r="DA366" s="60" t="n">
        <f aca="false">$J$28*SUMPRODUCT($E$36:$P$36,BX366:CI366,$E$28:$P$28)</f>
        <v>0</v>
      </c>
      <c r="DB366" s="60" t="n">
        <f aca="false">$K$28*SUMPRODUCT($E$37:$P$37,BX366:CI366,$E$28:$P$28)</f>
        <v>0</v>
      </c>
      <c r="DC366" s="60" t="n">
        <f aca="false">$L$28*SUMPRODUCT($E$38:$P$38,BX366:CI366,$E$28:$P$28)</f>
        <v>0</v>
      </c>
      <c r="DD366" s="60" t="n">
        <f aca="false">$M$28*SUMPRODUCT($E$39:$P$39,BX366:CI366,$E$28:$P$28)</f>
        <v>0</v>
      </c>
      <c r="DE366" s="60" t="n">
        <f aca="false">$N$28*SUMPRODUCT($E$40:$P$40,BX366:CI366,$E$28:$P$28)</f>
        <v>0</v>
      </c>
      <c r="DF366" s="60" t="n">
        <f aca="false">$O$28*SUMPRODUCT($E$41:$P$41,BX366:CI366,$E$28:$P$28)</f>
        <v>0</v>
      </c>
      <c r="DG366" s="60" t="n">
        <f aca="false">$P$28*SUMPRODUCT($E$42:$P$42,BX366:CI366,$E$28:$P$28)</f>
        <v>0</v>
      </c>
      <c r="DH366" s="60" t="n">
        <f aca="false">SUMPRODUCT(BX366:CI366,CV366:DG366)</f>
        <v>0.184416866619846</v>
      </c>
      <c r="DI366" s="60" t="n">
        <f aca="false">SUMPRODUCT(BX366:CI366,$E$27:$P$27)</f>
        <v>2.67389635063809E-005</v>
      </c>
      <c r="DJ366" s="60" t="n">
        <f aca="false">DH366*$C$9/($C$10*$C$8)^2</f>
        <v>0.21776909410545</v>
      </c>
      <c r="DK366" s="60" t="n">
        <f aca="false">DI366*$C$9/($C$10*$C$8)</f>
        <v>0.0918845243259994</v>
      </c>
      <c r="DL366" s="60" t="n">
        <f aca="false">CHOOSE($C$7,-(1+DK366),-1,-(1-DK366))</f>
        <v>-0.908115475674001</v>
      </c>
      <c r="DM366" s="60" t="n">
        <f aca="false">CHOOSE($C$7,DJ366,DJ366-DK366-DK366^2,DJ366-3*DK366^2-2*DK366)</f>
        <v>0.00867174802160559</v>
      </c>
      <c r="DN366" s="60" t="n">
        <f aca="false">CHOOSE($C$7,-DJ366*DK366,-DJ366*DK366,-(DJ366*DK366-DK366^2-DK366^3))</f>
        <v>-0.0107910842936637</v>
      </c>
      <c r="DO366" s="60" t="n">
        <f aca="false">DM366-DL366^2/3</f>
        <v>-0.266219491031267</v>
      </c>
      <c r="DP366" s="60" t="n">
        <f aca="false">2*DL366^3/27-DL366*DM366/3+DN366</f>
        <v>-0.0636400988362784</v>
      </c>
      <c r="DQ366" s="60" t="n">
        <f aca="false">DP366^2/4+DO366^3/27</f>
        <v>0.000313710901361829</v>
      </c>
      <c r="DR366" s="60" t="n">
        <f aca="false">-DP366/2-IF(DP366&gt;=0,1,-1)*SQRT(MAX(DQ366,0))</f>
        <v>0.0495319352963236</v>
      </c>
      <c r="DS366" s="60" t="n">
        <f aca="false">SIGN(DR366)*ABS(DR366)^(1/3)</f>
        <v>0.367249967174439</v>
      </c>
      <c r="DT366" s="60" t="n">
        <f aca="false">IF(DS366=0,0,DS366-DO366/(3*DS366))</f>
        <v>0.60888329127384</v>
      </c>
      <c r="DU366" s="60" t="n">
        <f aca="false">2*SQRT(MAX(-DO366,0)/3)</f>
        <v>0.595784626668918</v>
      </c>
      <c r="DV366" s="60" t="n">
        <f aca="false">ACOS(IF(DU366=0,0,MAX(-1,MIN(1,3*DP366/(DO366*DU366)))))</f>
        <v>0</v>
      </c>
      <c r="DW366" s="60" t="n">
        <f aca="false">DU366*COS(DV366/3)</f>
        <v>0.595784626668918</v>
      </c>
      <c r="DX366" s="60" t="n">
        <f aca="false">IF(DQ366&lt;0,DW366,DT366)-DL366/3</f>
        <v>0.91158844983184</v>
      </c>
      <c r="DY366" s="60" t="n">
        <f aca="false">IFERROR((((DX366+DL366)*DX366+DM366)*DX366+DN366)/((3*DX366+2*DL366)*DX366+DM366),0)</f>
        <v>0</v>
      </c>
      <c r="DZ366" s="60" t="n">
        <f aca="false">IF(ABS(DY366)&lt;0.1*ABS(DX366),DX366-DY366,DX366)</f>
        <v>0.91158844983184</v>
      </c>
      <c r="EA366" s="60" t="n">
        <f aca="false">IFERROR((((DZ366+DL366)*DZ366+DM366)*DZ366+DN366)/((3*DZ366+2*DL366)*DZ366+DM366),0)</f>
        <v>0</v>
      </c>
      <c r="EB366" s="60" t="n">
        <f aca="false">IF(ABS(EA366)&lt;0.1*ABS(DZ366),DZ366-EA366,DZ366)</f>
        <v>0.91158844983184</v>
      </c>
      <c r="EC366" s="60" t="n">
        <f aca="false">-DN366/EB366</f>
        <v>0.0118376711504565</v>
      </c>
      <c r="ED366" s="60" t="n">
        <f aca="false">(DM366-EC366)/EB366</f>
        <v>-0.00347297415783941</v>
      </c>
      <c r="EE366" s="60" t="n">
        <f aca="false">ED366^2-4*EC366</f>
        <v>-0.0473386230523248</v>
      </c>
      <c r="EF366" s="60" t="n">
        <f aca="false">IF(EE366&gt;=0,(ED366+IF(ED366&gt;=0,1,-1)*SQRT(EE366))/2,0)</f>
        <v>0</v>
      </c>
      <c r="EG366" s="60" t="n">
        <f aca="false">IF(AND(EE366&gt;=0,EF366&lt;&gt;0),MIN(EF366,EC366/EF366),-1)</f>
        <v>-1</v>
      </c>
      <c r="EH366" s="60" t="n">
        <f aca="false">AND(EE366&gt;=0,EG366&gt;DK366,ABS(EB366-EG366)&gt;=0.00005*MAX(EB366,EG366))</f>
        <v>0</v>
      </c>
      <c r="EI366" s="60" t="n">
        <f aca="false">IF(EH366,IFERROR((((EG366+DL366)*EG366+DM366)*EG366+DN366)/((3*EG366+2*DL366)*EG366+DM366),0),0)</f>
        <v>0</v>
      </c>
      <c r="EJ366" s="60" t="n">
        <f aca="false">IF(ABS(EI366)&lt;0.1*ABS(EG366),EG366-EI366,EG366)</f>
        <v>-1</v>
      </c>
      <c r="EK366" s="60" t="n">
        <f aca="false">IF(EH366,IFERROR((((EJ366+DL366)*EJ366+DM366)*EJ366+DN366)/((3*EJ366+2*DL366)*EJ366+DM366),0),0)</f>
        <v>0</v>
      </c>
      <c r="EL366" s="60" t="n">
        <f aca="false">IF(ABS(EK366)&lt;0.1*ABS(EJ366),EJ366-EK366,EJ366)</f>
        <v>-1</v>
      </c>
      <c r="EM366" s="60" t="n">
        <f aca="false">IF(EH366,MAX(EB366,EL366),EB366)</f>
        <v>0.91158844983184</v>
      </c>
      <c r="EN366" s="60" t="n">
        <f aca="false">IF(EH366,MIN(EB366,EL366),-1)</f>
        <v>-1</v>
      </c>
      <c r="EO366" s="60" t="n">
        <f aca="false">CHOOSE($C$7,DJ366/EM366,DJ366/DK366*LN(1+DK366/EM366),DJ366/(2*SQRT(2)*DK366)*LN((EM366+(1+SQRT(2))*DK366)/(EM366+(1-SQRT(2))*DK366)))</f>
        <v>0.218240791233887</v>
      </c>
      <c r="EP366" s="60" t="n">
        <f aca="false">EM366-1-LN(EM366-DK366)-EO366</f>
        <v>-0.107840271021729</v>
      </c>
      <c r="EQ366" s="60" t="n">
        <f aca="false">IF(EH366,CHOOSE($C$7,DJ366/EN366,DJ366/DK366*LN(1+DK366/EN366),DJ366/(2*SQRT(2)*DK366)*LN((EN366+(1+SQRT(2))*DK366)/(EN366+(1-SQRT(2))*DK366))),0)</f>
        <v>0</v>
      </c>
      <c r="ER366" s="60" t="n">
        <f aca="false">IF(EH366,EN366-1-LN(EN366-DK366)-EQ366,0)</f>
        <v>0</v>
      </c>
      <c r="ES366" s="60" t="n">
        <f aca="false">AND(EH366,ER366&lt;EP366)</f>
        <v>0</v>
      </c>
      <c r="ET366" s="60" t="n">
        <f aca="false">IF(ES366,EN366,EM366)</f>
        <v>0.91158844983184</v>
      </c>
      <c r="EU366" s="60" t="n">
        <f aca="false">IF(ES366,EQ366,EO366)</f>
        <v>0.218240791233887</v>
      </c>
      <c r="EV366" s="60" t="n">
        <f aca="false">LN(ET366-DK366)</f>
        <v>-0.198812070380318</v>
      </c>
      <c r="EW366" s="60" t="n">
        <f aca="false">$E$27/DI366*(ET366-1)-EV366-EU366*(2*CV366/DH366-$E$27/DI366)</f>
        <v>-0.107840271021729</v>
      </c>
      <c r="EX366" s="60" t="n">
        <f aca="false">$F$27/DI366*(ET366-1)-EV366-EU366*(2*CW366/DH366-$F$27/DI366)</f>
        <v>0.198812070380318</v>
      </c>
      <c r="EY366" s="60" t="n">
        <f aca="false">$G$27/DI366*(ET366-1)-EV366-EU366*(2*CX366/DH366-$G$27/DI366)</f>
        <v>0.198812070380318</v>
      </c>
      <c r="EZ366" s="60" t="n">
        <f aca="false">$H$27/DI366*(ET366-1)-EV366-EU366*(2*CY366/DH366-$H$27/DI366)</f>
        <v>0.198812070380318</v>
      </c>
      <c r="FA366" s="60" t="n">
        <f aca="false">$I$27/DI366*(ET366-1)-EV366-EU366*(2*CZ366/DH366-$I$27/DI366)</f>
        <v>0.198812070380318</v>
      </c>
      <c r="FB366" s="60" t="n">
        <f aca="false">$J$27/DI366*(ET366-1)-EV366-EU366*(2*DA366/DH366-$J$27/DI366)</f>
        <v>0.198812070380318</v>
      </c>
      <c r="FC366" s="60" t="n">
        <f aca="false">$K$27/DI366*(ET366-1)-EV366-EU366*(2*DB366/DH366-$K$27/DI366)</f>
        <v>0.198812070380318</v>
      </c>
      <c r="FD366" s="60" t="n">
        <f aca="false">$L$27/DI366*(ET366-1)-EV366-EU366*(2*DC366/DH366-$L$27/DI366)</f>
        <v>0.198812070380318</v>
      </c>
      <c r="FE366" s="60" t="n">
        <f aca="false">$M$27/DI366*(ET366-1)-EV366-EU366*(2*DD366/DH366-$M$27/DI366)</f>
        <v>0.198812070380318</v>
      </c>
      <c r="FF366" s="60" t="n">
        <f aca="false">$N$27/DI366*(ET366-1)-EV366-EU366*(2*DE366/DH366-$N$27/DI366)</f>
        <v>0.198812070380318</v>
      </c>
      <c r="FG366" s="60" t="n">
        <f aca="false">$O$27/DI366*(ET366-1)-EV366-EU366*(2*DF366/DH366-$O$27/DI366)</f>
        <v>0.198812070380318</v>
      </c>
      <c r="FH366" s="60" t="n">
        <f aca="false">$P$27/DI366*(ET366-1)-EV366-EU366*(2*DG366/DH366-$P$27/DI366)</f>
        <v>0.198812070380318</v>
      </c>
      <c r="FI366" s="60" t="n">
        <f aca="false">DK366/ET366&gt;$C$22</f>
        <v>0</v>
      </c>
      <c r="FJ366" s="60" t="n">
        <f aca="false">$E$28*SUMPRODUCT($E$31:$P$31,CJ366:CU366,$E$28:$P$28)</f>
        <v>0.184416866619846</v>
      </c>
      <c r="FK366" s="60" t="n">
        <f aca="false">$F$28*SUMPRODUCT($E$32:$P$32,CJ366:CU366,$E$28:$P$28)</f>
        <v>0</v>
      </c>
      <c r="FL366" s="60" t="n">
        <f aca="false">$G$28*SUMPRODUCT($E$33:$P$33,CJ366:CU366,$E$28:$P$28)</f>
        <v>0</v>
      </c>
      <c r="FM366" s="60" t="n">
        <f aca="false">$H$28*SUMPRODUCT($E$34:$P$34,CJ366:CU366,$E$28:$P$28)</f>
        <v>0</v>
      </c>
      <c r="FN366" s="60" t="n">
        <f aca="false">$I$28*SUMPRODUCT($E$35:$P$35,CJ366:CU366,$E$28:$P$28)</f>
        <v>0</v>
      </c>
      <c r="FO366" s="60" t="n">
        <f aca="false">$J$28*SUMPRODUCT($E$36:$P$36,CJ366:CU366,$E$28:$P$28)</f>
        <v>0</v>
      </c>
      <c r="FP366" s="60" t="n">
        <f aca="false">$K$28*SUMPRODUCT($E$37:$P$37,CJ366:CU366,$E$28:$P$28)</f>
        <v>0</v>
      </c>
      <c r="FQ366" s="60" t="n">
        <f aca="false">$L$28*SUMPRODUCT($E$38:$P$38,CJ366:CU366,$E$28:$P$28)</f>
        <v>0</v>
      </c>
      <c r="FR366" s="60" t="n">
        <f aca="false">$M$28*SUMPRODUCT($E$39:$P$39,CJ366:CU366,$E$28:$P$28)</f>
        <v>0</v>
      </c>
      <c r="FS366" s="60" t="n">
        <f aca="false">$N$28*SUMPRODUCT($E$40:$P$40,CJ366:CU366,$E$28:$P$28)</f>
        <v>0</v>
      </c>
      <c r="FT366" s="60" t="n">
        <f aca="false">$O$28*SUMPRODUCT($E$41:$P$41,CJ366:CU366,$E$28:$P$28)</f>
        <v>0</v>
      </c>
      <c r="FU366" s="60" t="n">
        <f aca="false">$P$28*SUMPRODUCT($E$42:$P$42,CJ366:CU366,$E$28:$P$28)</f>
        <v>0</v>
      </c>
      <c r="FV366" s="60" t="n">
        <f aca="false">SUMPRODUCT(CJ366:CU366,FJ366:FU366)</f>
        <v>0.184416866619846</v>
      </c>
      <c r="FW366" s="60" t="n">
        <f aca="false">SUMPRODUCT(CJ366:CU366,$E$27:$P$27)</f>
        <v>2.67389635063809E-005</v>
      </c>
      <c r="FX366" s="60" t="n">
        <f aca="false">FV366*$C$9/($C$10*$C$8)^2</f>
        <v>0.21776909410545</v>
      </c>
      <c r="FY366" s="60" t="n">
        <f aca="false">FW366*$C$9/($C$10*$C$8)</f>
        <v>0.0918845243259994</v>
      </c>
      <c r="FZ366" s="60" t="n">
        <f aca="false">CHOOSE($C$7,-(1+FY366),-1,-(1-FY366))</f>
        <v>-0.908115475674001</v>
      </c>
      <c r="GA366" s="60" t="n">
        <f aca="false">CHOOSE($C$7,FX366,FX366-FY366-FY366^2,FX366-3*FY366^2-2*FY366)</f>
        <v>0.00867174802160559</v>
      </c>
      <c r="GB366" s="60" t="n">
        <f aca="false">CHOOSE($C$7,-FX366*FY366,-FX366*FY366,-(FX366*FY366-FY366^2-FY366^3))</f>
        <v>-0.0107910842936637</v>
      </c>
      <c r="GC366" s="60" t="n">
        <f aca="false">GA366-FZ366^2/3</f>
        <v>-0.266219491031267</v>
      </c>
      <c r="GD366" s="60" t="n">
        <f aca="false">2*FZ366^3/27-FZ366*GA366/3+GB366</f>
        <v>-0.0636400988362784</v>
      </c>
      <c r="GE366" s="60" t="n">
        <f aca="false">GD366^2/4+GC366^3/27</f>
        <v>0.000313710901361829</v>
      </c>
      <c r="GF366" s="60" t="n">
        <f aca="false">-GD366/2-IF(GD366&gt;=0,1,-1)*SQRT(MAX(GE366,0))</f>
        <v>0.0495319352963236</v>
      </c>
      <c r="GG366" s="60" t="n">
        <f aca="false">SIGN(GF366)*ABS(GF366)^(1/3)</f>
        <v>0.367249967174439</v>
      </c>
      <c r="GH366" s="60" t="n">
        <f aca="false">IF(GG366=0,0,GG366-GC366/(3*GG366))</f>
        <v>0.60888329127384</v>
      </c>
      <c r="GI366" s="60" t="n">
        <f aca="false">2*SQRT(MAX(-GC366,0)/3)</f>
        <v>0.595784626668918</v>
      </c>
      <c r="GJ366" s="60" t="n">
        <f aca="false">ACOS(IF(GI366=0,0,MAX(-1,MIN(1,3*GD366/(GC366*GI366)))))</f>
        <v>0</v>
      </c>
      <c r="GK366" s="60" t="n">
        <f aca="false">GI366*COS(GJ366/3)</f>
        <v>0.595784626668918</v>
      </c>
      <c r="GL366" s="60" t="n">
        <f aca="false">IF(GE366&lt;0,GK366,GH366)-FZ366/3</f>
        <v>0.91158844983184</v>
      </c>
      <c r="GM366" s="60" t="n">
        <f aca="false">IFERROR((((GL366+FZ366)*GL366+GA366)*GL366+GB366)/((3*GL366+2*FZ366)*GL366+GA366),0)</f>
        <v>0</v>
      </c>
      <c r="GN366" s="60" t="n">
        <f aca="false">IF(ABS(GM366)&lt;0.1*ABS(GL366),GL366-GM366,GL366)</f>
        <v>0.91158844983184</v>
      </c>
      <c r="GO366" s="60" t="n">
        <f aca="false">IFERROR((((GN366+FZ366)*GN366+GA366)*GN366+GB366)/((3*GN366+2*FZ366)*GN366+GA366),0)</f>
        <v>0</v>
      </c>
      <c r="GP366" s="60" t="n">
        <f aca="false">IF(ABS(GO366)&lt;0.1*ABS(GN366),GN366-GO366,GN366)</f>
        <v>0.91158844983184</v>
      </c>
      <c r="GQ366" s="60" t="n">
        <f aca="false">-GB366/GP366</f>
        <v>0.0118376711504565</v>
      </c>
      <c r="GR366" s="60" t="n">
        <f aca="false">(GA366-GQ366)/GP366</f>
        <v>-0.00347297415783941</v>
      </c>
      <c r="GS366" s="60" t="n">
        <f aca="false">GR366^2-4*GQ366</f>
        <v>-0.0473386230523248</v>
      </c>
      <c r="GT366" s="60" t="n">
        <f aca="false">IF(GS366&gt;=0,(GR366+IF(GR366&gt;=0,1,-1)*SQRT(GS366))/2,0)</f>
        <v>0</v>
      </c>
      <c r="GU366" s="60" t="n">
        <f aca="false">IF(AND(GS366&gt;=0,GT366&lt;&gt;0),MIN(GT366,GQ366/GT366),-1)</f>
        <v>-1</v>
      </c>
      <c r="GV366" s="60" t="n">
        <f aca="false">AND(GS366&gt;=0,GU366&gt;FY366,ABS(GP366-GU366)&gt;=0.00005*MAX(GP366,GU366))</f>
        <v>0</v>
      </c>
      <c r="GW366" s="60" t="n">
        <f aca="false">IF(GV366,IFERROR((((GU366+FZ366)*GU366+GA366)*GU366+GB366)/((3*GU366+2*FZ366)*GU366+GA366),0),0)</f>
        <v>0</v>
      </c>
      <c r="GX366" s="60" t="n">
        <f aca="false">IF(ABS(GW366)&lt;0.1*ABS(GU366),GU366-GW366,GU366)</f>
        <v>-1</v>
      </c>
      <c r="GY366" s="60" t="n">
        <f aca="false">IF(GV366,IFERROR((((GX366+FZ366)*GX366+GA366)*GX366+GB366)/((3*GX366+2*FZ366)*GX366+GA366),0),0)</f>
        <v>0</v>
      </c>
      <c r="GZ366" s="60" t="n">
        <f aca="false">IF(ABS(GY366)&lt;0.1*ABS(GX366),GX366-GY366,GX366)</f>
        <v>-1</v>
      </c>
      <c r="HA366" s="60" t="n">
        <f aca="false">IF(GV366,MAX(GP366,GZ366),GP366)</f>
        <v>0.91158844983184</v>
      </c>
      <c r="HB366" s="60" t="n">
        <f aca="false">IF(GV366,MIN(GP366,GZ366),-1)</f>
        <v>-1</v>
      </c>
      <c r="HC366" s="60" t="n">
        <f aca="false">CHOOSE($C$7,FX366/HA366,FX366/FY366*LN(1+FY366/HA366),FX366/(2*SQRT(2)*FY366)*LN((HA366+(1+SQRT(2))*FY366)/(HA366+(1-SQRT(2))*FY366)))</f>
        <v>0.218240791233887</v>
      </c>
      <c r="HD366" s="60" t="n">
        <f aca="false">HA366-1-LN(HA366-FY366)-HC366</f>
        <v>-0.107840271021729</v>
      </c>
      <c r="HE366" s="60" t="n">
        <f aca="false">IF(GV366,CHOOSE($C$7,FX366/HB366,FX366/FY366*LN(1+FY366/HB366),FX366/(2*SQRT(2)*FY366)*LN((HB366+(1+SQRT(2))*FY366)/(HB366+(1-SQRT(2))*FY366))),0)</f>
        <v>0</v>
      </c>
      <c r="HF366" s="60" t="n">
        <f aca="false">IF(GV366,HB366-1-LN(HB366-FY366)-HE366,0)</f>
        <v>0</v>
      </c>
      <c r="HG366" s="60" t="n">
        <f aca="false">AND(GV366,HF366&lt;HD366)</f>
        <v>0</v>
      </c>
      <c r="HH366" s="60" t="n">
        <f aca="false">IF(HG366,HB366,HA366)</f>
        <v>0.91158844983184</v>
      </c>
      <c r="HI366" s="60" t="n">
        <f aca="false">IF(HG366,HE366,HC366)</f>
        <v>0.218240791233887</v>
      </c>
      <c r="HJ366" s="60" t="n">
        <f aca="false">LN(HH366-FY366)</f>
        <v>-0.198812070380318</v>
      </c>
      <c r="HK366" s="60" t="n">
        <f aca="false">$E$27/FW366*(HH366-1)-HJ366-HI366*(2*FJ366/FV366-$E$27/FW366)</f>
        <v>-0.107840271021729</v>
      </c>
      <c r="HL366" s="60" t="n">
        <f aca="false">$F$27/FW366*(HH366-1)-HJ366-HI366*(2*FK366/FV366-$F$27/FW366)</f>
        <v>0.198812070380318</v>
      </c>
      <c r="HM366" s="60" t="n">
        <f aca="false">$G$27/FW366*(HH366-1)-HJ366-HI366*(2*FL366/FV366-$G$27/FW366)</f>
        <v>0.198812070380318</v>
      </c>
      <c r="HN366" s="60" t="n">
        <f aca="false">$H$27/FW366*(HH366-1)-HJ366-HI366*(2*FM366/FV366-$H$27/FW366)</f>
        <v>0.198812070380318</v>
      </c>
      <c r="HO366" s="60" t="n">
        <f aca="false">$I$27/FW366*(HH366-1)-HJ366-HI366*(2*FN366/FV366-$I$27/FW366)</f>
        <v>0.198812070380318</v>
      </c>
      <c r="HP366" s="60" t="n">
        <f aca="false">$J$27/FW366*(HH366-1)-HJ366-HI366*(2*FO366/FV366-$J$27/FW366)</f>
        <v>0.198812070380318</v>
      </c>
      <c r="HQ366" s="60" t="n">
        <f aca="false">$K$27/FW366*(HH366-1)-HJ366-HI366*(2*FP366/FV366-$K$27/FW366)</f>
        <v>0.198812070380318</v>
      </c>
      <c r="HR366" s="60" t="n">
        <f aca="false">$L$27/FW366*(HH366-1)-HJ366-HI366*(2*FQ366/FV366-$L$27/FW366)</f>
        <v>0.198812070380318</v>
      </c>
      <c r="HS366" s="60" t="n">
        <f aca="false">$M$27/FW366*(HH366-1)-HJ366-HI366*(2*FR366/FV366-$M$27/FW366)</f>
        <v>0.198812070380318</v>
      </c>
      <c r="HT366" s="60" t="n">
        <f aca="false">$N$27/FW366*(HH366-1)-HJ366-HI366*(2*FS366/FV366-$N$27/FW366)</f>
        <v>0.198812070380318</v>
      </c>
      <c r="HU366" s="60" t="n">
        <f aca="false">$O$27/FW366*(HH366-1)-HJ366-HI366*(2*FT366/FV366-$O$27/FW366)</f>
        <v>0.198812070380318</v>
      </c>
      <c r="HV366" s="60" t="n">
        <f aca="false">$P$27/FW366*(HH366-1)-HJ366-HI366*(2*FU366/FV366-$P$27/FW366)</f>
        <v>0.198812070380318</v>
      </c>
      <c r="HW366" s="60" t="n">
        <f aca="false">FY366/HH366&gt;$C$22</f>
        <v>0</v>
      </c>
      <c r="HX366" s="60" t="n">
        <f aca="false">IF($E$13&gt;0,MAX(-300,MIN(300,EW366-HK366)),0)</f>
        <v>0</v>
      </c>
      <c r="HY366" s="60" t="n">
        <f aca="false">IF($F$13&gt;0,MAX(-300,MIN(300,EX366-HL366)),0)</f>
        <v>0</v>
      </c>
      <c r="HZ366" s="60" t="n">
        <f aca="false">IF($G$13&gt;0,MAX(-300,MIN(300,EY366-HM366)),0)</f>
        <v>0</v>
      </c>
      <c r="IA366" s="60" t="n">
        <f aca="false">IF($H$13&gt;0,MAX(-300,MIN(300,EZ366-HN366)),0)</f>
        <v>0</v>
      </c>
      <c r="IB366" s="60" t="n">
        <f aca="false">IF($I$13&gt;0,MAX(-300,MIN(300,FA366-HO366)),0)</f>
        <v>0</v>
      </c>
      <c r="IC366" s="60" t="n">
        <f aca="false">IF($J$13&gt;0,MAX(-300,MIN(300,FB366-HP366)),0)</f>
        <v>0</v>
      </c>
      <c r="ID366" s="60" t="n">
        <f aca="false">IF($K$13&gt;0,MAX(-300,MIN(300,FC366-HQ366)),0)</f>
        <v>0</v>
      </c>
      <c r="IE366" s="60" t="n">
        <f aca="false">IF($L$13&gt;0,MAX(-300,MIN(300,FD366-HR366)),0)</f>
        <v>0</v>
      </c>
      <c r="IF366" s="60" t="n">
        <f aca="false">IF($M$13&gt;0,MAX(-300,MIN(300,FE366-HS366)),0)</f>
        <v>0</v>
      </c>
      <c r="IG366" s="60" t="n">
        <f aca="false">IF($N$13&gt;0,MAX(-300,MIN(300,FF366-HT366)),0)</f>
        <v>0</v>
      </c>
      <c r="IH366" s="60" t="n">
        <f aca="false">IF($O$13&gt;0,MAX(-300,MIN(300,FG366-HU366)),0)</f>
        <v>0</v>
      </c>
      <c r="II366" s="60" t="n">
        <f aca="false">IF($P$13&gt;0,MAX(-300,MIN(300,FH366-HV366)),0)</f>
        <v>0</v>
      </c>
      <c r="IJ366" s="60" t="n">
        <f aca="false">SUMXMY2(HX366:II366,B366:M366)</f>
        <v>0</v>
      </c>
      <c r="IK366" s="60" t="n">
        <f aca="false">SUMSQ(B366:M366)</f>
        <v>0</v>
      </c>
    </row>
    <row r="367" customFormat="false" ht="15" hidden="false" customHeight="false" outlineLevel="0" collapsed="false">
      <c r="A367" s="59" t="n">
        <v>6</v>
      </c>
      <c r="B367" s="60" t="n">
        <f aca="false">HX366</f>
        <v>0</v>
      </c>
      <c r="C367" s="60" t="n">
        <f aca="false">HY366</f>
        <v>0</v>
      </c>
      <c r="D367" s="60" t="n">
        <f aca="false">HZ366</f>
        <v>0</v>
      </c>
      <c r="E367" s="60" t="n">
        <f aca="false">IA366</f>
        <v>0</v>
      </c>
      <c r="F367" s="60" t="n">
        <f aca="false">IB366</f>
        <v>0</v>
      </c>
      <c r="G367" s="60" t="n">
        <f aca="false">IC366</f>
        <v>0</v>
      </c>
      <c r="H367" s="60" t="n">
        <f aca="false">ID366</f>
        <v>0</v>
      </c>
      <c r="I367" s="60" t="n">
        <f aca="false">IE366</f>
        <v>0</v>
      </c>
      <c r="J367" s="60" t="n">
        <f aca="false">IF366</f>
        <v>0</v>
      </c>
      <c r="K367" s="60" t="n">
        <f aca="false">IG366</f>
        <v>0</v>
      </c>
      <c r="L367" s="60" t="n">
        <f aca="false">IH366</f>
        <v>0</v>
      </c>
      <c r="M367" s="60" t="n">
        <f aca="false">II366</f>
        <v>0</v>
      </c>
      <c r="N367" s="60" t="n">
        <f aca="false">EXP(B367)</f>
        <v>1</v>
      </c>
      <c r="O367" s="60" t="n">
        <f aca="false">EXP(C367)</f>
        <v>1</v>
      </c>
      <c r="P367" s="60" t="n">
        <f aca="false">EXP(D367)</f>
        <v>1</v>
      </c>
      <c r="Q367" s="60" t="n">
        <f aca="false">EXP(E367)</f>
        <v>1</v>
      </c>
      <c r="R367" s="60" t="n">
        <f aca="false">EXP(F367)</f>
        <v>1</v>
      </c>
      <c r="S367" s="60" t="n">
        <f aca="false">EXP(G367)</f>
        <v>1</v>
      </c>
      <c r="T367" s="60" t="n">
        <f aca="false">EXP(H367)</f>
        <v>1</v>
      </c>
      <c r="U367" s="60" t="n">
        <f aca="false">EXP(I367)</f>
        <v>1</v>
      </c>
      <c r="V367" s="60" t="n">
        <f aca="false">EXP(J367)</f>
        <v>1</v>
      </c>
      <c r="W367" s="60" t="n">
        <f aca="false">EXP(K367)</f>
        <v>1</v>
      </c>
      <c r="X367" s="60" t="n">
        <f aca="false">EXP(L367)</f>
        <v>1</v>
      </c>
      <c r="Y367" s="60" t="n">
        <f aca="false">EXP(M367)</f>
        <v>1</v>
      </c>
      <c r="Z367" s="60" t="n">
        <f aca="false">MAX(N367:Y367)</f>
        <v>1</v>
      </c>
      <c r="AA367" s="60" t="n">
        <f aca="false">MIN(N367:Y367)</f>
        <v>1</v>
      </c>
      <c r="AB367" s="60" t="n">
        <f aca="false">AND(Z367&gt;1,AA367&lt;1)</f>
        <v>0</v>
      </c>
      <c r="AC367" s="60" t="n">
        <f aca="false">IF(AB367,1/(1-Z367),0)</f>
        <v>0</v>
      </c>
      <c r="AD367" s="60" t="n">
        <f aca="false">IF(AB367,1/(1-AA367),1)</f>
        <v>1</v>
      </c>
      <c r="AE367" s="60" t="n">
        <f aca="false">IF(AB367,MIN(MAX(BI366,AC367+0.000000001*(AD367-AC367)),AD367-0.000000001*(AD367-AC367)),IF(AA367&gt;=1,1,0))</f>
        <v>1</v>
      </c>
      <c r="AF367" s="60" t="n">
        <f aca="false">SUMPRODUCT($E$13:$P$13*(N367:Y367-1)/(1+AE367*(N367:Y367-1)))</f>
        <v>0</v>
      </c>
      <c r="AG367" s="60" t="n">
        <f aca="false">-SUMPRODUCT($E$13:$P$13*(N367:Y367-1)^2/(1+AE367*(N367:Y367-1))^2)</f>
        <v>-0</v>
      </c>
      <c r="AH367" s="60" t="n">
        <f aca="false">IF(OR(NOT(AB367),AG367=0),AE367,IF(AE367-AF367/AG367&lt;=AC367,(AE367+AC367)/2,IF(AE367-AF367/AG367&gt;=AD367,(AE367+AD367)/2,AE367-AF367/AG367)))</f>
        <v>1</v>
      </c>
      <c r="AI367" s="60" t="n">
        <f aca="false">SUMPRODUCT($E$13:$P$13*(N367:Y367-1)/(1+AH367*(N367:Y367-1)))</f>
        <v>0</v>
      </c>
      <c r="AJ367" s="60" t="n">
        <f aca="false">-SUMPRODUCT($E$13:$P$13*(N367:Y367-1)^2/(1+AH367*(N367:Y367-1))^2)</f>
        <v>-0</v>
      </c>
      <c r="AK367" s="60" t="n">
        <f aca="false">IF(OR(NOT(AB367),AJ367=0),AH367,IF(AH367-AI367/AJ367&lt;=AC367,(AH367+AC367)/2,IF(AH367-AI367/AJ367&gt;=AD367,(AH367+AD367)/2,AH367-AI367/AJ367)))</f>
        <v>1</v>
      </c>
      <c r="AL367" s="60" t="n">
        <f aca="false">SUMPRODUCT($E$13:$P$13*(N367:Y367-1)/(1+AK367*(N367:Y367-1)))</f>
        <v>0</v>
      </c>
      <c r="AM367" s="60" t="n">
        <f aca="false">-SUMPRODUCT($E$13:$P$13*(N367:Y367-1)^2/(1+AK367*(N367:Y367-1))^2)</f>
        <v>-0</v>
      </c>
      <c r="AN367" s="60" t="n">
        <f aca="false">IF(OR(NOT(AB367),AM367=0),AK367,IF(AK367-AL367/AM367&lt;=AC367,(AK367+AC367)/2,IF(AK367-AL367/AM367&gt;=AD367,(AK367+AD367)/2,AK367-AL367/AM367)))</f>
        <v>1</v>
      </c>
      <c r="AO367" s="60" t="n">
        <f aca="false">SUMPRODUCT($E$13:$P$13*(N367:Y367-1)/(1+AN367*(N367:Y367-1)))</f>
        <v>0</v>
      </c>
      <c r="AP367" s="60" t="n">
        <f aca="false">-SUMPRODUCT($E$13:$P$13*(N367:Y367-1)^2/(1+AN367*(N367:Y367-1))^2)</f>
        <v>-0</v>
      </c>
      <c r="AQ367" s="60" t="n">
        <f aca="false">IF(OR(NOT(AB367),AP367=0),AN367,IF(AN367-AO367/AP367&lt;=AC367,(AN367+AC367)/2,IF(AN367-AO367/AP367&gt;=AD367,(AN367+AD367)/2,AN367-AO367/AP367)))</f>
        <v>1</v>
      </c>
      <c r="AR367" s="60" t="n">
        <f aca="false">SUMPRODUCT($E$13:$P$13*(N367:Y367-1)/(1+AQ367*(N367:Y367-1)))</f>
        <v>0</v>
      </c>
      <c r="AS367" s="60" t="n">
        <f aca="false">-SUMPRODUCT($E$13:$P$13*(N367:Y367-1)^2/(1+AQ367*(N367:Y367-1))^2)</f>
        <v>-0</v>
      </c>
      <c r="AT367" s="60" t="n">
        <f aca="false">IF(OR(NOT(AB367),AS367=0),AQ367,IF(AQ367-AR367/AS367&lt;=AC367,(AQ367+AC367)/2,IF(AQ367-AR367/AS367&gt;=AD367,(AQ367+AD367)/2,AQ367-AR367/AS367)))</f>
        <v>1</v>
      </c>
      <c r="AU367" s="60" t="n">
        <f aca="false">SUMPRODUCT($E$13:$P$13*(N367:Y367-1)/(1+AT367*(N367:Y367-1)))</f>
        <v>0</v>
      </c>
      <c r="AV367" s="60" t="n">
        <f aca="false">-SUMPRODUCT($E$13:$P$13*(N367:Y367-1)^2/(1+AT367*(N367:Y367-1))^2)</f>
        <v>-0</v>
      </c>
      <c r="AW367" s="60" t="n">
        <f aca="false">IF(OR(NOT(AB367),AV367=0),AT367,IF(AT367-AU367/AV367&lt;=AC367,(AT367+AC367)/2,IF(AT367-AU367/AV367&gt;=AD367,(AT367+AD367)/2,AT367-AU367/AV367)))</f>
        <v>1</v>
      </c>
      <c r="AX367" s="60" t="n">
        <f aca="false">SUMPRODUCT($E$13:$P$13*(N367:Y367-1)/(1+AW367*(N367:Y367-1)))</f>
        <v>0</v>
      </c>
      <c r="AY367" s="60" t="n">
        <f aca="false">-SUMPRODUCT($E$13:$P$13*(N367:Y367-1)^2/(1+AW367*(N367:Y367-1))^2)</f>
        <v>-0</v>
      </c>
      <c r="AZ367" s="60" t="n">
        <f aca="false">IF(OR(NOT(AB367),AY367=0),AW367,IF(AW367-AX367/AY367&lt;=AC367,(AW367+AC367)/2,IF(AW367-AX367/AY367&gt;=AD367,(AW367+AD367)/2,AW367-AX367/AY367)))</f>
        <v>1</v>
      </c>
      <c r="BA367" s="60" t="n">
        <f aca="false">SUMPRODUCT($E$13:$P$13*(N367:Y367-1)/(1+AZ367*(N367:Y367-1)))</f>
        <v>0</v>
      </c>
      <c r="BB367" s="60" t="n">
        <f aca="false">-SUMPRODUCT($E$13:$P$13*(N367:Y367-1)^2/(1+AZ367*(N367:Y367-1))^2)</f>
        <v>-0</v>
      </c>
      <c r="BC367" s="60" t="n">
        <f aca="false">IF(OR(NOT(AB367),BB367=0),AZ367,IF(AZ367-BA367/BB367&lt;=AC367,(AZ367+AC367)/2,IF(AZ367-BA367/BB367&gt;=AD367,(AZ367+AD367)/2,AZ367-BA367/BB367)))</f>
        <v>1</v>
      </c>
      <c r="BD367" s="60" t="n">
        <f aca="false">SUMPRODUCT($E$13:$P$13*(N367:Y367-1)/(1+BC367*(N367:Y367-1)))</f>
        <v>0</v>
      </c>
      <c r="BE367" s="60" t="n">
        <f aca="false">-SUMPRODUCT($E$13:$P$13*(N367:Y367-1)^2/(1+BC367*(N367:Y367-1))^2)</f>
        <v>-0</v>
      </c>
      <c r="BF367" s="60" t="n">
        <f aca="false">IF(OR(NOT(AB367),BE367=0),BC367,IF(BC367-BD367/BE367&lt;=AC367,(BC367+AC367)/2,IF(BC367-BD367/BE367&gt;=AD367,(BC367+AD367)/2,BC367-BD367/BE367)))</f>
        <v>1</v>
      </c>
      <c r="BG367" s="60" t="n">
        <f aca="false">SUMPRODUCT($E$13:$P$13*(N367:Y367-1)/(1+BF367*(N367:Y367-1)))</f>
        <v>0</v>
      </c>
      <c r="BH367" s="60" t="n">
        <f aca="false">-SUMPRODUCT($E$13:$P$13*(N367:Y367-1)^2/(1+BF367*(N367:Y367-1))^2)</f>
        <v>-0</v>
      </c>
      <c r="BI367" s="60" t="n">
        <f aca="false">IF(OR(NOT(AB367),BH367=0),BF367,IF(BF367-BG367/BH367&lt;=AC367,(BF367+AC367)/2,IF(BF367-BG367/BH367&gt;=AD367,(BF367+AD367)/2,BF367-BG367/BH367)))</f>
        <v>1</v>
      </c>
      <c r="BJ367" s="60" t="n">
        <f aca="false">$E$13/(1+BI367*(N367-1))</f>
        <v>1</v>
      </c>
      <c r="BK367" s="60" t="n">
        <f aca="false">$F$13/(1+BI367*(O367-1))</f>
        <v>0</v>
      </c>
      <c r="BL367" s="60" t="n">
        <f aca="false">$G$13/(1+BI367*(P367-1))</f>
        <v>0</v>
      </c>
      <c r="BM367" s="60" t="n">
        <f aca="false">$H$13/(1+BI367*(Q367-1))</f>
        <v>0</v>
      </c>
      <c r="BN367" s="60" t="n">
        <f aca="false">$I$13/(1+BI367*(R367-1))</f>
        <v>0</v>
      </c>
      <c r="BO367" s="60" t="n">
        <f aca="false">$J$13/(1+BI367*(S367-1))</f>
        <v>0</v>
      </c>
      <c r="BP367" s="60" t="n">
        <f aca="false">$K$13/(1+BI367*(T367-1))</f>
        <v>0</v>
      </c>
      <c r="BQ367" s="60" t="n">
        <f aca="false">$L$13/(1+BI367*(U367-1))</f>
        <v>0</v>
      </c>
      <c r="BR367" s="60" t="n">
        <f aca="false">$M$13/(1+BI367*(V367-1))</f>
        <v>0</v>
      </c>
      <c r="BS367" s="60" t="n">
        <f aca="false">$N$13/(1+BI367*(W367-1))</f>
        <v>0</v>
      </c>
      <c r="BT367" s="60" t="n">
        <f aca="false">$O$13/(1+BI367*(X367-1))</f>
        <v>0</v>
      </c>
      <c r="BU367" s="60" t="n">
        <f aca="false">$P$13/(1+BI367*(Y367-1))</f>
        <v>0</v>
      </c>
      <c r="BV367" s="60" t="n">
        <f aca="false">SUM(BJ367:BU367)</f>
        <v>1</v>
      </c>
      <c r="BW367" s="60" t="n">
        <f aca="false">SUMPRODUCT(N367:Y367,BJ367:BU367)</f>
        <v>1</v>
      </c>
      <c r="BX367" s="60" t="n">
        <f aca="false">BJ367/BV367</f>
        <v>1</v>
      </c>
      <c r="BY367" s="60" t="n">
        <f aca="false">BK367/BV367</f>
        <v>0</v>
      </c>
      <c r="BZ367" s="60" t="n">
        <f aca="false">BL367/BV367</f>
        <v>0</v>
      </c>
      <c r="CA367" s="60" t="n">
        <f aca="false">BM367/BV367</f>
        <v>0</v>
      </c>
      <c r="CB367" s="60" t="n">
        <f aca="false">BN367/BV367</f>
        <v>0</v>
      </c>
      <c r="CC367" s="60" t="n">
        <f aca="false">BO367/BV367</f>
        <v>0</v>
      </c>
      <c r="CD367" s="60" t="n">
        <f aca="false">BP367/BV367</f>
        <v>0</v>
      </c>
      <c r="CE367" s="60" t="n">
        <f aca="false">BQ367/BV367</f>
        <v>0</v>
      </c>
      <c r="CF367" s="60" t="n">
        <f aca="false">BR367/BV367</f>
        <v>0</v>
      </c>
      <c r="CG367" s="60" t="n">
        <f aca="false">BS367/BV367</f>
        <v>0</v>
      </c>
      <c r="CH367" s="60" t="n">
        <f aca="false">BT367/BV367</f>
        <v>0</v>
      </c>
      <c r="CI367" s="60" t="n">
        <f aca="false">BU367/BV367</f>
        <v>0</v>
      </c>
      <c r="CJ367" s="60" t="n">
        <f aca="false">N367*BJ367/BW367</f>
        <v>1</v>
      </c>
      <c r="CK367" s="60" t="n">
        <f aca="false">O367*BK367/BW367</f>
        <v>0</v>
      </c>
      <c r="CL367" s="60" t="n">
        <f aca="false">P367*BL367/BW367</f>
        <v>0</v>
      </c>
      <c r="CM367" s="60" t="n">
        <f aca="false">Q367*BM367/BW367</f>
        <v>0</v>
      </c>
      <c r="CN367" s="60" t="n">
        <f aca="false">R367*BN367/BW367</f>
        <v>0</v>
      </c>
      <c r="CO367" s="60" t="n">
        <f aca="false">S367*BO367/BW367</f>
        <v>0</v>
      </c>
      <c r="CP367" s="60" t="n">
        <f aca="false">T367*BP367/BW367</f>
        <v>0</v>
      </c>
      <c r="CQ367" s="60" t="n">
        <f aca="false">U367*BQ367/BW367</f>
        <v>0</v>
      </c>
      <c r="CR367" s="60" t="n">
        <f aca="false">V367*BR367/BW367</f>
        <v>0</v>
      </c>
      <c r="CS367" s="60" t="n">
        <f aca="false">W367*BS367/BW367</f>
        <v>0</v>
      </c>
      <c r="CT367" s="60" t="n">
        <f aca="false">X367*BT367/BW367</f>
        <v>0</v>
      </c>
      <c r="CU367" s="60" t="n">
        <f aca="false">Y367*BU367/BW367</f>
        <v>0</v>
      </c>
      <c r="CV367" s="60" t="n">
        <f aca="false">$E$28*SUMPRODUCT($E$31:$P$31,BX367:CI367,$E$28:$P$28)</f>
        <v>0.184416866619846</v>
      </c>
      <c r="CW367" s="60" t="n">
        <f aca="false">$F$28*SUMPRODUCT($E$32:$P$32,BX367:CI367,$E$28:$P$28)</f>
        <v>0</v>
      </c>
      <c r="CX367" s="60" t="n">
        <f aca="false">$G$28*SUMPRODUCT($E$33:$P$33,BX367:CI367,$E$28:$P$28)</f>
        <v>0</v>
      </c>
      <c r="CY367" s="60" t="n">
        <f aca="false">$H$28*SUMPRODUCT($E$34:$P$34,BX367:CI367,$E$28:$P$28)</f>
        <v>0</v>
      </c>
      <c r="CZ367" s="60" t="n">
        <f aca="false">$I$28*SUMPRODUCT($E$35:$P$35,BX367:CI367,$E$28:$P$28)</f>
        <v>0</v>
      </c>
      <c r="DA367" s="60" t="n">
        <f aca="false">$J$28*SUMPRODUCT($E$36:$P$36,BX367:CI367,$E$28:$P$28)</f>
        <v>0</v>
      </c>
      <c r="DB367" s="60" t="n">
        <f aca="false">$K$28*SUMPRODUCT($E$37:$P$37,BX367:CI367,$E$28:$P$28)</f>
        <v>0</v>
      </c>
      <c r="DC367" s="60" t="n">
        <f aca="false">$L$28*SUMPRODUCT($E$38:$P$38,BX367:CI367,$E$28:$P$28)</f>
        <v>0</v>
      </c>
      <c r="DD367" s="60" t="n">
        <f aca="false">$M$28*SUMPRODUCT($E$39:$P$39,BX367:CI367,$E$28:$P$28)</f>
        <v>0</v>
      </c>
      <c r="DE367" s="60" t="n">
        <f aca="false">$N$28*SUMPRODUCT($E$40:$P$40,BX367:CI367,$E$28:$P$28)</f>
        <v>0</v>
      </c>
      <c r="DF367" s="60" t="n">
        <f aca="false">$O$28*SUMPRODUCT($E$41:$P$41,BX367:CI367,$E$28:$P$28)</f>
        <v>0</v>
      </c>
      <c r="DG367" s="60" t="n">
        <f aca="false">$P$28*SUMPRODUCT($E$42:$P$42,BX367:CI367,$E$28:$P$28)</f>
        <v>0</v>
      </c>
      <c r="DH367" s="60" t="n">
        <f aca="false">SUMPRODUCT(BX367:CI367,CV367:DG367)</f>
        <v>0.184416866619846</v>
      </c>
      <c r="DI367" s="60" t="n">
        <f aca="false">SUMPRODUCT(BX367:CI367,$E$27:$P$27)</f>
        <v>2.67389635063809E-005</v>
      </c>
      <c r="DJ367" s="60" t="n">
        <f aca="false">DH367*$C$9/($C$10*$C$8)^2</f>
        <v>0.21776909410545</v>
      </c>
      <c r="DK367" s="60" t="n">
        <f aca="false">DI367*$C$9/($C$10*$C$8)</f>
        <v>0.0918845243259994</v>
      </c>
      <c r="DL367" s="60" t="n">
        <f aca="false">CHOOSE($C$7,-(1+DK367),-1,-(1-DK367))</f>
        <v>-0.908115475674001</v>
      </c>
      <c r="DM367" s="60" t="n">
        <f aca="false">CHOOSE($C$7,DJ367,DJ367-DK367-DK367^2,DJ367-3*DK367^2-2*DK367)</f>
        <v>0.00867174802160559</v>
      </c>
      <c r="DN367" s="60" t="n">
        <f aca="false">CHOOSE($C$7,-DJ367*DK367,-DJ367*DK367,-(DJ367*DK367-DK367^2-DK367^3))</f>
        <v>-0.0107910842936637</v>
      </c>
      <c r="DO367" s="60" t="n">
        <f aca="false">DM367-DL367^2/3</f>
        <v>-0.266219491031267</v>
      </c>
      <c r="DP367" s="60" t="n">
        <f aca="false">2*DL367^3/27-DL367*DM367/3+DN367</f>
        <v>-0.0636400988362784</v>
      </c>
      <c r="DQ367" s="60" t="n">
        <f aca="false">DP367^2/4+DO367^3/27</f>
        <v>0.000313710901361829</v>
      </c>
      <c r="DR367" s="60" t="n">
        <f aca="false">-DP367/2-IF(DP367&gt;=0,1,-1)*SQRT(MAX(DQ367,0))</f>
        <v>0.0495319352963236</v>
      </c>
      <c r="DS367" s="60" t="n">
        <f aca="false">SIGN(DR367)*ABS(DR367)^(1/3)</f>
        <v>0.367249967174439</v>
      </c>
      <c r="DT367" s="60" t="n">
        <f aca="false">IF(DS367=0,0,DS367-DO367/(3*DS367))</f>
        <v>0.60888329127384</v>
      </c>
      <c r="DU367" s="60" t="n">
        <f aca="false">2*SQRT(MAX(-DO367,0)/3)</f>
        <v>0.595784626668918</v>
      </c>
      <c r="DV367" s="60" t="n">
        <f aca="false">ACOS(IF(DU367=0,0,MAX(-1,MIN(1,3*DP367/(DO367*DU367)))))</f>
        <v>0</v>
      </c>
      <c r="DW367" s="60" t="n">
        <f aca="false">DU367*COS(DV367/3)</f>
        <v>0.595784626668918</v>
      </c>
      <c r="DX367" s="60" t="n">
        <f aca="false">IF(DQ367&lt;0,DW367,DT367)-DL367/3</f>
        <v>0.91158844983184</v>
      </c>
      <c r="DY367" s="60" t="n">
        <f aca="false">IFERROR((((DX367+DL367)*DX367+DM367)*DX367+DN367)/((3*DX367+2*DL367)*DX367+DM367),0)</f>
        <v>0</v>
      </c>
      <c r="DZ367" s="60" t="n">
        <f aca="false">IF(ABS(DY367)&lt;0.1*ABS(DX367),DX367-DY367,DX367)</f>
        <v>0.91158844983184</v>
      </c>
      <c r="EA367" s="60" t="n">
        <f aca="false">IFERROR((((DZ367+DL367)*DZ367+DM367)*DZ367+DN367)/((3*DZ367+2*DL367)*DZ367+DM367),0)</f>
        <v>0</v>
      </c>
      <c r="EB367" s="60" t="n">
        <f aca="false">IF(ABS(EA367)&lt;0.1*ABS(DZ367),DZ367-EA367,DZ367)</f>
        <v>0.91158844983184</v>
      </c>
      <c r="EC367" s="60" t="n">
        <f aca="false">-DN367/EB367</f>
        <v>0.0118376711504565</v>
      </c>
      <c r="ED367" s="60" t="n">
        <f aca="false">(DM367-EC367)/EB367</f>
        <v>-0.00347297415783941</v>
      </c>
      <c r="EE367" s="60" t="n">
        <f aca="false">ED367^2-4*EC367</f>
        <v>-0.0473386230523248</v>
      </c>
      <c r="EF367" s="60" t="n">
        <f aca="false">IF(EE367&gt;=0,(ED367+IF(ED367&gt;=0,1,-1)*SQRT(EE367))/2,0)</f>
        <v>0</v>
      </c>
      <c r="EG367" s="60" t="n">
        <f aca="false">IF(AND(EE367&gt;=0,EF367&lt;&gt;0),MIN(EF367,EC367/EF367),-1)</f>
        <v>-1</v>
      </c>
      <c r="EH367" s="60" t="n">
        <f aca="false">AND(EE367&gt;=0,EG367&gt;DK367,ABS(EB367-EG367)&gt;=0.00005*MAX(EB367,EG367))</f>
        <v>0</v>
      </c>
      <c r="EI367" s="60" t="n">
        <f aca="false">IF(EH367,IFERROR((((EG367+DL367)*EG367+DM367)*EG367+DN367)/((3*EG367+2*DL367)*EG367+DM367),0),0)</f>
        <v>0</v>
      </c>
      <c r="EJ367" s="60" t="n">
        <f aca="false">IF(ABS(EI367)&lt;0.1*ABS(EG367),EG367-EI367,EG367)</f>
        <v>-1</v>
      </c>
      <c r="EK367" s="60" t="n">
        <f aca="false">IF(EH367,IFERROR((((EJ367+DL367)*EJ367+DM367)*EJ367+DN367)/((3*EJ367+2*DL367)*EJ367+DM367),0),0)</f>
        <v>0</v>
      </c>
      <c r="EL367" s="60" t="n">
        <f aca="false">IF(ABS(EK367)&lt;0.1*ABS(EJ367),EJ367-EK367,EJ367)</f>
        <v>-1</v>
      </c>
      <c r="EM367" s="60" t="n">
        <f aca="false">IF(EH367,MAX(EB367,EL367),EB367)</f>
        <v>0.91158844983184</v>
      </c>
      <c r="EN367" s="60" t="n">
        <f aca="false">IF(EH367,MIN(EB367,EL367),-1)</f>
        <v>-1</v>
      </c>
      <c r="EO367" s="60" t="n">
        <f aca="false">CHOOSE($C$7,DJ367/EM367,DJ367/DK367*LN(1+DK367/EM367),DJ367/(2*SQRT(2)*DK367)*LN((EM367+(1+SQRT(2))*DK367)/(EM367+(1-SQRT(2))*DK367)))</f>
        <v>0.218240791233887</v>
      </c>
      <c r="EP367" s="60" t="n">
        <f aca="false">EM367-1-LN(EM367-DK367)-EO367</f>
        <v>-0.107840271021729</v>
      </c>
      <c r="EQ367" s="60" t="n">
        <f aca="false">IF(EH367,CHOOSE($C$7,DJ367/EN367,DJ367/DK367*LN(1+DK367/EN367),DJ367/(2*SQRT(2)*DK367)*LN((EN367+(1+SQRT(2))*DK367)/(EN367+(1-SQRT(2))*DK367))),0)</f>
        <v>0</v>
      </c>
      <c r="ER367" s="60" t="n">
        <f aca="false">IF(EH367,EN367-1-LN(EN367-DK367)-EQ367,0)</f>
        <v>0</v>
      </c>
      <c r="ES367" s="60" t="n">
        <f aca="false">AND(EH367,ER367&lt;EP367)</f>
        <v>0</v>
      </c>
      <c r="ET367" s="60" t="n">
        <f aca="false">IF(ES367,EN367,EM367)</f>
        <v>0.91158844983184</v>
      </c>
      <c r="EU367" s="60" t="n">
        <f aca="false">IF(ES367,EQ367,EO367)</f>
        <v>0.218240791233887</v>
      </c>
      <c r="EV367" s="60" t="n">
        <f aca="false">LN(ET367-DK367)</f>
        <v>-0.198812070380318</v>
      </c>
      <c r="EW367" s="60" t="n">
        <f aca="false">$E$27/DI367*(ET367-1)-EV367-EU367*(2*CV367/DH367-$E$27/DI367)</f>
        <v>-0.107840271021729</v>
      </c>
      <c r="EX367" s="60" t="n">
        <f aca="false">$F$27/DI367*(ET367-1)-EV367-EU367*(2*CW367/DH367-$F$27/DI367)</f>
        <v>0.198812070380318</v>
      </c>
      <c r="EY367" s="60" t="n">
        <f aca="false">$G$27/DI367*(ET367-1)-EV367-EU367*(2*CX367/DH367-$G$27/DI367)</f>
        <v>0.198812070380318</v>
      </c>
      <c r="EZ367" s="60" t="n">
        <f aca="false">$H$27/DI367*(ET367-1)-EV367-EU367*(2*CY367/DH367-$H$27/DI367)</f>
        <v>0.198812070380318</v>
      </c>
      <c r="FA367" s="60" t="n">
        <f aca="false">$I$27/DI367*(ET367-1)-EV367-EU367*(2*CZ367/DH367-$I$27/DI367)</f>
        <v>0.198812070380318</v>
      </c>
      <c r="FB367" s="60" t="n">
        <f aca="false">$J$27/DI367*(ET367-1)-EV367-EU367*(2*DA367/DH367-$J$27/DI367)</f>
        <v>0.198812070380318</v>
      </c>
      <c r="FC367" s="60" t="n">
        <f aca="false">$K$27/DI367*(ET367-1)-EV367-EU367*(2*DB367/DH367-$K$27/DI367)</f>
        <v>0.198812070380318</v>
      </c>
      <c r="FD367" s="60" t="n">
        <f aca="false">$L$27/DI367*(ET367-1)-EV367-EU367*(2*DC367/DH367-$L$27/DI367)</f>
        <v>0.198812070380318</v>
      </c>
      <c r="FE367" s="60" t="n">
        <f aca="false">$M$27/DI367*(ET367-1)-EV367-EU367*(2*DD367/DH367-$M$27/DI367)</f>
        <v>0.198812070380318</v>
      </c>
      <c r="FF367" s="60" t="n">
        <f aca="false">$N$27/DI367*(ET367-1)-EV367-EU367*(2*DE367/DH367-$N$27/DI367)</f>
        <v>0.198812070380318</v>
      </c>
      <c r="FG367" s="60" t="n">
        <f aca="false">$O$27/DI367*(ET367-1)-EV367-EU367*(2*DF367/DH367-$O$27/DI367)</f>
        <v>0.198812070380318</v>
      </c>
      <c r="FH367" s="60" t="n">
        <f aca="false">$P$27/DI367*(ET367-1)-EV367-EU367*(2*DG367/DH367-$P$27/DI367)</f>
        <v>0.198812070380318</v>
      </c>
      <c r="FI367" s="60" t="n">
        <f aca="false">DK367/ET367&gt;$C$22</f>
        <v>0</v>
      </c>
      <c r="FJ367" s="60" t="n">
        <f aca="false">$E$28*SUMPRODUCT($E$31:$P$31,CJ367:CU367,$E$28:$P$28)</f>
        <v>0.184416866619846</v>
      </c>
      <c r="FK367" s="60" t="n">
        <f aca="false">$F$28*SUMPRODUCT($E$32:$P$32,CJ367:CU367,$E$28:$P$28)</f>
        <v>0</v>
      </c>
      <c r="FL367" s="60" t="n">
        <f aca="false">$G$28*SUMPRODUCT($E$33:$P$33,CJ367:CU367,$E$28:$P$28)</f>
        <v>0</v>
      </c>
      <c r="FM367" s="60" t="n">
        <f aca="false">$H$28*SUMPRODUCT($E$34:$P$34,CJ367:CU367,$E$28:$P$28)</f>
        <v>0</v>
      </c>
      <c r="FN367" s="60" t="n">
        <f aca="false">$I$28*SUMPRODUCT($E$35:$P$35,CJ367:CU367,$E$28:$P$28)</f>
        <v>0</v>
      </c>
      <c r="FO367" s="60" t="n">
        <f aca="false">$J$28*SUMPRODUCT($E$36:$P$36,CJ367:CU367,$E$28:$P$28)</f>
        <v>0</v>
      </c>
      <c r="FP367" s="60" t="n">
        <f aca="false">$K$28*SUMPRODUCT($E$37:$P$37,CJ367:CU367,$E$28:$P$28)</f>
        <v>0</v>
      </c>
      <c r="FQ367" s="60" t="n">
        <f aca="false">$L$28*SUMPRODUCT($E$38:$P$38,CJ367:CU367,$E$28:$P$28)</f>
        <v>0</v>
      </c>
      <c r="FR367" s="60" t="n">
        <f aca="false">$M$28*SUMPRODUCT($E$39:$P$39,CJ367:CU367,$E$28:$P$28)</f>
        <v>0</v>
      </c>
      <c r="FS367" s="60" t="n">
        <f aca="false">$N$28*SUMPRODUCT($E$40:$P$40,CJ367:CU367,$E$28:$P$28)</f>
        <v>0</v>
      </c>
      <c r="FT367" s="60" t="n">
        <f aca="false">$O$28*SUMPRODUCT($E$41:$P$41,CJ367:CU367,$E$28:$P$28)</f>
        <v>0</v>
      </c>
      <c r="FU367" s="60" t="n">
        <f aca="false">$P$28*SUMPRODUCT($E$42:$P$42,CJ367:CU367,$E$28:$P$28)</f>
        <v>0</v>
      </c>
      <c r="FV367" s="60" t="n">
        <f aca="false">SUMPRODUCT(CJ367:CU367,FJ367:FU367)</f>
        <v>0.184416866619846</v>
      </c>
      <c r="FW367" s="60" t="n">
        <f aca="false">SUMPRODUCT(CJ367:CU367,$E$27:$P$27)</f>
        <v>2.67389635063809E-005</v>
      </c>
      <c r="FX367" s="60" t="n">
        <f aca="false">FV367*$C$9/($C$10*$C$8)^2</f>
        <v>0.21776909410545</v>
      </c>
      <c r="FY367" s="60" t="n">
        <f aca="false">FW367*$C$9/($C$10*$C$8)</f>
        <v>0.0918845243259994</v>
      </c>
      <c r="FZ367" s="60" t="n">
        <f aca="false">CHOOSE($C$7,-(1+FY367),-1,-(1-FY367))</f>
        <v>-0.908115475674001</v>
      </c>
      <c r="GA367" s="60" t="n">
        <f aca="false">CHOOSE($C$7,FX367,FX367-FY367-FY367^2,FX367-3*FY367^2-2*FY367)</f>
        <v>0.00867174802160559</v>
      </c>
      <c r="GB367" s="60" t="n">
        <f aca="false">CHOOSE($C$7,-FX367*FY367,-FX367*FY367,-(FX367*FY367-FY367^2-FY367^3))</f>
        <v>-0.0107910842936637</v>
      </c>
      <c r="GC367" s="60" t="n">
        <f aca="false">GA367-FZ367^2/3</f>
        <v>-0.266219491031267</v>
      </c>
      <c r="GD367" s="60" t="n">
        <f aca="false">2*FZ367^3/27-FZ367*GA367/3+GB367</f>
        <v>-0.0636400988362784</v>
      </c>
      <c r="GE367" s="60" t="n">
        <f aca="false">GD367^2/4+GC367^3/27</f>
        <v>0.000313710901361829</v>
      </c>
      <c r="GF367" s="60" t="n">
        <f aca="false">-GD367/2-IF(GD367&gt;=0,1,-1)*SQRT(MAX(GE367,0))</f>
        <v>0.0495319352963236</v>
      </c>
      <c r="GG367" s="60" t="n">
        <f aca="false">SIGN(GF367)*ABS(GF367)^(1/3)</f>
        <v>0.367249967174439</v>
      </c>
      <c r="GH367" s="60" t="n">
        <f aca="false">IF(GG367=0,0,GG367-GC367/(3*GG367))</f>
        <v>0.60888329127384</v>
      </c>
      <c r="GI367" s="60" t="n">
        <f aca="false">2*SQRT(MAX(-GC367,0)/3)</f>
        <v>0.595784626668918</v>
      </c>
      <c r="GJ367" s="60" t="n">
        <f aca="false">ACOS(IF(GI367=0,0,MAX(-1,MIN(1,3*GD367/(GC367*GI367)))))</f>
        <v>0</v>
      </c>
      <c r="GK367" s="60" t="n">
        <f aca="false">GI367*COS(GJ367/3)</f>
        <v>0.595784626668918</v>
      </c>
      <c r="GL367" s="60" t="n">
        <f aca="false">IF(GE367&lt;0,GK367,GH367)-FZ367/3</f>
        <v>0.91158844983184</v>
      </c>
      <c r="GM367" s="60" t="n">
        <f aca="false">IFERROR((((GL367+FZ367)*GL367+GA367)*GL367+GB367)/((3*GL367+2*FZ367)*GL367+GA367),0)</f>
        <v>0</v>
      </c>
      <c r="GN367" s="60" t="n">
        <f aca="false">IF(ABS(GM367)&lt;0.1*ABS(GL367),GL367-GM367,GL367)</f>
        <v>0.91158844983184</v>
      </c>
      <c r="GO367" s="60" t="n">
        <f aca="false">IFERROR((((GN367+FZ367)*GN367+GA367)*GN367+GB367)/((3*GN367+2*FZ367)*GN367+GA367),0)</f>
        <v>0</v>
      </c>
      <c r="GP367" s="60" t="n">
        <f aca="false">IF(ABS(GO367)&lt;0.1*ABS(GN367),GN367-GO367,GN367)</f>
        <v>0.91158844983184</v>
      </c>
      <c r="GQ367" s="60" t="n">
        <f aca="false">-GB367/GP367</f>
        <v>0.0118376711504565</v>
      </c>
      <c r="GR367" s="60" t="n">
        <f aca="false">(GA367-GQ367)/GP367</f>
        <v>-0.00347297415783941</v>
      </c>
      <c r="GS367" s="60" t="n">
        <f aca="false">GR367^2-4*GQ367</f>
        <v>-0.0473386230523248</v>
      </c>
      <c r="GT367" s="60" t="n">
        <f aca="false">IF(GS367&gt;=0,(GR367+IF(GR367&gt;=0,1,-1)*SQRT(GS367))/2,0)</f>
        <v>0</v>
      </c>
      <c r="GU367" s="60" t="n">
        <f aca="false">IF(AND(GS367&gt;=0,GT367&lt;&gt;0),MIN(GT367,GQ367/GT367),-1)</f>
        <v>-1</v>
      </c>
      <c r="GV367" s="60" t="n">
        <f aca="false">AND(GS367&gt;=0,GU367&gt;FY367,ABS(GP367-GU367)&gt;=0.00005*MAX(GP367,GU367))</f>
        <v>0</v>
      </c>
      <c r="GW367" s="60" t="n">
        <f aca="false">IF(GV367,IFERROR((((GU367+FZ367)*GU367+GA367)*GU367+GB367)/((3*GU367+2*FZ367)*GU367+GA367),0),0)</f>
        <v>0</v>
      </c>
      <c r="GX367" s="60" t="n">
        <f aca="false">IF(ABS(GW367)&lt;0.1*ABS(GU367),GU367-GW367,GU367)</f>
        <v>-1</v>
      </c>
      <c r="GY367" s="60" t="n">
        <f aca="false">IF(GV367,IFERROR((((GX367+FZ367)*GX367+GA367)*GX367+GB367)/((3*GX367+2*FZ367)*GX367+GA367),0),0)</f>
        <v>0</v>
      </c>
      <c r="GZ367" s="60" t="n">
        <f aca="false">IF(ABS(GY367)&lt;0.1*ABS(GX367),GX367-GY367,GX367)</f>
        <v>-1</v>
      </c>
      <c r="HA367" s="60" t="n">
        <f aca="false">IF(GV367,MAX(GP367,GZ367),GP367)</f>
        <v>0.91158844983184</v>
      </c>
      <c r="HB367" s="60" t="n">
        <f aca="false">IF(GV367,MIN(GP367,GZ367),-1)</f>
        <v>-1</v>
      </c>
      <c r="HC367" s="60" t="n">
        <f aca="false">CHOOSE($C$7,FX367/HA367,FX367/FY367*LN(1+FY367/HA367),FX367/(2*SQRT(2)*FY367)*LN((HA367+(1+SQRT(2))*FY367)/(HA367+(1-SQRT(2))*FY367)))</f>
        <v>0.218240791233887</v>
      </c>
      <c r="HD367" s="60" t="n">
        <f aca="false">HA367-1-LN(HA367-FY367)-HC367</f>
        <v>-0.107840271021729</v>
      </c>
      <c r="HE367" s="60" t="n">
        <f aca="false">IF(GV367,CHOOSE($C$7,FX367/HB367,FX367/FY367*LN(1+FY367/HB367),FX367/(2*SQRT(2)*FY367)*LN((HB367+(1+SQRT(2))*FY367)/(HB367+(1-SQRT(2))*FY367))),0)</f>
        <v>0</v>
      </c>
      <c r="HF367" s="60" t="n">
        <f aca="false">IF(GV367,HB367-1-LN(HB367-FY367)-HE367,0)</f>
        <v>0</v>
      </c>
      <c r="HG367" s="60" t="n">
        <f aca="false">AND(GV367,HF367&lt;HD367)</f>
        <v>0</v>
      </c>
      <c r="HH367" s="60" t="n">
        <f aca="false">IF(HG367,HB367,HA367)</f>
        <v>0.91158844983184</v>
      </c>
      <c r="HI367" s="60" t="n">
        <f aca="false">IF(HG367,HE367,HC367)</f>
        <v>0.218240791233887</v>
      </c>
      <c r="HJ367" s="60" t="n">
        <f aca="false">LN(HH367-FY367)</f>
        <v>-0.198812070380318</v>
      </c>
      <c r="HK367" s="60" t="n">
        <f aca="false">$E$27/FW367*(HH367-1)-HJ367-HI367*(2*FJ367/FV367-$E$27/FW367)</f>
        <v>-0.107840271021729</v>
      </c>
      <c r="HL367" s="60" t="n">
        <f aca="false">$F$27/FW367*(HH367-1)-HJ367-HI367*(2*FK367/FV367-$F$27/FW367)</f>
        <v>0.198812070380318</v>
      </c>
      <c r="HM367" s="60" t="n">
        <f aca="false">$G$27/FW367*(HH367-1)-HJ367-HI367*(2*FL367/FV367-$G$27/FW367)</f>
        <v>0.198812070380318</v>
      </c>
      <c r="HN367" s="60" t="n">
        <f aca="false">$H$27/FW367*(HH367-1)-HJ367-HI367*(2*FM367/FV367-$H$27/FW367)</f>
        <v>0.198812070380318</v>
      </c>
      <c r="HO367" s="60" t="n">
        <f aca="false">$I$27/FW367*(HH367-1)-HJ367-HI367*(2*FN367/FV367-$I$27/FW367)</f>
        <v>0.198812070380318</v>
      </c>
      <c r="HP367" s="60" t="n">
        <f aca="false">$J$27/FW367*(HH367-1)-HJ367-HI367*(2*FO367/FV367-$J$27/FW367)</f>
        <v>0.198812070380318</v>
      </c>
      <c r="HQ367" s="60" t="n">
        <f aca="false">$K$27/FW367*(HH367-1)-HJ367-HI367*(2*FP367/FV367-$K$27/FW367)</f>
        <v>0.198812070380318</v>
      </c>
      <c r="HR367" s="60" t="n">
        <f aca="false">$L$27/FW367*(HH367-1)-HJ367-HI367*(2*FQ367/FV367-$L$27/FW367)</f>
        <v>0.198812070380318</v>
      </c>
      <c r="HS367" s="60" t="n">
        <f aca="false">$M$27/FW367*(HH367-1)-HJ367-HI367*(2*FR367/FV367-$M$27/FW367)</f>
        <v>0.198812070380318</v>
      </c>
      <c r="HT367" s="60" t="n">
        <f aca="false">$N$27/FW367*(HH367-1)-HJ367-HI367*(2*FS367/FV367-$N$27/FW367)</f>
        <v>0.198812070380318</v>
      </c>
      <c r="HU367" s="60" t="n">
        <f aca="false">$O$27/FW367*(HH367-1)-HJ367-HI367*(2*FT367/FV367-$O$27/FW367)</f>
        <v>0.198812070380318</v>
      </c>
      <c r="HV367" s="60" t="n">
        <f aca="false">$P$27/FW367*(HH367-1)-HJ367-HI367*(2*FU367/FV367-$P$27/FW367)</f>
        <v>0.198812070380318</v>
      </c>
      <c r="HW367" s="60" t="n">
        <f aca="false">FY367/HH367&gt;$C$22</f>
        <v>0</v>
      </c>
      <c r="HX367" s="60" t="n">
        <f aca="false">IF($E$13&gt;0,MAX(-300,MIN(300,EW367-HK367)),0)</f>
        <v>0</v>
      </c>
      <c r="HY367" s="60" t="n">
        <f aca="false">IF($F$13&gt;0,MAX(-300,MIN(300,EX367-HL367)),0)</f>
        <v>0</v>
      </c>
      <c r="HZ367" s="60" t="n">
        <f aca="false">IF($G$13&gt;0,MAX(-300,MIN(300,EY367-HM367)),0)</f>
        <v>0</v>
      </c>
      <c r="IA367" s="60" t="n">
        <f aca="false">IF($H$13&gt;0,MAX(-300,MIN(300,EZ367-HN367)),0)</f>
        <v>0</v>
      </c>
      <c r="IB367" s="60" t="n">
        <f aca="false">IF($I$13&gt;0,MAX(-300,MIN(300,FA367-HO367)),0)</f>
        <v>0</v>
      </c>
      <c r="IC367" s="60" t="n">
        <f aca="false">IF($J$13&gt;0,MAX(-300,MIN(300,FB367-HP367)),0)</f>
        <v>0</v>
      </c>
      <c r="ID367" s="60" t="n">
        <f aca="false">IF($K$13&gt;0,MAX(-300,MIN(300,FC367-HQ367)),0)</f>
        <v>0</v>
      </c>
      <c r="IE367" s="60" t="n">
        <f aca="false">IF($L$13&gt;0,MAX(-300,MIN(300,FD367-HR367)),0)</f>
        <v>0</v>
      </c>
      <c r="IF367" s="60" t="n">
        <f aca="false">IF($M$13&gt;0,MAX(-300,MIN(300,FE367-HS367)),0)</f>
        <v>0</v>
      </c>
      <c r="IG367" s="60" t="n">
        <f aca="false">IF($N$13&gt;0,MAX(-300,MIN(300,FF367-HT367)),0)</f>
        <v>0</v>
      </c>
      <c r="IH367" s="60" t="n">
        <f aca="false">IF($O$13&gt;0,MAX(-300,MIN(300,FG367-HU367)),0)</f>
        <v>0</v>
      </c>
      <c r="II367" s="60" t="n">
        <f aca="false">IF($P$13&gt;0,MAX(-300,MIN(300,FH367-HV367)),0)</f>
        <v>0</v>
      </c>
      <c r="IJ367" s="60" t="n">
        <f aca="false">SUMXMY2(HX367:II367,B367:M367)</f>
        <v>0</v>
      </c>
      <c r="IK367" s="60" t="n">
        <f aca="false">SUMSQ(B367:M367)</f>
        <v>0</v>
      </c>
    </row>
    <row r="368" customFormat="false" ht="15" hidden="false" customHeight="false" outlineLevel="0" collapsed="false">
      <c r="A368" s="59" t="n">
        <v>7</v>
      </c>
      <c r="B368" s="60" t="n">
        <f aca="false">HX367</f>
        <v>0</v>
      </c>
      <c r="C368" s="60" t="n">
        <f aca="false">HY367</f>
        <v>0</v>
      </c>
      <c r="D368" s="60" t="n">
        <f aca="false">HZ367</f>
        <v>0</v>
      </c>
      <c r="E368" s="60" t="n">
        <f aca="false">IA367</f>
        <v>0</v>
      </c>
      <c r="F368" s="60" t="n">
        <f aca="false">IB367</f>
        <v>0</v>
      </c>
      <c r="G368" s="60" t="n">
        <f aca="false">IC367</f>
        <v>0</v>
      </c>
      <c r="H368" s="60" t="n">
        <f aca="false">ID367</f>
        <v>0</v>
      </c>
      <c r="I368" s="60" t="n">
        <f aca="false">IE367</f>
        <v>0</v>
      </c>
      <c r="J368" s="60" t="n">
        <f aca="false">IF367</f>
        <v>0</v>
      </c>
      <c r="K368" s="60" t="n">
        <f aca="false">IG367</f>
        <v>0</v>
      </c>
      <c r="L368" s="60" t="n">
        <f aca="false">IH367</f>
        <v>0</v>
      </c>
      <c r="M368" s="60" t="n">
        <f aca="false">II367</f>
        <v>0</v>
      </c>
      <c r="N368" s="60" t="n">
        <f aca="false">EXP(B368)</f>
        <v>1</v>
      </c>
      <c r="O368" s="60" t="n">
        <f aca="false">EXP(C368)</f>
        <v>1</v>
      </c>
      <c r="P368" s="60" t="n">
        <f aca="false">EXP(D368)</f>
        <v>1</v>
      </c>
      <c r="Q368" s="60" t="n">
        <f aca="false">EXP(E368)</f>
        <v>1</v>
      </c>
      <c r="R368" s="60" t="n">
        <f aca="false">EXP(F368)</f>
        <v>1</v>
      </c>
      <c r="S368" s="60" t="n">
        <f aca="false">EXP(G368)</f>
        <v>1</v>
      </c>
      <c r="T368" s="60" t="n">
        <f aca="false">EXP(H368)</f>
        <v>1</v>
      </c>
      <c r="U368" s="60" t="n">
        <f aca="false">EXP(I368)</f>
        <v>1</v>
      </c>
      <c r="V368" s="60" t="n">
        <f aca="false">EXP(J368)</f>
        <v>1</v>
      </c>
      <c r="W368" s="60" t="n">
        <f aca="false">EXP(K368)</f>
        <v>1</v>
      </c>
      <c r="X368" s="60" t="n">
        <f aca="false">EXP(L368)</f>
        <v>1</v>
      </c>
      <c r="Y368" s="60" t="n">
        <f aca="false">EXP(M368)</f>
        <v>1</v>
      </c>
      <c r="Z368" s="60" t="n">
        <f aca="false">MAX(N368:Y368)</f>
        <v>1</v>
      </c>
      <c r="AA368" s="60" t="n">
        <f aca="false">MIN(N368:Y368)</f>
        <v>1</v>
      </c>
      <c r="AB368" s="60" t="n">
        <f aca="false">AND(Z368&gt;1,AA368&lt;1)</f>
        <v>0</v>
      </c>
      <c r="AC368" s="60" t="n">
        <f aca="false">IF(AB368,1/(1-Z368),0)</f>
        <v>0</v>
      </c>
      <c r="AD368" s="60" t="n">
        <f aca="false">IF(AB368,1/(1-AA368),1)</f>
        <v>1</v>
      </c>
      <c r="AE368" s="60" t="n">
        <f aca="false">IF(AB368,MIN(MAX(BI367,AC368+0.000000001*(AD368-AC368)),AD368-0.000000001*(AD368-AC368)),IF(AA368&gt;=1,1,0))</f>
        <v>1</v>
      </c>
      <c r="AF368" s="60" t="n">
        <f aca="false">SUMPRODUCT($E$13:$P$13*(N368:Y368-1)/(1+AE368*(N368:Y368-1)))</f>
        <v>0</v>
      </c>
      <c r="AG368" s="60" t="n">
        <f aca="false">-SUMPRODUCT($E$13:$P$13*(N368:Y368-1)^2/(1+AE368*(N368:Y368-1))^2)</f>
        <v>-0</v>
      </c>
      <c r="AH368" s="60" t="n">
        <f aca="false">IF(OR(NOT(AB368),AG368=0),AE368,IF(AE368-AF368/AG368&lt;=AC368,(AE368+AC368)/2,IF(AE368-AF368/AG368&gt;=AD368,(AE368+AD368)/2,AE368-AF368/AG368)))</f>
        <v>1</v>
      </c>
      <c r="AI368" s="60" t="n">
        <f aca="false">SUMPRODUCT($E$13:$P$13*(N368:Y368-1)/(1+AH368*(N368:Y368-1)))</f>
        <v>0</v>
      </c>
      <c r="AJ368" s="60" t="n">
        <f aca="false">-SUMPRODUCT($E$13:$P$13*(N368:Y368-1)^2/(1+AH368*(N368:Y368-1))^2)</f>
        <v>-0</v>
      </c>
      <c r="AK368" s="60" t="n">
        <f aca="false">IF(OR(NOT(AB368),AJ368=0),AH368,IF(AH368-AI368/AJ368&lt;=AC368,(AH368+AC368)/2,IF(AH368-AI368/AJ368&gt;=AD368,(AH368+AD368)/2,AH368-AI368/AJ368)))</f>
        <v>1</v>
      </c>
      <c r="AL368" s="60" t="n">
        <f aca="false">SUMPRODUCT($E$13:$P$13*(N368:Y368-1)/(1+AK368*(N368:Y368-1)))</f>
        <v>0</v>
      </c>
      <c r="AM368" s="60" t="n">
        <f aca="false">-SUMPRODUCT($E$13:$P$13*(N368:Y368-1)^2/(1+AK368*(N368:Y368-1))^2)</f>
        <v>-0</v>
      </c>
      <c r="AN368" s="60" t="n">
        <f aca="false">IF(OR(NOT(AB368),AM368=0),AK368,IF(AK368-AL368/AM368&lt;=AC368,(AK368+AC368)/2,IF(AK368-AL368/AM368&gt;=AD368,(AK368+AD368)/2,AK368-AL368/AM368)))</f>
        <v>1</v>
      </c>
      <c r="AO368" s="60" t="n">
        <f aca="false">SUMPRODUCT($E$13:$P$13*(N368:Y368-1)/(1+AN368*(N368:Y368-1)))</f>
        <v>0</v>
      </c>
      <c r="AP368" s="60" t="n">
        <f aca="false">-SUMPRODUCT($E$13:$P$13*(N368:Y368-1)^2/(1+AN368*(N368:Y368-1))^2)</f>
        <v>-0</v>
      </c>
      <c r="AQ368" s="60" t="n">
        <f aca="false">IF(OR(NOT(AB368),AP368=0),AN368,IF(AN368-AO368/AP368&lt;=AC368,(AN368+AC368)/2,IF(AN368-AO368/AP368&gt;=AD368,(AN368+AD368)/2,AN368-AO368/AP368)))</f>
        <v>1</v>
      </c>
      <c r="AR368" s="60" t="n">
        <f aca="false">SUMPRODUCT($E$13:$P$13*(N368:Y368-1)/(1+AQ368*(N368:Y368-1)))</f>
        <v>0</v>
      </c>
      <c r="AS368" s="60" t="n">
        <f aca="false">-SUMPRODUCT($E$13:$P$13*(N368:Y368-1)^2/(1+AQ368*(N368:Y368-1))^2)</f>
        <v>-0</v>
      </c>
      <c r="AT368" s="60" t="n">
        <f aca="false">IF(OR(NOT(AB368),AS368=0),AQ368,IF(AQ368-AR368/AS368&lt;=AC368,(AQ368+AC368)/2,IF(AQ368-AR368/AS368&gt;=AD368,(AQ368+AD368)/2,AQ368-AR368/AS368)))</f>
        <v>1</v>
      </c>
      <c r="AU368" s="60" t="n">
        <f aca="false">SUMPRODUCT($E$13:$P$13*(N368:Y368-1)/(1+AT368*(N368:Y368-1)))</f>
        <v>0</v>
      </c>
      <c r="AV368" s="60" t="n">
        <f aca="false">-SUMPRODUCT($E$13:$P$13*(N368:Y368-1)^2/(1+AT368*(N368:Y368-1))^2)</f>
        <v>-0</v>
      </c>
      <c r="AW368" s="60" t="n">
        <f aca="false">IF(OR(NOT(AB368),AV368=0),AT368,IF(AT368-AU368/AV368&lt;=AC368,(AT368+AC368)/2,IF(AT368-AU368/AV368&gt;=AD368,(AT368+AD368)/2,AT368-AU368/AV368)))</f>
        <v>1</v>
      </c>
      <c r="AX368" s="60" t="n">
        <f aca="false">SUMPRODUCT($E$13:$P$13*(N368:Y368-1)/(1+AW368*(N368:Y368-1)))</f>
        <v>0</v>
      </c>
      <c r="AY368" s="60" t="n">
        <f aca="false">-SUMPRODUCT($E$13:$P$13*(N368:Y368-1)^2/(1+AW368*(N368:Y368-1))^2)</f>
        <v>-0</v>
      </c>
      <c r="AZ368" s="60" t="n">
        <f aca="false">IF(OR(NOT(AB368),AY368=0),AW368,IF(AW368-AX368/AY368&lt;=AC368,(AW368+AC368)/2,IF(AW368-AX368/AY368&gt;=AD368,(AW368+AD368)/2,AW368-AX368/AY368)))</f>
        <v>1</v>
      </c>
      <c r="BA368" s="60" t="n">
        <f aca="false">SUMPRODUCT($E$13:$P$13*(N368:Y368-1)/(1+AZ368*(N368:Y368-1)))</f>
        <v>0</v>
      </c>
      <c r="BB368" s="60" t="n">
        <f aca="false">-SUMPRODUCT($E$13:$P$13*(N368:Y368-1)^2/(1+AZ368*(N368:Y368-1))^2)</f>
        <v>-0</v>
      </c>
      <c r="BC368" s="60" t="n">
        <f aca="false">IF(OR(NOT(AB368),BB368=0),AZ368,IF(AZ368-BA368/BB368&lt;=AC368,(AZ368+AC368)/2,IF(AZ368-BA368/BB368&gt;=AD368,(AZ368+AD368)/2,AZ368-BA368/BB368)))</f>
        <v>1</v>
      </c>
      <c r="BD368" s="60" t="n">
        <f aca="false">SUMPRODUCT($E$13:$P$13*(N368:Y368-1)/(1+BC368*(N368:Y368-1)))</f>
        <v>0</v>
      </c>
      <c r="BE368" s="60" t="n">
        <f aca="false">-SUMPRODUCT($E$13:$P$13*(N368:Y368-1)^2/(1+BC368*(N368:Y368-1))^2)</f>
        <v>-0</v>
      </c>
      <c r="BF368" s="60" t="n">
        <f aca="false">IF(OR(NOT(AB368),BE368=0),BC368,IF(BC368-BD368/BE368&lt;=AC368,(BC368+AC368)/2,IF(BC368-BD368/BE368&gt;=AD368,(BC368+AD368)/2,BC368-BD368/BE368)))</f>
        <v>1</v>
      </c>
      <c r="BG368" s="60" t="n">
        <f aca="false">SUMPRODUCT($E$13:$P$13*(N368:Y368-1)/(1+BF368*(N368:Y368-1)))</f>
        <v>0</v>
      </c>
      <c r="BH368" s="60" t="n">
        <f aca="false">-SUMPRODUCT($E$13:$P$13*(N368:Y368-1)^2/(1+BF368*(N368:Y368-1))^2)</f>
        <v>-0</v>
      </c>
      <c r="BI368" s="60" t="n">
        <f aca="false">IF(OR(NOT(AB368),BH368=0),BF368,IF(BF368-BG368/BH368&lt;=AC368,(BF368+AC368)/2,IF(BF368-BG368/BH368&gt;=AD368,(BF368+AD368)/2,BF368-BG368/BH368)))</f>
        <v>1</v>
      </c>
      <c r="BJ368" s="60" t="n">
        <f aca="false">$E$13/(1+BI368*(N368-1))</f>
        <v>1</v>
      </c>
      <c r="BK368" s="60" t="n">
        <f aca="false">$F$13/(1+BI368*(O368-1))</f>
        <v>0</v>
      </c>
      <c r="BL368" s="60" t="n">
        <f aca="false">$G$13/(1+BI368*(P368-1))</f>
        <v>0</v>
      </c>
      <c r="BM368" s="60" t="n">
        <f aca="false">$H$13/(1+BI368*(Q368-1))</f>
        <v>0</v>
      </c>
      <c r="BN368" s="60" t="n">
        <f aca="false">$I$13/(1+BI368*(R368-1))</f>
        <v>0</v>
      </c>
      <c r="BO368" s="60" t="n">
        <f aca="false">$J$13/(1+BI368*(S368-1))</f>
        <v>0</v>
      </c>
      <c r="BP368" s="60" t="n">
        <f aca="false">$K$13/(1+BI368*(T368-1))</f>
        <v>0</v>
      </c>
      <c r="BQ368" s="60" t="n">
        <f aca="false">$L$13/(1+BI368*(U368-1))</f>
        <v>0</v>
      </c>
      <c r="BR368" s="60" t="n">
        <f aca="false">$M$13/(1+BI368*(V368-1))</f>
        <v>0</v>
      </c>
      <c r="BS368" s="60" t="n">
        <f aca="false">$N$13/(1+BI368*(W368-1))</f>
        <v>0</v>
      </c>
      <c r="BT368" s="60" t="n">
        <f aca="false">$O$13/(1+BI368*(X368-1))</f>
        <v>0</v>
      </c>
      <c r="BU368" s="60" t="n">
        <f aca="false">$P$13/(1+BI368*(Y368-1))</f>
        <v>0</v>
      </c>
      <c r="BV368" s="60" t="n">
        <f aca="false">SUM(BJ368:BU368)</f>
        <v>1</v>
      </c>
      <c r="BW368" s="60" t="n">
        <f aca="false">SUMPRODUCT(N368:Y368,BJ368:BU368)</f>
        <v>1</v>
      </c>
      <c r="BX368" s="60" t="n">
        <f aca="false">BJ368/BV368</f>
        <v>1</v>
      </c>
      <c r="BY368" s="60" t="n">
        <f aca="false">BK368/BV368</f>
        <v>0</v>
      </c>
      <c r="BZ368" s="60" t="n">
        <f aca="false">BL368/BV368</f>
        <v>0</v>
      </c>
      <c r="CA368" s="60" t="n">
        <f aca="false">BM368/BV368</f>
        <v>0</v>
      </c>
      <c r="CB368" s="60" t="n">
        <f aca="false">BN368/BV368</f>
        <v>0</v>
      </c>
      <c r="CC368" s="60" t="n">
        <f aca="false">BO368/BV368</f>
        <v>0</v>
      </c>
      <c r="CD368" s="60" t="n">
        <f aca="false">BP368/BV368</f>
        <v>0</v>
      </c>
      <c r="CE368" s="60" t="n">
        <f aca="false">BQ368/BV368</f>
        <v>0</v>
      </c>
      <c r="CF368" s="60" t="n">
        <f aca="false">BR368/BV368</f>
        <v>0</v>
      </c>
      <c r="CG368" s="60" t="n">
        <f aca="false">BS368/BV368</f>
        <v>0</v>
      </c>
      <c r="CH368" s="60" t="n">
        <f aca="false">BT368/BV368</f>
        <v>0</v>
      </c>
      <c r="CI368" s="60" t="n">
        <f aca="false">BU368/BV368</f>
        <v>0</v>
      </c>
      <c r="CJ368" s="60" t="n">
        <f aca="false">N368*BJ368/BW368</f>
        <v>1</v>
      </c>
      <c r="CK368" s="60" t="n">
        <f aca="false">O368*BK368/BW368</f>
        <v>0</v>
      </c>
      <c r="CL368" s="60" t="n">
        <f aca="false">P368*BL368/BW368</f>
        <v>0</v>
      </c>
      <c r="CM368" s="60" t="n">
        <f aca="false">Q368*BM368/BW368</f>
        <v>0</v>
      </c>
      <c r="CN368" s="60" t="n">
        <f aca="false">R368*BN368/BW368</f>
        <v>0</v>
      </c>
      <c r="CO368" s="60" t="n">
        <f aca="false">S368*BO368/BW368</f>
        <v>0</v>
      </c>
      <c r="CP368" s="60" t="n">
        <f aca="false">T368*BP368/BW368</f>
        <v>0</v>
      </c>
      <c r="CQ368" s="60" t="n">
        <f aca="false">U368*BQ368/BW368</f>
        <v>0</v>
      </c>
      <c r="CR368" s="60" t="n">
        <f aca="false">V368*BR368/BW368</f>
        <v>0</v>
      </c>
      <c r="CS368" s="60" t="n">
        <f aca="false">W368*BS368/BW368</f>
        <v>0</v>
      </c>
      <c r="CT368" s="60" t="n">
        <f aca="false">X368*BT368/BW368</f>
        <v>0</v>
      </c>
      <c r="CU368" s="60" t="n">
        <f aca="false">Y368*BU368/BW368</f>
        <v>0</v>
      </c>
      <c r="CV368" s="60" t="n">
        <f aca="false">$E$28*SUMPRODUCT($E$31:$P$31,BX368:CI368,$E$28:$P$28)</f>
        <v>0.184416866619846</v>
      </c>
      <c r="CW368" s="60" t="n">
        <f aca="false">$F$28*SUMPRODUCT($E$32:$P$32,BX368:CI368,$E$28:$P$28)</f>
        <v>0</v>
      </c>
      <c r="CX368" s="60" t="n">
        <f aca="false">$G$28*SUMPRODUCT($E$33:$P$33,BX368:CI368,$E$28:$P$28)</f>
        <v>0</v>
      </c>
      <c r="CY368" s="60" t="n">
        <f aca="false">$H$28*SUMPRODUCT($E$34:$P$34,BX368:CI368,$E$28:$P$28)</f>
        <v>0</v>
      </c>
      <c r="CZ368" s="60" t="n">
        <f aca="false">$I$28*SUMPRODUCT($E$35:$P$35,BX368:CI368,$E$28:$P$28)</f>
        <v>0</v>
      </c>
      <c r="DA368" s="60" t="n">
        <f aca="false">$J$28*SUMPRODUCT($E$36:$P$36,BX368:CI368,$E$28:$P$28)</f>
        <v>0</v>
      </c>
      <c r="DB368" s="60" t="n">
        <f aca="false">$K$28*SUMPRODUCT($E$37:$P$37,BX368:CI368,$E$28:$P$28)</f>
        <v>0</v>
      </c>
      <c r="DC368" s="60" t="n">
        <f aca="false">$L$28*SUMPRODUCT($E$38:$P$38,BX368:CI368,$E$28:$P$28)</f>
        <v>0</v>
      </c>
      <c r="DD368" s="60" t="n">
        <f aca="false">$M$28*SUMPRODUCT($E$39:$P$39,BX368:CI368,$E$28:$P$28)</f>
        <v>0</v>
      </c>
      <c r="DE368" s="60" t="n">
        <f aca="false">$N$28*SUMPRODUCT($E$40:$P$40,BX368:CI368,$E$28:$P$28)</f>
        <v>0</v>
      </c>
      <c r="DF368" s="60" t="n">
        <f aca="false">$O$28*SUMPRODUCT($E$41:$P$41,BX368:CI368,$E$28:$P$28)</f>
        <v>0</v>
      </c>
      <c r="DG368" s="60" t="n">
        <f aca="false">$P$28*SUMPRODUCT($E$42:$P$42,BX368:CI368,$E$28:$P$28)</f>
        <v>0</v>
      </c>
      <c r="DH368" s="60" t="n">
        <f aca="false">SUMPRODUCT(BX368:CI368,CV368:DG368)</f>
        <v>0.184416866619846</v>
      </c>
      <c r="DI368" s="60" t="n">
        <f aca="false">SUMPRODUCT(BX368:CI368,$E$27:$P$27)</f>
        <v>2.67389635063809E-005</v>
      </c>
      <c r="DJ368" s="60" t="n">
        <f aca="false">DH368*$C$9/($C$10*$C$8)^2</f>
        <v>0.21776909410545</v>
      </c>
      <c r="DK368" s="60" t="n">
        <f aca="false">DI368*$C$9/($C$10*$C$8)</f>
        <v>0.0918845243259994</v>
      </c>
      <c r="DL368" s="60" t="n">
        <f aca="false">CHOOSE($C$7,-(1+DK368),-1,-(1-DK368))</f>
        <v>-0.908115475674001</v>
      </c>
      <c r="DM368" s="60" t="n">
        <f aca="false">CHOOSE($C$7,DJ368,DJ368-DK368-DK368^2,DJ368-3*DK368^2-2*DK368)</f>
        <v>0.00867174802160559</v>
      </c>
      <c r="DN368" s="60" t="n">
        <f aca="false">CHOOSE($C$7,-DJ368*DK368,-DJ368*DK368,-(DJ368*DK368-DK368^2-DK368^3))</f>
        <v>-0.0107910842936637</v>
      </c>
      <c r="DO368" s="60" t="n">
        <f aca="false">DM368-DL368^2/3</f>
        <v>-0.266219491031267</v>
      </c>
      <c r="DP368" s="60" t="n">
        <f aca="false">2*DL368^3/27-DL368*DM368/3+DN368</f>
        <v>-0.0636400988362784</v>
      </c>
      <c r="DQ368" s="60" t="n">
        <f aca="false">DP368^2/4+DO368^3/27</f>
        <v>0.000313710901361829</v>
      </c>
      <c r="DR368" s="60" t="n">
        <f aca="false">-DP368/2-IF(DP368&gt;=0,1,-1)*SQRT(MAX(DQ368,0))</f>
        <v>0.0495319352963236</v>
      </c>
      <c r="DS368" s="60" t="n">
        <f aca="false">SIGN(DR368)*ABS(DR368)^(1/3)</f>
        <v>0.367249967174439</v>
      </c>
      <c r="DT368" s="60" t="n">
        <f aca="false">IF(DS368=0,0,DS368-DO368/(3*DS368))</f>
        <v>0.60888329127384</v>
      </c>
      <c r="DU368" s="60" t="n">
        <f aca="false">2*SQRT(MAX(-DO368,0)/3)</f>
        <v>0.595784626668918</v>
      </c>
      <c r="DV368" s="60" t="n">
        <f aca="false">ACOS(IF(DU368=0,0,MAX(-1,MIN(1,3*DP368/(DO368*DU368)))))</f>
        <v>0</v>
      </c>
      <c r="DW368" s="60" t="n">
        <f aca="false">DU368*COS(DV368/3)</f>
        <v>0.595784626668918</v>
      </c>
      <c r="DX368" s="60" t="n">
        <f aca="false">IF(DQ368&lt;0,DW368,DT368)-DL368/3</f>
        <v>0.91158844983184</v>
      </c>
      <c r="DY368" s="60" t="n">
        <f aca="false">IFERROR((((DX368+DL368)*DX368+DM368)*DX368+DN368)/((3*DX368+2*DL368)*DX368+DM368),0)</f>
        <v>0</v>
      </c>
      <c r="DZ368" s="60" t="n">
        <f aca="false">IF(ABS(DY368)&lt;0.1*ABS(DX368),DX368-DY368,DX368)</f>
        <v>0.91158844983184</v>
      </c>
      <c r="EA368" s="60" t="n">
        <f aca="false">IFERROR((((DZ368+DL368)*DZ368+DM368)*DZ368+DN368)/((3*DZ368+2*DL368)*DZ368+DM368),0)</f>
        <v>0</v>
      </c>
      <c r="EB368" s="60" t="n">
        <f aca="false">IF(ABS(EA368)&lt;0.1*ABS(DZ368),DZ368-EA368,DZ368)</f>
        <v>0.91158844983184</v>
      </c>
      <c r="EC368" s="60" t="n">
        <f aca="false">-DN368/EB368</f>
        <v>0.0118376711504565</v>
      </c>
      <c r="ED368" s="60" t="n">
        <f aca="false">(DM368-EC368)/EB368</f>
        <v>-0.00347297415783941</v>
      </c>
      <c r="EE368" s="60" t="n">
        <f aca="false">ED368^2-4*EC368</f>
        <v>-0.0473386230523248</v>
      </c>
      <c r="EF368" s="60" t="n">
        <f aca="false">IF(EE368&gt;=0,(ED368+IF(ED368&gt;=0,1,-1)*SQRT(EE368))/2,0)</f>
        <v>0</v>
      </c>
      <c r="EG368" s="60" t="n">
        <f aca="false">IF(AND(EE368&gt;=0,EF368&lt;&gt;0),MIN(EF368,EC368/EF368),-1)</f>
        <v>-1</v>
      </c>
      <c r="EH368" s="60" t="n">
        <f aca="false">AND(EE368&gt;=0,EG368&gt;DK368,ABS(EB368-EG368)&gt;=0.00005*MAX(EB368,EG368))</f>
        <v>0</v>
      </c>
      <c r="EI368" s="60" t="n">
        <f aca="false">IF(EH368,IFERROR((((EG368+DL368)*EG368+DM368)*EG368+DN368)/((3*EG368+2*DL368)*EG368+DM368),0),0)</f>
        <v>0</v>
      </c>
      <c r="EJ368" s="60" t="n">
        <f aca="false">IF(ABS(EI368)&lt;0.1*ABS(EG368),EG368-EI368,EG368)</f>
        <v>-1</v>
      </c>
      <c r="EK368" s="60" t="n">
        <f aca="false">IF(EH368,IFERROR((((EJ368+DL368)*EJ368+DM368)*EJ368+DN368)/((3*EJ368+2*DL368)*EJ368+DM368),0),0)</f>
        <v>0</v>
      </c>
      <c r="EL368" s="60" t="n">
        <f aca="false">IF(ABS(EK368)&lt;0.1*ABS(EJ368),EJ368-EK368,EJ368)</f>
        <v>-1</v>
      </c>
      <c r="EM368" s="60" t="n">
        <f aca="false">IF(EH368,MAX(EB368,EL368),EB368)</f>
        <v>0.91158844983184</v>
      </c>
      <c r="EN368" s="60" t="n">
        <f aca="false">IF(EH368,MIN(EB368,EL368),-1)</f>
        <v>-1</v>
      </c>
      <c r="EO368" s="60" t="n">
        <f aca="false">CHOOSE($C$7,DJ368/EM368,DJ368/DK368*LN(1+DK368/EM368),DJ368/(2*SQRT(2)*DK368)*LN((EM368+(1+SQRT(2))*DK368)/(EM368+(1-SQRT(2))*DK368)))</f>
        <v>0.218240791233887</v>
      </c>
      <c r="EP368" s="60" t="n">
        <f aca="false">EM368-1-LN(EM368-DK368)-EO368</f>
        <v>-0.107840271021729</v>
      </c>
      <c r="EQ368" s="60" t="n">
        <f aca="false">IF(EH368,CHOOSE($C$7,DJ368/EN368,DJ368/DK368*LN(1+DK368/EN368),DJ368/(2*SQRT(2)*DK368)*LN((EN368+(1+SQRT(2))*DK368)/(EN368+(1-SQRT(2))*DK368))),0)</f>
        <v>0</v>
      </c>
      <c r="ER368" s="60" t="n">
        <f aca="false">IF(EH368,EN368-1-LN(EN368-DK368)-EQ368,0)</f>
        <v>0</v>
      </c>
      <c r="ES368" s="60" t="n">
        <f aca="false">AND(EH368,ER368&lt;EP368)</f>
        <v>0</v>
      </c>
      <c r="ET368" s="60" t="n">
        <f aca="false">IF(ES368,EN368,EM368)</f>
        <v>0.91158844983184</v>
      </c>
      <c r="EU368" s="60" t="n">
        <f aca="false">IF(ES368,EQ368,EO368)</f>
        <v>0.218240791233887</v>
      </c>
      <c r="EV368" s="60" t="n">
        <f aca="false">LN(ET368-DK368)</f>
        <v>-0.198812070380318</v>
      </c>
      <c r="EW368" s="60" t="n">
        <f aca="false">$E$27/DI368*(ET368-1)-EV368-EU368*(2*CV368/DH368-$E$27/DI368)</f>
        <v>-0.107840271021729</v>
      </c>
      <c r="EX368" s="60" t="n">
        <f aca="false">$F$27/DI368*(ET368-1)-EV368-EU368*(2*CW368/DH368-$F$27/DI368)</f>
        <v>0.198812070380318</v>
      </c>
      <c r="EY368" s="60" t="n">
        <f aca="false">$G$27/DI368*(ET368-1)-EV368-EU368*(2*CX368/DH368-$G$27/DI368)</f>
        <v>0.198812070380318</v>
      </c>
      <c r="EZ368" s="60" t="n">
        <f aca="false">$H$27/DI368*(ET368-1)-EV368-EU368*(2*CY368/DH368-$H$27/DI368)</f>
        <v>0.198812070380318</v>
      </c>
      <c r="FA368" s="60" t="n">
        <f aca="false">$I$27/DI368*(ET368-1)-EV368-EU368*(2*CZ368/DH368-$I$27/DI368)</f>
        <v>0.198812070380318</v>
      </c>
      <c r="FB368" s="60" t="n">
        <f aca="false">$J$27/DI368*(ET368-1)-EV368-EU368*(2*DA368/DH368-$J$27/DI368)</f>
        <v>0.198812070380318</v>
      </c>
      <c r="FC368" s="60" t="n">
        <f aca="false">$K$27/DI368*(ET368-1)-EV368-EU368*(2*DB368/DH368-$K$27/DI368)</f>
        <v>0.198812070380318</v>
      </c>
      <c r="FD368" s="60" t="n">
        <f aca="false">$L$27/DI368*(ET368-1)-EV368-EU368*(2*DC368/DH368-$L$27/DI368)</f>
        <v>0.198812070380318</v>
      </c>
      <c r="FE368" s="60" t="n">
        <f aca="false">$M$27/DI368*(ET368-1)-EV368-EU368*(2*DD368/DH368-$M$27/DI368)</f>
        <v>0.198812070380318</v>
      </c>
      <c r="FF368" s="60" t="n">
        <f aca="false">$N$27/DI368*(ET368-1)-EV368-EU368*(2*DE368/DH368-$N$27/DI368)</f>
        <v>0.198812070380318</v>
      </c>
      <c r="FG368" s="60" t="n">
        <f aca="false">$O$27/DI368*(ET368-1)-EV368-EU368*(2*DF368/DH368-$O$27/DI368)</f>
        <v>0.198812070380318</v>
      </c>
      <c r="FH368" s="60" t="n">
        <f aca="false">$P$27/DI368*(ET368-1)-EV368-EU368*(2*DG368/DH368-$P$27/DI368)</f>
        <v>0.198812070380318</v>
      </c>
      <c r="FI368" s="60" t="n">
        <f aca="false">DK368/ET368&gt;$C$22</f>
        <v>0</v>
      </c>
      <c r="FJ368" s="60" t="n">
        <f aca="false">$E$28*SUMPRODUCT($E$31:$P$31,CJ368:CU368,$E$28:$P$28)</f>
        <v>0.184416866619846</v>
      </c>
      <c r="FK368" s="60" t="n">
        <f aca="false">$F$28*SUMPRODUCT($E$32:$P$32,CJ368:CU368,$E$28:$P$28)</f>
        <v>0</v>
      </c>
      <c r="FL368" s="60" t="n">
        <f aca="false">$G$28*SUMPRODUCT($E$33:$P$33,CJ368:CU368,$E$28:$P$28)</f>
        <v>0</v>
      </c>
      <c r="FM368" s="60" t="n">
        <f aca="false">$H$28*SUMPRODUCT($E$34:$P$34,CJ368:CU368,$E$28:$P$28)</f>
        <v>0</v>
      </c>
      <c r="FN368" s="60" t="n">
        <f aca="false">$I$28*SUMPRODUCT($E$35:$P$35,CJ368:CU368,$E$28:$P$28)</f>
        <v>0</v>
      </c>
      <c r="FO368" s="60" t="n">
        <f aca="false">$J$28*SUMPRODUCT($E$36:$P$36,CJ368:CU368,$E$28:$P$28)</f>
        <v>0</v>
      </c>
      <c r="FP368" s="60" t="n">
        <f aca="false">$K$28*SUMPRODUCT($E$37:$P$37,CJ368:CU368,$E$28:$P$28)</f>
        <v>0</v>
      </c>
      <c r="FQ368" s="60" t="n">
        <f aca="false">$L$28*SUMPRODUCT($E$38:$P$38,CJ368:CU368,$E$28:$P$28)</f>
        <v>0</v>
      </c>
      <c r="FR368" s="60" t="n">
        <f aca="false">$M$28*SUMPRODUCT($E$39:$P$39,CJ368:CU368,$E$28:$P$28)</f>
        <v>0</v>
      </c>
      <c r="FS368" s="60" t="n">
        <f aca="false">$N$28*SUMPRODUCT($E$40:$P$40,CJ368:CU368,$E$28:$P$28)</f>
        <v>0</v>
      </c>
      <c r="FT368" s="60" t="n">
        <f aca="false">$O$28*SUMPRODUCT($E$41:$P$41,CJ368:CU368,$E$28:$P$28)</f>
        <v>0</v>
      </c>
      <c r="FU368" s="60" t="n">
        <f aca="false">$P$28*SUMPRODUCT($E$42:$P$42,CJ368:CU368,$E$28:$P$28)</f>
        <v>0</v>
      </c>
      <c r="FV368" s="60" t="n">
        <f aca="false">SUMPRODUCT(CJ368:CU368,FJ368:FU368)</f>
        <v>0.184416866619846</v>
      </c>
      <c r="FW368" s="60" t="n">
        <f aca="false">SUMPRODUCT(CJ368:CU368,$E$27:$P$27)</f>
        <v>2.67389635063809E-005</v>
      </c>
      <c r="FX368" s="60" t="n">
        <f aca="false">FV368*$C$9/($C$10*$C$8)^2</f>
        <v>0.21776909410545</v>
      </c>
      <c r="FY368" s="60" t="n">
        <f aca="false">FW368*$C$9/($C$10*$C$8)</f>
        <v>0.0918845243259994</v>
      </c>
      <c r="FZ368" s="60" t="n">
        <f aca="false">CHOOSE($C$7,-(1+FY368),-1,-(1-FY368))</f>
        <v>-0.908115475674001</v>
      </c>
      <c r="GA368" s="60" t="n">
        <f aca="false">CHOOSE($C$7,FX368,FX368-FY368-FY368^2,FX368-3*FY368^2-2*FY368)</f>
        <v>0.00867174802160559</v>
      </c>
      <c r="GB368" s="60" t="n">
        <f aca="false">CHOOSE($C$7,-FX368*FY368,-FX368*FY368,-(FX368*FY368-FY368^2-FY368^3))</f>
        <v>-0.0107910842936637</v>
      </c>
      <c r="GC368" s="60" t="n">
        <f aca="false">GA368-FZ368^2/3</f>
        <v>-0.266219491031267</v>
      </c>
      <c r="GD368" s="60" t="n">
        <f aca="false">2*FZ368^3/27-FZ368*GA368/3+GB368</f>
        <v>-0.0636400988362784</v>
      </c>
      <c r="GE368" s="60" t="n">
        <f aca="false">GD368^2/4+GC368^3/27</f>
        <v>0.000313710901361829</v>
      </c>
      <c r="GF368" s="60" t="n">
        <f aca="false">-GD368/2-IF(GD368&gt;=0,1,-1)*SQRT(MAX(GE368,0))</f>
        <v>0.0495319352963236</v>
      </c>
      <c r="GG368" s="60" t="n">
        <f aca="false">SIGN(GF368)*ABS(GF368)^(1/3)</f>
        <v>0.367249967174439</v>
      </c>
      <c r="GH368" s="60" t="n">
        <f aca="false">IF(GG368=0,0,GG368-GC368/(3*GG368))</f>
        <v>0.60888329127384</v>
      </c>
      <c r="GI368" s="60" t="n">
        <f aca="false">2*SQRT(MAX(-GC368,0)/3)</f>
        <v>0.595784626668918</v>
      </c>
      <c r="GJ368" s="60" t="n">
        <f aca="false">ACOS(IF(GI368=0,0,MAX(-1,MIN(1,3*GD368/(GC368*GI368)))))</f>
        <v>0</v>
      </c>
      <c r="GK368" s="60" t="n">
        <f aca="false">GI368*COS(GJ368/3)</f>
        <v>0.595784626668918</v>
      </c>
      <c r="GL368" s="60" t="n">
        <f aca="false">IF(GE368&lt;0,GK368,GH368)-FZ368/3</f>
        <v>0.91158844983184</v>
      </c>
      <c r="GM368" s="60" t="n">
        <f aca="false">IFERROR((((GL368+FZ368)*GL368+GA368)*GL368+GB368)/((3*GL368+2*FZ368)*GL368+GA368),0)</f>
        <v>0</v>
      </c>
      <c r="GN368" s="60" t="n">
        <f aca="false">IF(ABS(GM368)&lt;0.1*ABS(GL368),GL368-GM368,GL368)</f>
        <v>0.91158844983184</v>
      </c>
      <c r="GO368" s="60" t="n">
        <f aca="false">IFERROR((((GN368+FZ368)*GN368+GA368)*GN368+GB368)/((3*GN368+2*FZ368)*GN368+GA368),0)</f>
        <v>0</v>
      </c>
      <c r="GP368" s="60" t="n">
        <f aca="false">IF(ABS(GO368)&lt;0.1*ABS(GN368),GN368-GO368,GN368)</f>
        <v>0.91158844983184</v>
      </c>
      <c r="GQ368" s="60" t="n">
        <f aca="false">-GB368/GP368</f>
        <v>0.0118376711504565</v>
      </c>
      <c r="GR368" s="60" t="n">
        <f aca="false">(GA368-GQ368)/GP368</f>
        <v>-0.00347297415783941</v>
      </c>
      <c r="GS368" s="60" t="n">
        <f aca="false">GR368^2-4*GQ368</f>
        <v>-0.0473386230523248</v>
      </c>
      <c r="GT368" s="60" t="n">
        <f aca="false">IF(GS368&gt;=0,(GR368+IF(GR368&gt;=0,1,-1)*SQRT(GS368))/2,0)</f>
        <v>0</v>
      </c>
      <c r="GU368" s="60" t="n">
        <f aca="false">IF(AND(GS368&gt;=0,GT368&lt;&gt;0),MIN(GT368,GQ368/GT368),-1)</f>
        <v>-1</v>
      </c>
      <c r="GV368" s="60" t="n">
        <f aca="false">AND(GS368&gt;=0,GU368&gt;FY368,ABS(GP368-GU368)&gt;=0.00005*MAX(GP368,GU368))</f>
        <v>0</v>
      </c>
      <c r="GW368" s="60" t="n">
        <f aca="false">IF(GV368,IFERROR((((GU368+FZ368)*GU368+GA368)*GU368+GB368)/((3*GU368+2*FZ368)*GU368+GA368),0),0)</f>
        <v>0</v>
      </c>
      <c r="GX368" s="60" t="n">
        <f aca="false">IF(ABS(GW368)&lt;0.1*ABS(GU368),GU368-GW368,GU368)</f>
        <v>-1</v>
      </c>
      <c r="GY368" s="60" t="n">
        <f aca="false">IF(GV368,IFERROR((((GX368+FZ368)*GX368+GA368)*GX368+GB368)/((3*GX368+2*FZ368)*GX368+GA368),0),0)</f>
        <v>0</v>
      </c>
      <c r="GZ368" s="60" t="n">
        <f aca="false">IF(ABS(GY368)&lt;0.1*ABS(GX368),GX368-GY368,GX368)</f>
        <v>-1</v>
      </c>
      <c r="HA368" s="60" t="n">
        <f aca="false">IF(GV368,MAX(GP368,GZ368),GP368)</f>
        <v>0.91158844983184</v>
      </c>
      <c r="HB368" s="60" t="n">
        <f aca="false">IF(GV368,MIN(GP368,GZ368),-1)</f>
        <v>-1</v>
      </c>
      <c r="HC368" s="60" t="n">
        <f aca="false">CHOOSE($C$7,FX368/HA368,FX368/FY368*LN(1+FY368/HA368),FX368/(2*SQRT(2)*FY368)*LN((HA368+(1+SQRT(2))*FY368)/(HA368+(1-SQRT(2))*FY368)))</f>
        <v>0.218240791233887</v>
      </c>
      <c r="HD368" s="60" t="n">
        <f aca="false">HA368-1-LN(HA368-FY368)-HC368</f>
        <v>-0.107840271021729</v>
      </c>
      <c r="HE368" s="60" t="n">
        <f aca="false">IF(GV368,CHOOSE($C$7,FX368/HB368,FX368/FY368*LN(1+FY368/HB368),FX368/(2*SQRT(2)*FY368)*LN((HB368+(1+SQRT(2))*FY368)/(HB368+(1-SQRT(2))*FY368))),0)</f>
        <v>0</v>
      </c>
      <c r="HF368" s="60" t="n">
        <f aca="false">IF(GV368,HB368-1-LN(HB368-FY368)-HE368,0)</f>
        <v>0</v>
      </c>
      <c r="HG368" s="60" t="n">
        <f aca="false">AND(GV368,HF368&lt;HD368)</f>
        <v>0</v>
      </c>
      <c r="HH368" s="60" t="n">
        <f aca="false">IF(HG368,HB368,HA368)</f>
        <v>0.91158844983184</v>
      </c>
      <c r="HI368" s="60" t="n">
        <f aca="false">IF(HG368,HE368,HC368)</f>
        <v>0.218240791233887</v>
      </c>
      <c r="HJ368" s="60" t="n">
        <f aca="false">LN(HH368-FY368)</f>
        <v>-0.198812070380318</v>
      </c>
      <c r="HK368" s="60" t="n">
        <f aca="false">$E$27/FW368*(HH368-1)-HJ368-HI368*(2*FJ368/FV368-$E$27/FW368)</f>
        <v>-0.107840271021729</v>
      </c>
      <c r="HL368" s="60" t="n">
        <f aca="false">$F$27/FW368*(HH368-1)-HJ368-HI368*(2*FK368/FV368-$F$27/FW368)</f>
        <v>0.198812070380318</v>
      </c>
      <c r="HM368" s="60" t="n">
        <f aca="false">$G$27/FW368*(HH368-1)-HJ368-HI368*(2*FL368/FV368-$G$27/FW368)</f>
        <v>0.198812070380318</v>
      </c>
      <c r="HN368" s="60" t="n">
        <f aca="false">$H$27/FW368*(HH368-1)-HJ368-HI368*(2*FM368/FV368-$H$27/FW368)</f>
        <v>0.198812070380318</v>
      </c>
      <c r="HO368" s="60" t="n">
        <f aca="false">$I$27/FW368*(HH368-1)-HJ368-HI368*(2*FN368/FV368-$I$27/FW368)</f>
        <v>0.198812070380318</v>
      </c>
      <c r="HP368" s="60" t="n">
        <f aca="false">$J$27/FW368*(HH368-1)-HJ368-HI368*(2*FO368/FV368-$J$27/FW368)</f>
        <v>0.198812070380318</v>
      </c>
      <c r="HQ368" s="60" t="n">
        <f aca="false">$K$27/FW368*(HH368-1)-HJ368-HI368*(2*FP368/FV368-$K$27/FW368)</f>
        <v>0.198812070380318</v>
      </c>
      <c r="HR368" s="60" t="n">
        <f aca="false">$L$27/FW368*(HH368-1)-HJ368-HI368*(2*FQ368/FV368-$L$27/FW368)</f>
        <v>0.198812070380318</v>
      </c>
      <c r="HS368" s="60" t="n">
        <f aca="false">$M$27/FW368*(HH368-1)-HJ368-HI368*(2*FR368/FV368-$M$27/FW368)</f>
        <v>0.198812070380318</v>
      </c>
      <c r="HT368" s="60" t="n">
        <f aca="false">$N$27/FW368*(HH368-1)-HJ368-HI368*(2*FS368/FV368-$N$27/FW368)</f>
        <v>0.198812070380318</v>
      </c>
      <c r="HU368" s="60" t="n">
        <f aca="false">$O$27/FW368*(HH368-1)-HJ368-HI368*(2*FT368/FV368-$O$27/FW368)</f>
        <v>0.198812070380318</v>
      </c>
      <c r="HV368" s="60" t="n">
        <f aca="false">$P$27/FW368*(HH368-1)-HJ368-HI368*(2*FU368/FV368-$P$27/FW368)</f>
        <v>0.198812070380318</v>
      </c>
      <c r="HW368" s="60" t="n">
        <f aca="false">FY368/HH368&gt;$C$22</f>
        <v>0</v>
      </c>
      <c r="HX368" s="60" t="n">
        <f aca="false">IF($E$13&gt;0,MAX(-300,MIN(300,EW368-HK368)),0)</f>
        <v>0</v>
      </c>
      <c r="HY368" s="60" t="n">
        <f aca="false">IF($F$13&gt;0,MAX(-300,MIN(300,EX368-HL368)),0)</f>
        <v>0</v>
      </c>
      <c r="HZ368" s="60" t="n">
        <f aca="false">IF($G$13&gt;0,MAX(-300,MIN(300,EY368-HM368)),0)</f>
        <v>0</v>
      </c>
      <c r="IA368" s="60" t="n">
        <f aca="false">IF($H$13&gt;0,MAX(-300,MIN(300,EZ368-HN368)),0)</f>
        <v>0</v>
      </c>
      <c r="IB368" s="60" t="n">
        <f aca="false">IF($I$13&gt;0,MAX(-300,MIN(300,FA368-HO368)),0)</f>
        <v>0</v>
      </c>
      <c r="IC368" s="60" t="n">
        <f aca="false">IF($J$13&gt;0,MAX(-300,MIN(300,FB368-HP368)),0)</f>
        <v>0</v>
      </c>
      <c r="ID368" s="60" t="n">
        <f aca="false">IF($K$13&gt;0,MAX(-300,MIN(300,FC368-HQ368)),0)</f>
        <v>0</v>
      </c>
      <c r="IE368" s="60" t="n">
        <f aca="false">IF($L$13&gt;0,MAX(-300,MIN(300,FD368-HR368)),0)</f>
        <v>0</v>
      </c>
      <c r="IF368" s="60" t="n">
        <f aca="false">IF($M$13&gt;0,MAX(-300,MIN(300,FE368-HS368)),0)</f>
        <v>0</v>
      </c>
      <c r="IG368" s="60" t="n">
        <f aca="false">IF($N$13&gt;0,MAX(-300,MIN(300,FF368-HT368)),0)</f>
        <v>0</v>
      </c>
      <c r="IH368" s="60" t="n">
        <f aca="false">IF($O$13&gt;0,MAX(-300,MIN(300,FG368-HU368)),0)</f>
        <v>0</v>
      </c>
      <c r="II368" s="60" t="n">
        <f aca="false">IF($P$13&gt;0,MAX(-300,MIN(300,FH368-HV368)),0)</f>
        <v>0</v>
      </c>
      <c r="IJ368" s="60" t="n">
        <f aca="false">SUMXMY2(HX368:II368,B368:M368)</f>
        <v>0</v>
      </c>
      <c r="IK368" s="60" t="n">
        <f aca="false">SUMSQ(B368:M368)</f>
        <v>0</v>
      </c>
    </row>
    <row r="369" customFormat="false" ht="15" hidden="false" customHeight="false" outlineLevel="0" collapsed="false">
      <c r="A369" s="59" t="n">
        <v>8</v>
      </c>
      <c r="B369" s="60" t="n">
        <f aca="false">HX368</f>
        <v>0</v>
      </c>
      <c r="C369" s="60" t="n">
        <f aca="false">HY368</f>
        <v>0</v>
      </c>
      <c r="D369" s="60" t="n">
        <f aca="false">HZ368</f>
        <v>0</v>
      </c>
      <c r="E369" s="60" t="n">
        <f aca="false">IA368</f>
        <v>0</v>
      </c>
      <c r="F369" s="60" t="n">
        <f aca="false">IB368</f>
        <v>0</v>
      </c>
      <c r="G369" s="60" t="n">
        <f aca="false">IC368</f>
        <v>0</v>
      </c>
      <c r="H369" s="60" t="n">
        <f aca="false">ID368</f>
        <v>0</v>
      </c>
      <c r="I369" s="60" t="n">
        <f aca="false">IE368</f>
        <v>0</v>
      </c>
      <c r="J369" s="60" t="n">
        <f aca="false">IF368</f>
        <v>0</v>
      </c>
      <c r="K369" s="60" t="n">
        <f aca="false">IG368</f>
        <v>0</v>
      </c>
      <c r="L369" s="60" t="n">
        <f aca="false">IH368</f>
        <v>0</v>
      </c>
      <c r="M369" s="60" t="n">
        <f aca="false">II368</f>
        <v>0</v>
      </c>
      <c r="N369" s="60" t="n">
        <f aca="false">EXP(B369)</f>
        <v>1</v>
      </c>
      <c r="O369" s="60" t="n">
        <f aca="false">EXP(C369)</f>
        <v>1</v>
      </c>
      <c r="P369" s="60" t="n">
        <f aca="false">EXP(D369)</f>
        <v>1</v>
      </c>
      <c r="Q369" s="60" t="n">
        <f aca="false">EXP(E369)</f>
        <v>1</v>
      </c>
      <c r="R369" s="60" t="n">
        <f aca="false">EXP(F369)</f>
        <v>1</v>
      </c>
      <c r="S369" s="60" t="n">
        <f aca="false">EXP(G369)</f>
        <v>1</v>
      </c>
      <c r="T369" s="60" t="n">
        <f aca="false">EXP(H369)</f>
        <v>1</v>
      </c>
      <c r="U369" s="60" t="n">
        <f aca="false">EXP(I369)</f>
        <v>1</v>
      </c>
      <c r="V369" s="60" t="n">
        <f aca="false">EXP(J369)</f>
        <v>1</v>
      </c>
      <c r="W369" s="60" t="n">
        <f aca="false">EXP(K369)</f>
        <v>1</v>
      </c>
      <c r="X369" s="60" t="n">
        <f aca="false">EXP(L369)</f>
        <v>1</v>
      </c>
      <c r="Y369" s="60" t="n">
        <f aca="false">EXP(M369)</f>
        <v>1</v>
      </c>
      <c r="Z369" s="60" t="n">
        <f aca="false">MAX(N369:Y369)</f>
        <v>1</v>
      </c>
      <c r="AA369" s="60" t="n">
        <f aca="false">MIN(N369:Y369)</f>
        <v>1</v>
      </c>
      <c r="AB369" s="60" t="n">
        <f aca="false">AND(Z369&gt;1,AA369&lt;1)</f>
        <v>0</v>
      </c>
      <c r="AC369" s="60" t="n">
        <f aca="false">IF(AB369,1/(1-Z369),0)</f>
        <v>0</v>
      </c>
      <c r="AD369" s="60" t="n">
        <f aca="false">IF(AB369,1/(1-AA369),1)</f>
        <v>1</v>
      </c>
      <c r="AE369" s="60" t="n">
        <f aca="false">IF(AB369,MIN(MAX(BI368,AC369+0.000000001*(AD369-AC369)),AD369-0.000000001*(AD369-AC369)),IF(AA369&gt;=1,1,0))</f>
        <v>1</v>
      </c>
      <c r="AF369" s="60" t="n">
        <f aca="false">SUMPRODUCT($E$13:$P$13*(N369:Y369-1)/(1+AE369*(N369:Y369-1)))</f>
        <v>0</v>
      </c>
      <c r="AG369" s="60" t="n">
        <f aca="false">-SUMPRODUCT($E$13:$P$13*(N369:Y369-1)^2/(1+AE369*(N369:Y369-1))^2)</f>
        <v>-0</v>
      </c>
      <c r="AH369" s="60" t="n">
        <f aca="false">IF(OR(NOT(AB369),AG369=0),AE369,IF(AE369-AF369/AG369&lt;=AC369,(AE369+AC369)/2,IF(AE369-AF369/AG369&gt;=AD369,(AE369+AD369)/2,AE369-AF369/AG369)))</f>
        <v>1</v>
      </c>
      <c r="AI369" s="60" t="n">
        <f aca="false">SUMPRODUCT($E$13:$P$13*(N369:Y369-1)/(1+AH369*(N369:Y369-1)))</f>
        <v>0</v>
      </c>
      <c r="AJ369" s="60" t="n">
        <f aca="false">-SUMPRODUCT($E$13:$P$13*(N369:Y369-1)^2/(1+AH369*(N369:Y369-1))^2)</f>
        <v>-0</v>
      </c>
      <c r="AK369" s="60" t="n">
        <f aca="false">IF(OR(NOT(AB369),AJ369=0),AH369,IF(AH369-AI369/AJ369&lt;=AC369,(AH369+AC369)/2,IF(AH369-AI369/AJ369&gt;=AD369,(AH369+AD369)/2,AH369-AI369/AJ369)))</f>
        <v>1</v>
      </c>
      <c r="AL369" s="60" t="n">
        <f aca="false">SUMPRODUCT($E$13:$P$13*(N369:Y369-1)/(1+AK369*(N369:Y369-1)))</f>
        <v>0</v>
      </c>
      <c r="AM369" s="60" t="n">
        <f aca="false">-SUMPRODUCT($E$13:$P$13*(N369:Y369-1)^2/(1+AK369*(N369:Y369-1))^2)</f>
        <v>-0</v>
      </c>
      <c r="AN369" s="60" t="n">
        <f aca="false">IF(OR(NOT(AB369),AM369=0),AK369,IF(AK369-AL369/AM369&lt;=AC369,(AK369+AC369)/2,IF(AK369-AL369/AM369&gt;=AD369,(AK369+AD369)/2,AK369-AL369/AM369)))</f>
        <v>1</v>
      </c>
      <c r="AO369" s="60" t="n">
        <f aca="false">SUMPRODUCT($E$13:$P$13*(N369:Y369-1)/(1+AN369*(N369:Y369-1)))</f>
        <v>0</v>
      </c>
      <c r="AP369" s="60" t="n">
        <f aca="false">-SUMPRODUCT($E$13:$P$13*(N369:Y369-1)^2/(1+AN369*(N369:Y369-1))^2)</f>
        <v>-0</v>
      </c>
      <c r="AQ369" s="60" t="n">
        <f aca="false">IF(OR(NOT(AB369),AP369=0),AN369,IF(AN369-AO369/AP369&lt;=AC369,(AN369+AC369)/2,IF(AN369-AO369/AP369&gt;=AD369,(AN369+AD369)/2,AN369-AO369/AP369)))</f>
        <v>1</v>
      </c>
      <c r="AR369" s="60" t="n">
        <f aca="false">SUMPRODUCT($E$13:$P$13*(N369:Y369-1)/(1+AQ369*(N369:Y369-1)))</f>
        <v>0</v>
      </c>
      <c r="AS369" s="60" t="n">
        <f aca="false">-SUMPRODUCT($E$13:$P$13*(N369:Y369-1)^2/(1+AQ369*(N369:Y369-1))^2)</f>
        <v>-0</v>
      </c>
      <c r="AT369" s="60" t="n">
        <f aca="false">IF(OR(NOT(AB369),AS369=0),AQ369,IF(AQ369-AR369/AS369&lt;=AC369,(AQ369+AC369)/2,IF(AQ369-AR369/AS369&gt;=AD369,(AQ369+AD369)/2,AQ369-AR369/AS369)))</f>
        <v>1</v>
      </c>
      <c r="AU369" s="60" t="n">
        <f aca="false">SUMPRODUCT($E$13:$P$13*(N369:Y369-1)/(1+AT369*(N369:Y369-1)))</f>
        <v>0</v>
      </c>
      <c r="AV369" s="60" t="n">
        <f aca="false">-SUMPRODUCT($E$13:$P$13*(N369:Y369-1)^2/(1+AT369*(N369:Y369-1))^2)</f>
        <v>-0</v>
      </c>
      <c r="AW369" s="60" t="n">
        <f aca="false">IF(OR(NOT(AB369),AV369=0),AT369,IF(AT369-AU369/AV369&lt;=AC369,(AT369+AC369)/2,IF(AT369-AU369/AV369&gt;=AD369,(AT369+AD369)/2,AT369-AU369/AV369)))</f>
        <v>1</v>
      </c>
      <c r="AX369" s="60" t="n">
        <f aca="false">SUMPRODUCT($E$13:$P$13*(N369:Y369-1)/(1+AW369*(N369:Y369-1)))</f>
        <v>0</v>
      </c>
      <c r="AY369" s="60" t="n">
        <f aca="false">-SUMPRODUCT($E$13:$P$13*(N369:Y369-1)^2/(1+AW369*(N369:Y369-1))^2)</f>
        <v>-0</v>
      </c>
      <c r="AZ369" s="60" t="n">
        <f aca="false">IF(OR(NOT(AB369),AY369=0),AW369,IF(AW369-AX369/AY369&lt;=AC369,(AW369+AC369)/2,IF(AW369-AX369/AY369&gt;=AD369,(AW369+AD369)/2,AW369-AX369/AY369)))</f>
        <v>1</v>
      </c>
      <c r="BA369" s="60" t="n">
        <f aca="false">SUMPRODUCT($E$13:$P$13*(N369:Y369-1)/(1+AZ369*(N369:Y369-1)))</f>
        <v>0</v>
      </c>
      <c r="BB369" s="60" t="n">
        <f aca="false">-SUMPRODUCT($E$13:$P$13*(N369:Y369-1)^2/(1+AZ369*(N369:Y369-1))^2)</f>
        <v>-0</v>
      </c>
      <c r="BC369" s="60" t="n">
        <f aca="false">IF(OR(NOT(AB369),BB369=0),AZ369,IF(AZ369-BA369/BB369&lt;=AC369,(AZ369+AC369)/2,IF(AZ369-BA369/BB369&gt;=AD369,(AZ369+AD369)/2,AZ369-BA369/BB369)))</f>
        <v>1</v>
      </c>
      <c r="BD369" s="60" t="n">
        <f aca="false">SUMPRODUCT($E$13:$P$13*(N369:Y369-1)/(1+BC369*(N369:Y369-1)))</f>
        <v>0</v>
      </c>
      <c r="BE369" s="60" t="n">
        <f aca="false">-SUMPRODUCT($E$13:$P$13*(N369:Y369-1)^2/(1+BC369*(N369:Y369-1))^2)</f>
        <v>-0</v>
      </c>
      <c r="BF369" s="60" t="n">
        <f aca="false">IF(OR(NOT(AB369),BE369=0),BC369,IF(BC369-BD369/BE369&lt;=AC369,(BC369+AC369)/2,IF(BC369-BD369/BE369&gt;=AD369,(BC369+AD369)/2,BC369-BD369/BE369)))</f>
        <v>1</v>
      </c>
      <c r="BG369" s="60" t="n">
        <f aca="false">SUMPRODUCT($E$13:$P$13*(N369:Y369-1)/(1+BF369*(N369:Y369-1)))</f>
        <v>0</v>
      </c>
      <c r="BH369" s="60" t="n">
        <f aca="false">-SUMPRODUCT($E$13:$P$13*(N369:Y369-1)^2/(1+BF369*(N369:Y369-1))^2)</f>
        <v>-0</v>
      </c>
      <c r="BI369" s="60" t="n">
        <f aca="false">IF(OR(NOT(AB369),BH369=0),BF369,IF(BF369-BG369/BH369&lt;=AC369,(BF369+AC369)/2,IF(BF369-BG369/BH369&gt;=AD369,(BF369+AD369)/2,BF369-BG369/BH369)))</f>
        <v>1</v>
      </c>
      <c r="BJ369" s="60" t="n">
        <f aca="false">$E$13/(1+BI369*(N369-1))</f>
        <v>1</v>
      </c>
      <c r="BK369" s="60" t="n">
        <f aca="false">$F$13/(1+BI369*(O369-1))</f>
        <v>0</v>
      </c>
      <c r="BL369" s="60" t="n">
        <f aca="false">$G$13/(1+BI369*(P369-1))</f>
        <v>0</v>
      </c>
      <c r="BM369" s="60" t="n">
        <f aca="false">$H$13/(1+BI369*(Q369-1))</f>
        <v>0</v>
      </c>
      <c r="BN369" s="60" t="n">
        <f aca="false">$I$13/(1+BI369*(R369-1))</f>
        <v>0</v>
      </c>
      <c r="BO369" s="60" t="n">
        <f aca="false">$J$13/(1+BI369*(S369-1))</f>
        <v>0</v>
      </c>
      <c r="BP369" s="60" t="n">
        <f aca="false">$K$13/(1+BI369*(T369-1))</f>
        <v>0</v>
      </c>
      <c r="BQ369" s="60" t="n">
        <f aca="false">$L$13/(1+BI369*(U369-1))</f>
        <v>0</v>
      </c>
      <c r="BR369" s="60" t="n">
        <f aca="false">$M$13/(1+BI369*(V369-1))</f>
        <v>0</v>
      </c>
      <c r="BS369" s="60" t="n">
        <f aca="false">$N$13/(1+BI369*(W369-1))</f>
        <v>0</v>
      </c>
      <c r="BT369" s="60" t="n">
        <f aca="false">$O$13/(1+BI369*(X369-1))</f>
        <v>0</v>
      </c>
      <c r="BU369" s="60" t="n">
        <f aca="false">$P$13/(1+BI369*(Y369-1))</f>
        <v>0</v>
      </c>
      <c r="BV369" s="60" t="n">
        <f aca="false">SUM(BJ369:BU369)</f>
        <v>1</v>
      </c>
      <c r="BW369" s="60" t="n">
        <f aca="false">SUMPRODUCT(N369:Y369,BJ369:BU369)</f>
        <v>1</v>
      </c>
      <c r="BX369" s="60" t="n">
        <f aca="false">BJ369/BV369</f>
        <v>1</v>
      </c>
      <c r="BY369" s="60" t="n">
        <f aca="false">BK369/BV369</f>
        <v>0</v>
      </c>
      <c r="BZ369" s="60" t="n">
        <f aca="false">BL369/BV369</f>
        <v>0</v>
      </c>
      <c r="CA369" s="60" t="n">
        <f aca="false">BM369/BV369</f>
        <v>0</v>
      </c>
      <c r="CB369" s="60" t="n">
        <f aca="false">BN369/BV369</f>
        <v>0</v>
      </c>
      <c r="CC369" s="60" t="n">
        <f aca="false">BO369/BV369</f>
        <v>0</v>
      </c>
      <c r="CD369" s="60" t="n">
        <f aca="false">BP369/BV369</f>
        <v>0</v>
      </c>
      <c r="CE369" s="60" t="n">
        <f aca="false">BQ369/BV369</f>
        <v>0</v>
      </c>
      <c r="CF369" s="60" t="n">
        <f aca="false">BR369/BV369</f>
        <v>0</v>
      </c>
      <c r="CG369" s="60" t="n">
        <f aca="false">BS369/BV369</f>
        <v>0</v>
      </c>
      <c r="CH369" s="60" t="n">
        <f aca="false">BT369/BV369</f>
        <v>0</v>
      </c>
      <c r="CI369" s="60" t="n">
        <f aca="false">BU369/BV369</f>
        <v>0</v>
      </c>
      <c r="CJ369" s="60" t="n">
        <f aca="false">N369*BJ369/BW369</f>
        <v>1</v>
      </c>
      <c r="CK369" s="60" t="n">
        <f aca="false">O369*BK369/BW369</f>
        <v>0</v>
      </c>
      <c r="CL369" s="60" t="n">
        <f aca="false">P369*BL369/BW369</f>
        <v>0</v>
      </c>
      <c r="CM369" s="60" t="n">
        <f aca="false">Q369*BM369/BW369</f>
        <v>0</v>
      </c>
      <c r="CN369" s="60" t="n">
        <f aca="false">R369*BN369/BW369</f>
        <v>0</v>
      </c>
      <c r="CO369" s="60" t="n">
        <f aca="false">S369*BO369/BW369</f>
        <v>0</v>
      </c>
      <c r="CP369" s="60" t="n">
        <f aca="false">T369*BP369/BW369</f>
        <v>0</v>
      </c>
      <c r="CQ369" s="60" t="n">
        <f aca="false">U369*BQ369/BW369</f>
        <v>0</v>
      </c>
      <c r="CR369" s="60" t="n">
        <f aca="false">V369*BR369/BW369</f>
        <v>0</v>
      </c>
      <c r="CS369" s="60" t="n">
        <f aca="false">W369*BS369/BW369</f>
        <v>0</v>
      </c>
      <c r="CT369" s="60" t="n">
        <f aca="false">X369*BT369/BW369</f>
        <v>0</v>
      </c>
      <c r="CU369" s="60" t="n">
        <f aca="false">Y369*BU369/BW369</f>
        <v>0</v>
      </c>
      <c r="CV369" s="60" t="n">
        <f aca="false">$E$28*SUMPRODUCT($E$31:$P$31,BX369:CI369,$E$28:$P$28)</f>
        <v>0.184416866619846</v>
      </c>
      <c r="CW369" s="60" t="n">
        <f aca="false">$F$28*SUMPRODUCT($E$32:$P$32,BX369:CI369,$E$28:$P$28)</f>
        <v>0</v>
      </c>
      <c r="CX369" s="60" t="n">
        <f aca="false">$G$28*SUMPRODUCT($E$33:$P$33,BX369:CI369,$E$28:$P$28)</f>
        <v>0</v>
      </c>
      <c r="CY369" s="60" t="n">
        <f aca="false">$H$28*SUMPRODUCT($E$34:$P$34,BX369:CI369,$E$28:$P$28)</f>
        <v>0</v>
      </c>
      <c r="CZ369" s="60" t="n">
        <f aca="false">$I$28*SUMPRODUCT($E$35:$P$35,BX369:CI369,$E$28:$P$28)</f>
        <v>0</v>
      </c>
      <c r="DA369" s="60" t="n">
        <f aca="false">$J$28*SUMPRODUCT($E$36:$P$36,BX369:CI369,$E$28:$P$28)</f>
        <v>0</v>
      </c>
      <c r="DB369" s="60" t="n">
        <f aca="false">$K$28*SUMPRODUCT($E$37:$P$37,BX369:CI369,$E$28:$P$28)</f>
        <v>0</v>
      </c>
      <c r="DC369" s="60" t="n">
        <f aca="false">$L$28*SUMPRODUCT($E$38:$P$38,BX369:CI369,$E$28:$P$28)</f>
        <v>0</v>
      </c>
      <c r="DD369" s="60" t="n">
        <f aca="false">$M$28*SUMPRODUCT($E$39:$P$39,BX369:CI369,$E$28:$P$28)</f>
        <v>0</v>
      </c>
      <c r="DE369" s="60" t="n">
        <f aca="false">$N$28*SUMPRODUCT($E$40:$P$40,BX369:CI369,$E$28:$P$28)</f>
        <v>0</v>
      </c>
      <c r="DF369" s="60" t="n">
        <f aca="false">$O$28*SUMPRODUCT($E$41:$P$41,BX369:CI369,$E$28:$P$28)</f>
        <v>0</v>
      </c>
      <c r="DG369" s="60" t="n">
        <f aca="false">$P$28*SUMPRODUCT($E$42:$P$42,BX369:CI369,$E$28:$P$28)</f>
        <v>0</v>
      </c>
      <c r="DH369" s="60" t="n">
        <f aca="false">SUMPRODUCT(BX369:CI369,CV369:DG369)</f>
        <v>0.184416866619846</v>
      </c>
      <c r="DI369" s="60" t="n">
        <f aca="false">SUMPRODUCT(BX369:CI369,$E$27:$P$27)</f>
        <v>2.67389635063809E-005</v>
      </c>
      <c r="DJ369" s="60" t="n">
        <f aca="false">DH369*$C$9/($C$10*$C$8)^2</f>
        <v>0.21776909410545</v>
      </c>
      <c r="DK369" s="60" t="n">
        <f aca="false">DI369*$C$9/($C$10*$C$8)</f>
        <v>0.0918845243259994</v>
      </c>
      <c r="DL369" s="60" t="n">
        <f aca="false">CHOOSE($C$7,-(1+DK369),-1,-(1-DK369))</f>
        <v>-0.908115475674001</v>
      </c>
      <c r="DM369" s="60" t="n">
        <f aca="false">CHOOSE($C$7,DJ369,DJ369-DK369-DK369^2,DJ369-3*DK369^2-2*DK369)</f>
        <v>0.00867174802160559</v>
      </c>
      <c r="DN369" s="60" t="n">
        <f aca="false">CHOOSE($C$7,-DJ369*DK369,-DJ369*DK369,-(DJ369*DK369-DK369^2-DK369^3))</f>
        <v>-0.0107910842936637</v>
      </c>
      <c r="DO369" s="60" t="n">
        <f aca="false">DM369-DL369^2/3</f>
        <v>-0.266219491031267</v>
      </c>
      <c r="DP369" s="60" t="n">
        <f aca="false">2*DL369^3/27-DL369*DM369/3+DN369</f>
        <v>-0.0636400988362784</v>
      </c>
      <c r="DQ369" s="60" t="n">
        <f aca="false">DP369^2/4+DO369^3/27</f>
        <v>0.000313710901361829</v>
      </c>
      <c r="DR369" s="60" t="n">
        <f aca="false">-DP369/2-IF(DP369&gt;=0,1,-1)*SQRT(MAX(DQ369,0))</f>
        <v>0.0495319352963236</v>
      </c>
      <c r="DS369" s="60" t="n">
        <f aca="false">SIGN(DR369)*ABS(DR369)^(1/3)</f>
        <v>0.367249967174439</v>
      </c>
      <c r="DT369" s="60" t="n">
        <f aca="false">IF(DS369=0,0,DS369-DO369/(3*DS369))</f>
        <v>0.60888329127384</v>
      </c>
      <c r="DU369" s="60" t="n">
        <f aca="false">2*SQRT(MAX(-DO369,0)/3)</f>
        <v>0.595784626668918</v>
      </c>
      <c r="DV369" s="60" t="n">
        <f aca="false">ACOS(IF(DU369=0,0,MAX(-1,MIN(1,3*DP369/(DO369*DU369)))))</f>
        <v>0</v>
      </c>
      <c r="DW369" s="60" t="n">
        <f aca="false">DU369*COS(DV369/3)</f>
        <v>0.595784626668918</v>
      </c>
      <c r="DX369" s="60" t="n">
        <f aca="false">IF(DQ369&lt;0,DW369,DT369)-DL369/3</f>
        <v>0.91158844983184</v>
      </c>
      <c r="DY369" s="60" t="n">
        <f aca="false">IFERROR((((DX369+DL369)*DX369+DM369)*DX369+DN369)/((3*DX369+2*DL369)*DX369+DM369),0)</f>
        <v>0</v>
      </c>
      <c r="DZ369" s="60" t="n">
        <f aca="false">IF(ABS(DY369)&lt;0.1*ABS(DX369),DX369-DY369,DX369)</f>
        <v>0.91158844983184</v>
      </c>
      <c r="EA369" s="60" t="n">
        <f aca="false">IFERROR((((DZ369+DL369)*DZ369+DM369)*DZ369+DN369)/((3*DZ369+2*DL369)*DZ369+DM369),0)</f>
        <v>0</v>
      </c>
      <c r="EB369" s="60" t="n">
        <f aca="false">IF(ABS(EA369)&lt;0.1*ABS(DZ369),DZ369-EA369,DZ369)</f>
        <v>0.91158844983184</v>
      </c>
      <c r="EC369" s="60" t="n">
        <f aca="false">-DN369/EB369</f>
        <v>0.0118376711504565</v>
      </c>
      <c r="ED369" s="60" t="n">
        <f aca="false">(DM369-EC369)/EB369</f>
        <v>-0.00347297415783941</v>
      </c>
      <c r="EE369" s="60" t="n">
        <f aca="false">ED369^2-4*EC369</f>
        <v>-0.0473386230523248</v>
      </c>
      <c r="EF369" s="60" t="n">
        <f aca="false">IF(EE369&gt;=0,(ED369+IF(ED369&gt;=0,1,-1)*SQRT(EE369))/2,0)</f>
        <v>0</v>
      </c>
      <c r="EG369" s="60" t="n">
        <f aca="false">IF(AND(EE369&gt;=0,EF369&lt;&gt;0),MIN(EF369,EC369/EF369),-1)</f>
        <v>-1</v>
      </c>
      <c r="EH369" s="60" t="n">
        <f aca="false">AND(EE369&gt;=0,EG369&gt;DK369,ABS(EB369-EG369)&gt;=0.00005*MAX(EB369,EG369))</f>
        <v>0</v>
      </c>
      <c r="EI369" s="60" t="n">
        <f aca="false">IF(EH369,IFERROR((((EG369+DL369)*EG369+DM369)*EG369+DN369)/((3*EG369+2*DL369)*EG369+DM369),0),0)</f>
        <v>0</v>
      </c>
      <c r="EJ369" s="60" t="n">
        <f aca="false">IF(ABS(EI369)&lt;0.1*ABS(EG369),EG369-EI369,EG369)</f>
        <v>-1</v>
      </c>
      <c r="EK369" s="60" t="n">
        <f aca="false">IF(EH369,IFERROR((((EJ369+DL369)*EJ369+DM369)*EJ369+DN369)/((3*EJ369+2*DL369)*EJ369+DM369),0),0)</f>
        <v>0</v>
      </c>
      <c r="EL369" s="60" t="n">
        <f aca="false">IF(ABS(EK369)&lt;0.1*ABS(EJ369),EJ369-EK369,EJ369)</f>
        <v>-1</v>
      </c>
      <c r="EM369" s="60" t="n">
        <f aca="false">IF(EH369,MAX(EB369,EL369),EB369)</f>
        <v>0.91158844983184</v>
      </c>
      <c r="EN369" s="60" t="n">
        <f aca="false">IF(EH369,MIN(EB369,EL369),-1)</f>
        <v>-1</v>
      </c>
      <c r="EO369" s="60" t="n">
        <f aca="false">CHOOSE($C$7,DJ369/EM369,DJ369/DK369*LN(1+DK369/EM369),DJ369/(2*SQRT(2)*DK369)*LN((EM369+(1+SQRT(2))*DK369)/(EM369+(1-SQRT(2))*DK369)))</f>
        <v>0.218240791233887</v>
      </c>
      <c r="EP369" s="60" t="n">
        <f aca="false">EM369-1-LN(EM369-DK369)-EO369</f>
        <v>-0.107840271021729</v>
      </c>
      <c r="EQ369" s="60" t="n">
        <f aca="false">IF(EH369,CHOOSE($C$7,DJ369/EN369,DJ369/DK369*LN(1+DK369/EN369),DJ369/(2*SQRT(2)*DK369)*LN((EN369+(1+SQRT(2))*DK369)/(EN369+(1-SQRT(2))*DK369))),0)</f>
        <v>0</v>
      </c>
      <c r="ER369" s="60" t="n">
        <f aca="false">IF(EH369,EN369-1-LN(EN369-DK369)-EQ369,0)</f>
        <v>0</v>
      </c>
      <c r="ES369" s="60" t="n">
        <f aca="false">AND(EH369,ER369&lt;EP369)</f>
        <v>0</v>
      </c>
      <c r="ET369" s="60" t="n">
        <f aca="false">IF(ES369,EN369,EM369)</f>
        <v>0.91158844983184</v>
      </c>
      <c r="EU369" s="60" t="n">
        <f aca="false">IF(ES369,EQ369,EO369)</f>
        <v>0.218240791233887</v>
      </c>
      <c r="EV369" s="60" t="n">
        <f aca="false">LN(ET369-DK369)</f>
        <v>-0.198812070380318</v>
      </c>
      <c r="EW369" s="60" t="n">
        <f aca="false">$E$27/DI369*(ET369-1)-EV369-EU369*(2*CV369/DH369-$E$27/DI369)</f>
        <v>-0.107840271021729</v>
      </c>
      <c r="EX369" s="60" t="n">
        <f aca="false">$F$27/DI369*(ET369-1)-EV369-EU369*(2*CW369/DH369-$F$27/DI369)</f>
        <v>0.198812070380318</v>
      </c>
      <c r="EY369" s="60" t="n">
        <f aca="false">$G$27/DI369*(ET369-1)-EV369-EU369*(2*CX369/DH369-$G$27/DI369)</f>
        <v>0.198812070380318</v>
      </c>
      <c r="EZ369" s="60" t="n">
        <f aca="false">$H$27/DI369*(ET369-1)-EV369-EU369*(2*CY369/DH369-$H$27/DI369)</f>
        <v>0.198812070380318</v>
      </c>
      <c r="FA369" s="60" t="n">
        <f aca="false">$I$27/DI369*(ET369-1)-EV369-EU369*(2*CZ369/DH369-$I$27/DI369)</f>
        <v>0.198812070380318</v>
      </c>
      <c r="FB369" s="60" t="n">
        <f aca="false">$J$27/DI369*(ET369-1)-EV369-EU369*(2*DA369/DH369-$J$27/DI369)</f>
        <v>0.198812070380318</v>
      </c>
      <c r="FC369" s="60" t="n">
        <f aca="false">$K$27/DI369*(ET369-1)-EV369-EU369*(2*DB369/DH369-$K$27/DI369)</f>
        <v>0.198812070380318</v>
      </c>
      <c r="FD369" s="60" t="n">
        <f aca="false">$L$27/DI369*(ET369-1)-EV369-EU369*(2*DC369/DH369-$L$27/DI369)</f>
        <v>0.198812070380318</v>
      </c>
      <c r="FE369" s="60" t="n">
        <f aca="false">$M$27/DI369*(ET369-1)-EV369-EU369*(2*DD369/DH369-$M$27/DI369)</f>
        <v>0.198812070380318</v>
      </c>
      <c r="FF369" s="60" t="n">
        <f aca="false">$N$27/DI369*(ET369-1)-EV369-EU369*(2*DE369/DH369-$N$27/DI369)</f>
        <v>0.198812070380318</v>
      </c>
      <c r="FG369" s="60" t="n">
        <f aca="false">$O$27/DI369*(ET369-1)-EV369-EU369*(2*DF369/DH369-$O$27/DI369)</f>
        <v>0.198812070380318</v>
      </c>
      <c r="FH369" s="60" t="n">
        <f aca="false">$P$27/DI369*(ET369-1)-EV369-EU369*(2*DG369/DH369-$P$27/DI369)</f>
        <v>0.198812070380318</v>
      </c>
      <c r="FI369" s="60" t="n">
        <f aca="false">DK369/ET369&gt;$C$22</f>
        <v>0</v>
      </c>
      <c r="FJ369" s="60" t="n">
        <f aca="false">$E$28*SUMPRODUCT($E$31:$P$31,CJ369:CU369,$E$28:$P$28)</f>
        <v>0.184416866619846</v>
      </c>
      <c r="FK369" s="60" t="n">
        <f aca="false">$F$28*SUMPRODUCT($E$32:$P$32,CJ369:CU369,$E$28:$P$28)</f>
        <v>0</v>
      </c>
      <c r="FL369" s="60" t="n">
        <f aca="false">$G$28*SUMPRODUCT($E$33:$P$33,CJ369:CU369,$E$28:$P$28)</f>
        <v>0</v>
      </c>
      <c r="FM369" s="60" t="n">
        <f aca="false">$H$28*SUMPRODUCT($E$34:$P$34,CJ369:CU369,$E$28:$P$28)</f>
        <v>0</v>
      </c>
      <c r="FN369" s="60" t="n">
        <f aca="false">$I$28*SUMPRODUCT($E$35:$P$35,CJ369:CU369,$E$28:$P$28)</f>
        <v>0</v>
      </c>
      <c r="FO369" s="60" t="n">
        <f aca="false">$J$28*SUMPRODUCT($E$36:$P$36,CJ369:CU369,$E$28:$P$28)</f>
        <v>0</v>
      </c>
      <c r="FP369" s="60" t="n">
        <f aca="false">$K$28*SUMPRODUCT($E$37:$P$37,CJ369:CU369,$E$28:$P$28)</f>
        <v>0</v>
      </c>
      <c r="FQ369" s="60" t="n">
        <f aca="false">$L$28*SUMPRODUCT($E$38:$P$38,CJ369:CU369,$E$28:$P$28)</f>
        <v>0</v>
      </c>
      <c r="FR369" s="60" t="n">
        <f aca="false">$M$28*SUMPRODUCT($E$39:$P$39,CJ369:CU369,$E$28:$P$28)</f>
        <v>0</v>
      </c>
      <c r="FS369" s="60" t="n">
        <f aca="false">$N$28*SUMPRODUCT($E$40:$P$40,CJ369:CU369,$E$28:$P$28)</f>
        <v>0</v>
      </c>
      <c r="FT369" s="60" t="n">
        <f aca="false">$O$28*SUMPRODUCT($E$41:$P$41,CJ369:CU369,$E$28:$P$28)</f>
        <v>0</v>
      </c>
      <c r="FU369" s="60" t="n">
        <f aca="false">$P$28*SUMPRODUCT($E$42:$P$42,CJ369:CU369,$E$28:$P$28)</f>
        <v>0</v>
      </c>
      <c r="FV369" s="60" t="n">
        <f aca="false">SUMPRODUCT(CJ369:CU369,FJ369:FU369)</f>
        <v>0.184416866619846</v>
      </c>
      <c r="FW369" s="60" t="n">
        <f aca="false">SUMPRODUCT(CJ369:CU369,$E$27:$P$27)</f>
        <v>2.67389635063809E-005</v>
      </c>
      <c r="FX369" s="60" t="n">
        <f aca="false">FV369*$C$9/($C$10*$C$8)^2</f>
        <v>0.21776909410545</v>
      </c>
      <c r="FY369" s="60" t="n">
        <f aca="false">FW369*$C$9/($C$10*$C$8)</f>
        <v>0.0918845243259994</v>
      </c>
      <c r="FZ369" s="60" t="n">
        <f aca="false">CHOOSE($C$7,-(1+FY369),-1,-(1-FY369))</f>
        <v>-0.908115475674001</v>
      </c>
      <c r="GA369" s="60" t="n">
        <f aca="false">CHOOSE($C$7,FX369,FX369-FY369-FY369^2,FX369-3*FY369^2-2*FY369)</f>
        <v>0.00867174802160559</v>
      </c>
      <c r="GB369" s="60" t="n">
        <f aca="false">CHOOSE($C$7,-FX369*FY369,-FX369*FY369,-(FX369*FY369-FY369^2-FY369^3))</f>
        <v>-0.0107910842936637</v>
      </c>
      <c r="GC369" s="60" t="n">
        <f aca="false">GA369-FZ369^2/3</f>
        <v>-0.266219491031267</v>
      </c>
      <c r="GD369" s="60" t="n">
        <f aca="false">2*FZ369^3/27-FZ369*GA369/3+GB369</f>
        <v>-0.0636400988362784</v>
      </c>
      <c r="GE369" s="60" t="n">
        <f aca="false">GD369^2/4+GC369^3/27</f>
        <v>0.000313710901361829</v>
      </c>
      <c r="GF369" s="60" t="n">
        <f aca="false">-GD369/2-IF(GD369&gt;=0,1,-1)*SQRT(MAX(GE369,0))</f>
        <v>0.0495319352963236</v>
      </c>
      <c r="GG369" s="60" t="n">
        <f aca="false">SIGN(GF369)*ABS(GF369)^(1/3)</f>
        <v>0.367249967174439</v>
      </c>
      <c r="GH369" s="60" t="n">
        <f aca="false">IF(GG369=0,0,GG369-GC369/(3*GG369))</f>
        <v>0.60888329127384</v>
      </c>
      <c r="GI369" s="60" t="n">
        <f aca="false">2*SQRT(MAX(-GC369,0)/3)</f>
        <v>0.595784626668918</v>
      </c>
      <c r="GJ369" s="60" t="n">
        <f aca="false">ACOS(IF(GI369=0,0,MAX(-1,MIN(1,3*GD369/(GC369*GI369)))))</f>
        <v>0</v>
      </c>
      <c r="GK369" s="60" t="n">
        <f aca="false">GI369*COS(GJ369/3)</f>
        <v>0.595784626668918</v>
      </c>
      <c r="GL369" s="60" t="n">
        <f aca="false">IF(GE369&lt;0,GK369,GH369)-FZ369/3</f>
        <v>0.91158844983184</v>
      </c>
      <c r="GM369" s="60" t="n">
        <f aca="false">IFERROR((((GL369+FZ369)*GL369+GA369)*GL369+GB369)/((3*GL369+2*FZ369)*GL369+GA369),0)</f>
        <v>0</v>
      </c>
      <c r="GN369" s="60" t="n">
        <f aca="false">IF(ABS(GM369)&lt;0.1*ABS(GL369),GL369-GM369,GL369)</f>
        <v>0.91158844983184</v>
      </c>
      <c r="GO369" s="60" t="n">
        <f aca="false">IFERROR((((GN369+FZ369)*GN369+GA369)*GN369+GB369)/((3*GN369+2*FZ369)*GN369+GA369),0)</f>
        <v>0</v>
      </c>
      <c r="GP369" s="60" t="n">
        <f aca="false">IF(ABS(GO369)&lt;0.1*ABS(GN369),GN369-GO369,GN369)</f>
        <v>0.91158844983184</v>
      </c>
      <c r="GQ369" s="60" t="n">
        <f aca="false">-GB369/GP369</f>
        <v>0.0118376711504565</v>
      </c>
      <c r="GR369" s="60" t="n">
        <f aca="false">(GA369-GQ369)/GP369</f>
        <v>-0.00347297415783941</v>
      </c>
      <c r="GS369" s="60" t="n">
        <f aca="false">GR369^2-4*GQ369</f>
        <v>-0.0473386230523248</v>
      </c>
      <c r="GT369" s="60" t="n">
        <f aca="false">IF(GS369&gt;=0,(GR369+IF(GR369&gt;=0,1,-1)*SQRT(GS369))/2,0)</f>
        <v>0</v>
      </c>
      <c r="GU369" s="60" t="n">
        <f aca="false">IF(AND(GS369&gt;=0,GT369&lt;&gt;0),MIN(GT369,GQ369/GT369),-1)</f>
        <v>-1</v>
      </c>
      <c r="GV369" s="60" t="n">
        <f aca="false">AND(GS369&gt;=0,GU369&gt;FY369,ABS(GP369-GU369)&gt;=0.00005*MAX(GP369,GU369))</f>
        <v>0</v>
      </c>
      <c r="GW369" s="60" t="n">
        <f aca="false">IF(GV369,IFERROR((((GU369+FZ369)*GU369+GA369)*GU369+GB369)/((3*GU369+2*FZ369)*GU369+GA369),0),0)</f>
        <v>0</v>
      </c>
      <c r="GX369" s="60" t="n">
        <f aca="false">IF(ABS(GW369)&lt;0.1*ABS(GU369),GU369-GW369,GU369)</f>
        <v>-1</v>
      </c>
      <c r="GY369" s="60" t="n">
        <f aca="false">IF(GV369,IFERROR((((GX369+FZ369)*GX369+GA369)*GX369+GB369)/((3*GX369+2*FZ369)*GX369+GA369),0),0)</f>
        <v>0</v>
      </c>
      <c r="GZ369" s="60" t="n">
        <f aca="false">IF(ABS(GY369)&lt;0.1*ABS(GX369),GX369-GY369,GX369)</f>
        <v>-1</v>
      </c>
      <c r="HA369" s="60" t="n">
        <f aca="false">IF(GV369,MAX(GP369,GZ369),GP369)</f>
        <v>0.91158844983184</v>
      </c>
      <c r="HB369" s="60" t="n">
        <f aca="false">IF(GV369,MIN(GP369,GZ369),-1)</f>
        <v>-1</v>
      </c>
      <c r="HC369" s="60" t="n">
        <f aca="false">CHOOSE($C$7,FX369/HA369,FX369/FY369*LN(1+FY369/HA369),FX369/(2*SQRT(2)*FY369)*LN((HA369+(1+SQRT(2))*FY369)/(HA369+(1-SQRT(2))*FY369)))</f>
        <v>0.218240791233887</v>
      </c>
      <c r="HD369" s="60" t="n">
        <f aca="false">HA369-1-LN(HA369-FY369)-HC369</f>
        <v>-0.107840271021729</v>
      </c>
      <c r="HE369" s="60" t="n">
        <f aca="false">IF(GV369,CHOOSE($C$7,FX369/HB369,FX369/FY369*LN(1+FY369/HB369),FX369/(2*SQRT(2)*FY369)*LN((HB369+(1+SQRT(2))*FY369)/(HB369+(1-SQRT(2))*FY369))),0)</f>
        <v>0</v>
      </c>
      <c r="HF369" s="60" t="n">
        <f aca="false">IF(GV369,HB369-1-LN(HB369-FY369)-HE369,0)</f>
        <v>0</v>
      </c>
      <c r="HG369" s="60" t="n">
        <f aca="false">AND(GV369,HF369&lt;HD369)</f>
        <v>0</v>
      </c>
      <c r="HH369" s="60" t="n">
        <f aca="false">IF(HG369,HB369,HA369)</f>
        <v>0.91158844983184</v>
      </c>
      <c r="HI369" s="60" t="n">
        <f aca="false">IF(HG369,HE369,HC369)</f>
        <v>0.218240791233887</v>
      </c>
      <c r="HJ369" s="60" t="n">
        <f aca="false">LN(HH369-FY369)</f>
        <v>-0.198812070380318</v>
      </c>
      <c r="HK369" s="60" t="n">
        <f aca="false">$E$27/FW369*(HH369-1)-HJ369-HI369*(2*FJ369/FV369-$E$27/FW369)</f>
        <v>-0.107840271021729</v>
      </c>
      <c r="HL369" s="60" t="n">
        <f aca="false">$F$27/FW369*(HH369-1)-HJ369-HI369*(2*FK369/FV369-$F$27/FW369)</f>
        <v>0.198812070380318</v>
      </c>
      <c r="HM369" s="60" t="n">
        <f aca="false">$G$27/FW369*(HH369-1)-HJ369-HI369*(2*FL369/FV369-$G$27/FW369)</f>
        <v>0.198812070380318</v>
      </c>
      <c r="HN369" s="60" t="n">
        <f aca="false">$H$27/FW369*(HH369-1)-HJ369-HI369*(2*FM369/FV369-$H$27/FW369)</f>
        <v>0.198812070380318</v>
      </c>
      <c r="HO369" s="60" t="n">
        <f aca="false">$I$27/FW369*(HH369-1)-HJ369-HI369*(2*FN369/FV369-$I$27/FW369)</f>
        <v>0.198812070380318</v>
      </c>
      <c r="HP369" s="60" t="n">
        <f aca="false">$J$27/FW369*(HH369-1)-HJ369-HI369*(2*FO369/FV369-$J$27/FW369)</f>
        <v>0.198812070380318</v>
      </c>
      <c r="HQ369" s="60" t="n">
        <f aca="false">$K$27/FW369*(HH369-1)-HJ369-HI369*(2*FP369/FV369-$K$27/FW369)</f>
        <v>0.198812070380318</v>
      </c>
      <c r="HR369" s="60" t="n">
        <f aca="false">$L$27/FW369*(HH369-1)-HJ369-HI369*(2*FQ369/FV369-$L$27/FW369)</f>
        <v>0.198812070380318</v>
      </c>
      <c r="HS369" s="60" t="n">
        <f aca="false">$M$27/FW369*(HH369-1)-HJ369-HI369*(2*FR369/FV369-$M$27/FW369)</f>
        <v>0.198812070380318</v>
      </c>
      <c r="HT369" s="60" t="n">
        <f aca="false">$N$27/FW369*(HH369-1)-HJ369-HI369*(2*FS369/FV369-$N$27/FW369)</f>
        <v>0.198812070380318</v>
      </c>
      <c r="HU369" s="60" t="n">
        <f aca="false">$O$27/FW369*(HH369-1)-HJ369-HI369*(2*FT369/FV369-$O$27/FW369)</f>
        <v>0.198812070380318</v>
      </c>
      <c r="HV369" s="60" t="n">
        <f aca="false">$P$27/FW369*(HH369-1)-HJ369-HI369*(2*FU369/FV369-$P$27/FW369)</f>
        <v>0.198812070380318</v>
      </c>
      <c r="HW369" s="60" t="n">
        <f aca="false">FY369/HH369&gt;$C$22</f>
        <v>0</v>
      </c>
      <c r="HX369" s="60" t="n">
        <f aca="false">IF($E$13&gt;0,MAX(-300,MIN(300,EW369-HK369)),0)</f>
        <v>0</v>
      </c>
      <c r="HY369" s="60" t="n">
        <f aca="false">IF($F$13&gt;0,MAX(-300,MIN(300,EX369-HL369)),0)</f>
        <v>0</v>
      </c>
      <c r="HZ369" s="60" t="n">
        <f aca="false">IF($G$13&gt;0,MAX(-300,MIN(300,EY369-HM369)),0)</f>
        <v>0</v>
      </c>
      <c r="IA369" s="60" t="n">
        <f aca="false">IF($H$13&gt;0,MAX(-300,MIN(300,EZ369-HN369)),0)</f>
        <v>0</v>
      </c>
      <c r="IB369" s="60" t="n">
        <f aca="false">IF($I$13&gt;0,MAX(-300,MIN(300,FA369-HO369)),0)</f>
        <v>0</v>
      </c>
      <c r="IC369" s="60" t="n">
        <f aca="false">IF($J$13&gt;0,MAX(-300,MIN(300,FB369-HP369)),0)</f>
        <v>0</v>
      </c>
      <c r="ID369" s="60" t="n">
        <f aca="false">IF($K$13&gt;0,MAX(-300,MIN(300,FC369-HQ369)),0)</f>
        <v>0</v>
      </c>
      <c r="IE369" s="60" t="n">
        <f aca="false">IF($L$13&gt;0,MAX(-300,MIN(300,FD369-HR369)),0)</f>
        <v>0</v>
      </c>
      <c r="IF369" s="60" t="n">
        <f aca="false">IF($M$13&gt;0,MAX(-300,MIN(300,FE369-HS369)),0)</f>
        <v>0</v>
      </c>
      <c r="IG369" s="60" t="n">
        <f aca="false">IF($N$13&gt;0,MAX(-300,MIN(300,FF369-HT369)),0)</f>
        <v>0</v>
      </c>
      <c r="IH369" s="60" t="n">
        <f aca="false">IF($O$13&gt;0,MAX(-300,MIN(300,FG369-HU369)),0)</f>
        <v>0</v>
      </c>
      <c r="II369" s="60" t="n">
        <f aca="false">IF($P$13&gt;0,MAX(-300,MIN(300,FH369-HV369)),0)</f>
        <v>0</v>
      </c>
      <c r="IJ369" s="60" t="n">
        <f aca="false">SUMXMY2(HX369:II369,B369:M369)</f>
        <v>0</v>
      </c>
      <c r="IK369" s="60" t="n">
        <f aca="false">SUMSQ(B369:M369)</f>
        <v>0</v>
      </c>
    </row>
    <row r="370" customFormat="false" ht="15" hidden="false" customHeight="false" outlineLevel="0" collapsed="false">
      <c r="A370" s="59" t="n">
        <v>9</v>
      </c>
      <c r="B370" s="60" t="n">
        <f aca="false">HX369</f>
        <v>0</v>
      </c>
      <c r="C370" s="60" t="n">
        <f aca="false">HY369</f>
        <v>0</v>
      </c>
      <c r="D370" s="60" t="n">
        <f aca="false">HZ369</f>
        <v>0</v>
      </c>
      <c r="E370" s="60" t="n">
        <f aca="false">IA369</f>
        <v>0</v>
      </c>
      <c r="F370" s="60" t="n">
        <f aca="false">IB369</f>
        <v>0</v>
      </c>
      <c r="G370" s="60" t="n">
        <f aca="false">IC369</f>
        <v>0</v>
      </c>
      <c r="H370" s="60" t="n">
        <f aca="false">ID369</f>
        <v>0</v>
      </c>
      <c r="I370" s="60" t="n">
        <f aca="false">IE369</f>
        <v>0</v>
      </c>
      <c r="J370" s="60" t="n">
        <f aca="false">IF369</f>
        <v>0</v>
      </c>
      <c r="K370" s="60" t="n">
        <f aca="false">IG369</f>
        <v>0</v>
      </c>
      <c r="L370" s="60" t="n">
        <f aca="false">IH369</f>
        <v>0</v>
      </c>
      <c r="M370" s="60" t="n">
        <f aca="false">II369</f>
        <v>0</v>
      </c>
      <c r="N370" s="60" t="n">
        <f aca="false">EXP(B370)</f>
        <v>1</v>
      </c>
      <c r="O370" s="60" t="n">
        <f aca="false">EXP(C370)</f>
        <v>1</v>
      </c>
      <c r="P370" s="60" t="n">
        <f aca="false">EXP(D370)</f>
        <v>1</v>
      </c>
      <c r="Q370" s="60" t="n">
        <f aca="false">EXP(E370)</f>
        <v>1</v>
      </c>
      <c r="R370" s="60" t="n">
        <f aca="false">EXP(F370)</f>
        <v>1</v>
      </c>
      <c r="S370" s="60" t="n">
        <f aca="false">EXP(G370)</f>
        <v>1</v>
      </c>
      <c r="T370" s="60" t="n">
        <f aca="false">EXP(H370)</f>
        <v>1</v>
      </c>
      <c r="U370" s="60" t="n">
        <f aca="false">EXP(I370)</f>
        <v>1</v>
      </c>
      <c r="V370" s="60" t="n">
        <f aca="false">EXP(J370)</f>
        <v>1</v>
      </c>
      <c r="W370" s="60" t="n">
        <f aca="false">EXP(K370)</f>
        <v>1</v>
      </c>
      <c r="X370" s="60" t="n">
        <f aca="false">EXP(L370)</f>
        <v>1</v>
      </c>
      <c r="Y370" s="60" t="n">
        <f aca="false">EXP(M370)</f>
        <v>1</v>
      </c>
      <c r="Z370" s="60" t="n">
        <f aca="false">MAX(N370:Y370)</f>
        <v>1</v>
      </c>
      <c r="AA370" s="60" t="n">
        <f aca="false">MIN(N370:Y370)</f>
        <v>1</v>
      </c>
      <c r="AB370" s="60" t="n">
        <f aca="false">AND(Z370&gt;1,AA370&lt;1)</f>
        <v>0</v>
      </c>
      <c r="AC370" s="60" t="n">
        <f aca="false">IF(AB370,1/(1-Z370),0)</f>
        <v>0</v>
      </c>
      <c r="AD370" s="60" t="n">
        <f aca="false">IF(AB370,1/(1-AA370),1)</f>
        <v>1</v>
      </c>
      <c r="AE370" s="60" t="n">
        <f aca="false">IF(AB370,MIN(MAX(BI369,AC370+0.000000001*(AD370-AC370)),AD370-0.000000001*(AD370-AC370)),IF(AA370&gt;=1,1,0))</f>
        <v>1</v>
      </c>
      <c r="AF370" s="60" t="n">
        <f aca="false">SUMPRODUCT($E$13:$P$13*(N370:Y370-1)/(1+AE370*(N370:Y370-1)))</f>
        <v>0</v>
      </c>
      <c r="AG370" s="60" t="n">
        <f aca="false">-SUMPRODUCT($E$13:$P$13*(N370:Y370-1)^2/(1+AE370*(N370:Y370-1))^2)</f>
        <v>-0</v>
      </c>
      <c r="AH370" s="60" t="n">
        <f aca="false">IF(OR(NOT(AB370),AG370=0),AE370,IF(AE370-AF370/AG370&lt;=AC370,(AE370+AC370)/2,IF(AE370-AF370/AG370&gt;=AD370,(AE370+AD370)/2,AE370-AF370/AG370)))</f>
        <v>1</v>
      </c>
      <c r="AI370" s="60" t="n">
        <f aca="false">SUMPRODUCT($E$13:$P$13*(N370:Y370-1)/(1+AH370*(N370:Y370-1)))</f>
        <v>0</v>
      </c>
      <c r="AJ370" s="60" t="n">
        <f aca="false">-SUMPRODUCT($E$13:$P$13*(N370:Y370-1)^2/(1+AH370*(N370:Y370-1))^2)</f>
        <v>-0</v>
      </c>
      <c r="AK370" s="60" t="n">
        <f aca="false">IF(OR(NOT(AB370),AJ370=0),AH370,IF(AH370-AI370/AJ370&lt;=AC370,(AH370+AC370)/2,IF(AH370-AI370/AJ370&gt;=AD370,(AH370+AD370)/2,AH370-AI370/AJ370)))</f>
        <v>1</v>
      </c>
      <c r="AL370" s="60" t="n">
        <f aca="false">SUMPRODUCT($E$13:$P$13*(N370:Y370-1)/(1+AK370*(N370:Y370-1)))</f>
        <v>0</v>
      </c>
      <c r="AM370" s="60" t="n">
        <f aca="false">-SUMPRODUCT($E$13:$P$13*(N370:Y370-1)^2/(1+AK370*(N370:Y370-1))^2)</f>
        <v>-0</v>
      </c>
      <c r="AN370" s="60" t="n">
        <f aca="false">IF(OR(NOT(AB370),AM370=0),AK370,IF(AK370-AL370/AM370&lt;=AC370,(AK370+AC370)/2,IF(AK370-AL370/AM370&gt;=AD370,(AK370+AD370)/2,AK370-AL370/AM370)))</f>
        <v>1</v>
      </c>
      <c r="AO370" s="60" t="n">
        <f aca="false">SUMPRODUCT($E$13:$P$13*(N370:Y370-1)/(1+AN370*(N370:Y370-1)))</f>
        <v>0</v>
      </c>
      <c r="AP370" s="60" t="n">
        <f aca="false">-SUMPRODUCT($E$13:$P$13*(N370:Y370-1)^2/(1+AN370*(N370:Y370-1))^2)</f>
        <v>-0</v>
      </c>
      <c r="AQ370" s="60" t="n">
        <f aca="false">IF(OR(NOT(AB370),AP370=0),AN370,IF(AN370-AO370/AP370&lt;=AC370,(AN370+AC370)/2,IF(AN370-AO370/AP370&gt;=AD370,(AN370+AD370)/2,AN370-AO370/AP370)))</f>
        <v>1</v>
      </c>
      <c r="AR370" s="60" t="n">
        <f aca="false">SUMPRODUCT($E$13:$P$13*(N370:Y370-1)/(1+AQ370*(N370:Y370-1)))</f>
        <v>0</v>
      </c>
      <c r="AS370" s="60" t="n">
        <f aca="false">-SUMPRODUCT($E$13:$P$13*(N370:Y370-1)^2/(1+AQ370*(N370:Y370-1))^2)</f>
        <v>-0</v>
      </c>
      <c r="AT370" s="60" t="n">
        <f aca="false">IF(OR(NOT(AB370),AS370=0),AQ370,IF(AQ370-AR370/AS370&lt;=AC370,(AQ370+AC370)/2,IF(AQ370-AR370/AS370&gt;=AD370,(AQ370+AD370)/2,AQ370-AR370/AS370)))</f>
        <v>1</v>
      </c>
      <c r="AU370" s="60" t="n">
        <f aca="false">SUMPRODUCT($E$13:$P$13*(N370:Y370-1)/(1+AT370*(N370:Y370-1)))</f>
        <v>0</v>
      </c>
      <c r="AV370" s="60" t="n">
        <f aca="false">-SUMPRODUCT($E$13:$P$13*(N370:Y370-1)^2/(1+AT370*(N370:Y370-1))^2)</f>
        <v>-0</v>
      </c>
      <c r="AW370" s="60" t="n">
        <f aca="false">IF(OR(NOT(AB370),AV370=0),AT370,IF(AT370-AU370/AV370&lt;=AC370,(AT370+AC370)/2,IF(AT370-AU370/AV370&gt;=AD370,(AT370+AD370)/2,AT370-AU370/AV370)))</f>
        <v>1</v>
      </c>
      <c r="AX370" s="60" t="n">
        <f aca="false">SUMPRODUCT($E$13:$P$13*(N370:Y370-1)/(1+AW370*(N370:Y370-1)))</f>
        <v>0</v>
      </c>
      <c r="AY370" s="60" t="n">
        <f aca="false">-SUMPRODUCT($E$13:$P$13*(N370:Y370-1)^2/(1+AW370*(N370:Y370-1))^2)</f>
        <v>-0</v>
      </c>
      <c r="AZ370" s="60" t="n">
        <f aca="false">IF(OR(NOT(AB370),AY370=0),AW370,IF(AW370-AX370/AY370&lt;=AC370,(AW370+AC370)/2,IF(AW370-AX370/AY370&gt;=AD370,(AW370+AD370)/2,AW370-AX370/AY370)))</f>
        <v>1</v>
      </c>
      <c r="BA370" s="60" t="n">
        <f aca="false">SUMPRODUCT($E$13:$P$13*(N370:Y370-1)/(1+AZ370*(N370:Y370-1)))</f>
        <v>0</v>
      </c>
      <c r="BB370" s="60" t="n">
        <f aca="false">-SUMPRODUCT($E$13:$P$13*(N370:Y370-1)^2/(1+AZ370*(N370:Y370-1))^2)</f>
        <v>-0</v>
      </c>
      <c r="BC370" s="60" t="n">
        <f aca="false">IF(OR(NOT(AB370),BB370=0),AZ370,IF(AZ370-BA370/BB370&lt;=AC370,(AZ370+AC370)/2,IF(AZ370-BA370/BB370&gt;=AD370,(AZ370+AD370)/2,AZ370-BA370/BB370)))</f>
        <v>1</v>
      </c>
      <c r="BD370" s="60" t="n">
        <f aca="false">SUMPRODUCT($E$13:$P$13*(N370:Y370-1)/(1+BC370*(N370:Y370-1)))</f>
        <v>0</v>
      </c>
      <c r="BE370" s="60" t="n">
        <f aca="false">-SUMPRODUCT($E$13:$P$13*(N370:Y370-1)^2/(1+BC370*(N370:Y370-1))^2)</f>
        <v>-0</v>
      </c>
      <c r="BF370" s="60" t="n">
        <f aca="false">IF(OR(NOT(AB370),BE370=0),BC370,IF(BC370-BD370/BE370&lt;=AC370,(BC370+AC370)/2,IF(BC370-BD370/BE370&gt;=AD370,(BC370+AD370)/2,BC370-BD370/BE370)))</f>
        <v>1</v>
      </c>
      <c r="BG370" s="60" t="n">
        <f aca="false">SUMPRODUCT($E$13:$P$13*(N370:Y370-1)/(1+BF370*(N370:Y370-1)))</f>
        <v>0</v>
      </c>
      <c r="BH370" s="60" t="n">
        <f aca="false">-SUMPRODUCT($E$13:$P$13*(N370:Y370-1)^2/(1+BF370*(N370:Y370-1))^2)</f>
        <v>-0</v>
      </c>
      <c r="BI370" s="60" t="n">
        <f aca="false">IF(OR(NOT(AB370),BH370=0),BF370,IF(BF370-BG370/BH370&lt;=AC370,(BF370+AC370)/2,IF(BF370-BG370/BH370&gt;=AD370,(BF370+AD370)/2,BF370-BG370/BH370)))</f>
        <v>1</v>
      </c>
      <c r="BJ370" s="60" t="n">
        <f aca="false">$E$13/(1+BI370*(N370-1))</f>
        <v>1</v>
      </c>
      <c r="BK370" s="60" t="n">
        <f aca="false">$F$13/(1+BI370*(O370-1))</f>
        <v>0</v>
      </c>
      <c r="BL370" s="60" t="n">
        <f aca="false">$G$13/(1+BI370*(P370-1))</f>
        <v>0</v>
      </c>
      <c r="BM370" s="60" t="n">
        <f aca="false">$H$13/(1+BI370*(Q370-1))</f>
        <v>0</v>
      </c>
      <c r="BN370" s="60" t="n">
        <f aca="false">$I$13/(1+BI370*(R370-1))</f>
        <v>0</v>
      </c>
      <c r="BO370" s="60" t="n">
        <f aca="false">$J$13/(1+BI370*(S370-1))</f>
        <v>0</v>
      </c>
      <c r="BP370" s="60" t="n">
        <f aca="false">$K$13/(1+BI370*(T370-1))</f>
        <v>0</v>
      </c>
      <c r="BQ370" s="60" t="n">
        <f aca="false">$L$13/(1+BI370*(U370-1))</f>
        <v>0</v>
      </c>
      <c r="BR370" s="60" t="n">
        <f aca="false">$M$13/(1+BI370*(V370-1))</f>
        <v>0</v>
      </c>
      <c r="BS370" s="60" t="n">
        <f aca="false">$N$13/(1+BI370*(W370-1))</f>
        <v>0</v>
      </c>
      <c r="BT370" s="60" t="n">
        <f aca="false">$O$13/(1+BI370*(X370-1))</f>
        <v>0</v>
      </c>
      <c r="BU370" s="60" t="n">
        <f aca="false">$P$13/(1+BI370*(Y370-1))</f>
        <v>0</v>
      </c>
      <c r="BV370" s="60" t="n">
        <f aca="false">SUM(BJ370:BU370)</f>
        <v>1</v>
      </c>
      <c r="BW370" s="60" t="n">
        <f aca="false">SUMPRODUCT(N370:Y370,BJ370:BU370)</f>
        <v>1</v>
      </c>
      <c r="BX370" s="60" t="n">
        <f aca="false">BJ370/BV370</f>
        <v>1</v>
      </c>
      <c r="BY370" s="60" t="n">
        <f aca="false">BK370/BV370</f>
        <v>0</v>
      </c>
      <c r="BZ370" s="60" t="n">
        <f aca="false">BL370/BV370</f>
        <v>0</v>
      </c>
      <c r="CA370" s="60" t="n">
        <f aca="false">BM370/BV370</f>
        <v>0</v>
      </c>
      <c r="CB370" s="60" t="n">
        <f aca="false">BN370/BV370</f>
        <v>0</v>
      </c>
      <c r="CC370" s="60" t="n">
        <f aca="false">BO370/BV370</f>
        <v>0</v>
      </c>
      <c r="CD370" s="60" t="n">
        <f aca="false">BP370/BV370</f>
        <v>0</v>
      </c>
      <c r="CE370" s="60" t="n">
        <f aca="false">BQ370/BV370</f>
        <v>0</v>
      </c>
      <c r="CF370" s="60" t="n">
        <f aca="false">BR370/BV370</f>
        <v>0</v>
      </c>
      <c r="CG370" s="60" t="n">
        <f aca="false">BS370/BV370</f>
        <v>0</v>
      </c>
      <c r="CH370" s="60" t="n">
        <f aca="false">BT370/BV370</f>
        <v>0</v>
      </c>
      <c r="CI370" s="60" t="n">
        <f aca="false">BU370/BV370</f>
        <v>0</v>
      </c>
      <c r="CJ370" s="60" t="n">
        <f aca="false">N370*BJ370/BW370</f>
        <v>1</v>
      </c>
      <c r="CK370" s="60" t="n">
        <f aca="false">O370*BK370/BW370</f>
        <v>0</v>
      </c>
      <c r="CL370" s="60" t="n">
        <f aca="false">P370*BL370/BW370</f>
        <v>0</v>
      </c>
      <c r="CM370" s="60" t="n">
        <f aca="false">Q370*BM370/BW370</f>
        <v>0</v>
      </c>
      <c r="CN370" s="60" t="n">
        <f aca="false">R370*BN370/BW370</f>
        <v>0</v>
      </c>
      <c r="CO370" s="60" t="n">
        <f aca="false">S370*BO370/BW370</f>
        <v>0</v>
      </c>
      <c r="CP370" s="60" t="n">
        <f aca="false">T370*BP370/BW370</f>
        <v>0</v>
      </c>
      <c r="CQ370" s="60" t="n">
        <f aca="false">U370*BQ370/BW370</f>
        <v>0</v>
      </c>
      <c r="CR370" s="60" t="n">
        <f aca="false">V370*BR370/BW370</f>
        <v>0</v>
      </c>
      <c r="CS370" s="60" t="n">
        <f aca="false">W370*BS370/BW370</f>
        <v>0</v>
      </c>
      <c r="CT370" s="60" t="n">
        <f aca="false">X370*BT370/BW370</f>
        <v>0</v>
      </c>
      <c r="CU370" s="60" t="n">
        <f aca="false">Y370*BU370/BW370</f>
        <v>0</v>
      </c>
      <c r="CV370" s="60" t="n">
        <f aca="false">$E$28*SUMPRODUCT($E$31:$P$31,BX370:CI370,$E$28:$P$28)</f>
        <v>0.184416866619846</v>
      </c>
      <c r="CW370" s="60" t="n">
        <f aca="false">$F$28*SUMPRODUCT($E$32:$P$32,BX370:CI370,$E$28:$P$28)</f>
        <v>0</v>
      </c>
      <c r="CX370" s="60" t="n">
        <f aca="false">$G$28*SUMPRODUCT($E$33:$P$33,BX370:CI370,$E$28:$P$28)</f>
        <v>0</v>
      </c>
      <c r="CY370" s="60" t="n">
        <f aca="false">$H$28*SUMPRODUCT($E$34:$P$34,BX370:CI370,$E$28:$P$28)</f>
        <v>0</v>
      </c>
      <c r="CZ370" s="60" t="n">
        <f aca="false">$I$28*SUMPRODUCT($E$35:$P$35,BX370:CI370,$E$28:$P$28)</f>
        <v>0</v>
      </c>
      <c r="DA370" s="60" t="n">
        <f aca="false">$J$28*SUMPRODUCT($E$36:$P$36,BX370:CI370,$E$28:$P$28)</f>
        <v>0</v>
      </c>
      <c r="DB370" s="60" t="n">
        <f aca="false">$K$28*SUMPRODUCT($E$37:$P$37,BX370:CI370,$E$28:$P$28)</f>
        <v>0</v>
      </c>
      <c r="DC370" s="60" t="n">
        <f aca="false">$L$28*SUMPRODUCT($E$38:$P$38,BX370:CI370,$E$28:$P$28)</f>
        <v>0</v>
      </c>
      <c r="DD370" s="60" t="n">
        <f aca="false">$M$28*SUMPRODUCT($E$39:$P$39,BX370:CI370,$E$28:$P$28)</f>
        <v>0</v>
      </c>
      <c r="DE370" s="60" t="n">
        <f aca="false">$N$28*SUMPRODUCT($E$40:$P$40,BX370:CI370,$E$28:$P$28)</f>
        <v>0</v>
      </c>
      <c r="DF370" s="60" t="n">
        <f aca="false">$O$28*SUMPRODUCT($E$41:$P$41,BX370:CI370,$E$28:$P$28)</f>
        <v>0</v>
      </c>
      <c r="DG370" s="60" t="n">
        <f aca="false">$P$28*SUMPRODUCT($E$42:$P$42,BX370:CI370,$E$28:$P$28)</f>
        <v>0</v>
      </c>
      <c r="DH370" s="60" t="n">
        <f aca="false">SUMPRODUCT(BX370:CI370,CV370:DG370)</f>
        <v>0.184416866619846</v>
      </c>
      <c r="DI370" s="60" t="n">
        <f aca="false">SUMPRODUCT(BX370:CI370,$E$27:$P$27)</f>
        <v>2.67389635063809E-005</v>
      </c>
      <c r="DJ370" s="60" t="n">
        <f aca="false">DH370*$C$9/($C$10*$C$8)^2</f>
        <v>0.21776909410545</v>
      </c>
      <c r="DK370" s="60" t="n">
        <f aca="false">DI370*$C$9/($C$10*$C$8)</f>
        <v>0.0918845243259994</v>
      </c>
      <c r="DL370" s="60" t="n">
        <f aca="false">CHOOSE($C$7,-(1+DK370),-1,-(1-DK370))</f>
        <v>-0.908115475674001</v>
      </c>
      <c r="DM370" s="60" t="n">
        <f aca="false">CHOOSE($C$7,DJ370,DJ370-DK370-DK370^2,DJ370-3*DK370^2-2*DK370)</f>
        <v>0.00867174802160559</v>
      </c>
      <c r="DN370" s="60" t="n">
        <f aca="false">CHOOSE($C$7,-DJ370*DK370,-DJ370*DK370,-(DJ370*DK370-DK370^2-DK370^3))</f>
        <v>-0.0107910842936637</v>
      </c>
      <c r="DO370" s="60" t="n">
        <f aca="false">DM370-DL370^2/3</f>
        <v>-0.266219491031267</v>
      </c>
      <c r="DP370" s="60" t="n">
        <f aca="false">2*DL370^3/27-DL370*DM370/3+DN370</f>
        <v>-0.0636400988362784</v>
      </c>
      <c r="DQ370" s="60" t="n">
        <f aca="false">DP370^2/4+DO370^3/27</f>
        <v>0.000313710901361829</v>
      </c>
      <c r="DR370" s="60" t="n">
        <f aca="false">-DP370/2-IF(DP370&gt;=0,1,-1)*SQRT(MAX(DQ370,0))</f>
        <v>0.0495319352963236</v>
      </c>
      <c r="DS370" s="60" t="n">
        <f aca="false">SIGN(DR370)*ABS(DR370)^(1/3)</f>
        <v>0.367249967174439</v>
      </c>
      <c r="DT370" s="60" t="n">
        <f aca="false">IF(DS370=0,0,DS370-DO370/(3*DS370))</f>
        <v>0.60888329127384</v>
      </c>
      <c r="DU370" s="60" t="n">
        <f aca="false">2*SQRT(MAX(-DO370,0)/3)</f>
        <v>0.595784626668918</v>
      </c>
      <c r="DV370" s="60" t="n">
        <f aca="false">ACOS(IF(DU370=0,0,MAX(-1,MIN(1,3*DP370/(DO370*DU370)))))</f>
        <v>0</v>
      </c>
      <c r="DW370" s="60" t="n">
        <f aca="false">DU370*COS(DV370/3)</f>
        <v>0.595784626668918</v>
      </c>
      <c r="DX370" s="60" t="n">
        <f aca="false">IF(DQ370&lt;0,DW370,DT370)-DL370/3</f>
        <v>0.91158844983184</v>
      </c>
      <c r="DY370" s="60" t="n">
        <f aca="false">IFERROR((((DX370+DL370)*DX370+DM370)*DX370+DN370)/((3*DX370+2*DL370)*DX370+DM370),0)</f>
        <v>0</v>
      </c>
      <c r="DZ370" s="60" t="n">
        <f aca="false">IF(ABS(DY370)&lt;0.1*ABS(DX370),DX370-DY370,DX370)</f>
        <v>0.91158844983184</v>
      </c>
      <c r="EA370" s="60" t="n">
        <f aca="false">IFERROR((((DZ370+DL370)*DZ370+DM370)*DZ370+DN370)/((3*DZ370+2*DL370)*DZ370+DM370),0)</f>
        <v>0</v>
      </c>
      <c r="EB370" s="60" t="n">
        <f aca="false">IF(ABS(EA370)&lt;0.1*ABS(DZ370),DZ370-EA370,DZ370)</f>
        <v>0.91158844983184</v>
      </c>
      <c r="EC370" s="60" t="n">
        <f aca="false">-DN370/EB370</f>
        <v>0.0118376711504565</v>
      </c>
      <c r="ED370" s="60" t="n">
        <f aca="false">(DM370-EC370)/EB370</f>
        <v>-0.00347297415783941</v>
      </c>
      <c r="EE370" s="60" t="n">
        <f aca="false">ED370^2-4*EC370</f>
        <v>-0.0473386230523248</v>
      </c>
      <c r="EF370" s="60" t="n">
        <f aca="false">IF(EE370&gt;=0,(ED370+IF(ED370&gt;=0,1,-1)*SQRT(EE370))/2,0)</f>
        <v>0</v>
      </c>
      <c r="EG370" s="60" t="n">
        <f aca="false">IF(AND(EE370&gt;=0,EF370&lt;&gt;0),MIN(EF370,EC370/EF370),-1)</f>
        <v>-1</v>
      </c>
      <c r="EH370" s="60" t="n">
        <f aca="false">AND(EE370&gt;=0,EG370&gt;DK370,ABS(EB370-EG370)&gt;=0.00005*MAX(EB370,EG370))</f>
        <v>0</v>
      </c>
      <c r="EI370" s="60" t="n">
        <f aca="false">IF(EH370,IFERROR((((EG370+DL370)*EG370+DM370)*EG370+DN370)/((3*EG370+2*DL370)*EG370+DM370),0),0)</f>
        <v>0</v>
      </c>
      <c r="EJ370" s="60" t="n">
        <f aca="false">IF(ABS(EI370)&lt;0.1*ABS(EG370),EG370-EI370,EG370)</f>
        <v>-1</v>
      </c>
      <c r="EK370" s="60" t="n">
        <f aca="false">IF(EH370,IFERROR((((EJ370+DL370)*EJ370+DM370)*EJ370+DN370)/((3*EJ370+2*DL370)*EJ370+DM370),0),0)</f>
        <v>0</v>
      </c>
      <c r="EL370" s="60" t="n">
        <f aca="false">IF(ABS(EK370)&lt;0.1*ABS(EJ370),EJ370-EK370,EJ370)</f>
        <v>-1</v>
      </c>
      <c r="EM370" s="60" t="n">
        <f aca="false">IF(EH370,MAX(EB370,EL370),EB370)</f>
        <v>0.91158844983184</v>
      </c>
      <c r="EN370" s="60" t="n">
        <f aca="false">IF(EH370,MIN(EB370,EL370),-1)</f>
        <v>-1</v>
      </c>
      <c r="EO370" s="60" t="n">
        <f aca="false">CHOOSE($C$7,DJ370/EM370,DJ370/DK370*LN(1+DK370/EM370),DJ370/(2*SQRT(2)*DK370)*LN((EM370+(1+SQRT(2))*DK370)/(EM370+(1-SQRT(2))*DK370)))</f>
        <v>0.218240791233887</v>
      </c>
      <c r="EP370" s="60" t="n">
        <f aca="false">EM370-1-LN(EM370-DK370)-EO370</f>
        <v>-0.107840271021729</v>
      </c>
      <c r="EQ370" s="60" t="n">
        <f aca="false">IF(EH370,CHOOSE($C$7,DJ370/EN370,DJ370/DK370*LN(1+DK370/EN370),DJ370/(2*SQRT(2)*DK370)*LN((EN370+(1+SQRT(2))*DK370)/(EN370+(1-SQRT(2))*DK370))),0)</f>
        <v>0</v>
      </c>
      <c r="ER370" s="60" t="n">
        <f aca="false">IF(EH370,EN370-1-LN(EN370-DK370)-EQ370,0)</f>
        <v>0</v>
      </c>
      <c r="ES370" s="60" t="n">
        <f aca="false">AND(EH370,ER370&lt;EP370)</f>
        <v>0</v>
      </c>
      <c r="ET370" s="60" t="n">
        <f aca="false">IF(ES370,EN370,EM370)</f>
        <v>0.91158844983184</v>
      </c>
      <c r="EU370" s="60" t="n">
        <f aca="false">IF(ES370,EQ370,EO370)</f>
        <v>0.218240791233887</v>
      </c>
      <c r="EV370" s="60" t="n">
        <f aca="false">LN(ET370-DK370)</f>
        <v>-0.198812070380318</v>
      </c>
      <c r="EW370" s="60" t="n">
        <f aca="false">$E$27/DI370*(ET370-1)-EV370-EU370*(2*CV370/DH370-$E$27/DI370)</f>
        <v>-0.107840271021729</v>
      </c>
      <c r="EX370" s="60" t="n">
        <f aca="false">$F$27/DI370*(ET370-1)-EV370-EU370*(2*CW370/DH370-$F$27/DI370)</f>
        <v>0.198812070380318</v>
      </c>
      <c r="EY370" s="60" t="n">
        <f aca="false">$G$27/DI370*(ET370-1)-EV370-EU370*(2*CX370/DH370-$G$27/DI370)</f>
        <v>0.198812070380318</v>
      </c>
      <c r="EZ370" s="60" t="n">
        <f aca="false">$H$27/DI370*(ET370-1)-EV370-EU370*(2*CY370/DH370-$H$27/DI370)</f>
        <v>0.198812070380318</v>
      </c>
      <c r="FA370" s="60" t="n">
        <f aca="false">$I$27/DI370*(ET370-1)-EV370-EU370*(2*CZ370/DH370-$I$27/DI370)</f>
        <v>0.198812070380318</v>
      </c>
      <c r="FB370" s="60" t="n">
        <f aca="false">$J$27/DI370*(ET370-1)-EV370-EU370*(2*DA370/DH370-$J$27/DI370)</f>
        <v>0.198812070380318</v>
      </c>
      <c r="FC370" s="60" t="n">
        <f aca="false">$K$27/DI370*(ET370-1)-EV370-EU370*(2*DB370/DH370-$K$27/DI370)</f>
        <v>0.198812070380318</v>
      </c>
      <c r="FD370" s="60" t="n">
        <f aca="false">$L$27/DI370*(ET370-1)-EV370-EU370*(2*DC370/DH370-$L$27/DI370)</f>
        <v>0.198812070380318</v>
      </c>
      <c r="FE370" s="60" t="n">
        <f aca="false">$M$27/DI370*(ET370-1)-EV370-EU370*(2*DD370/DH370-$M$27/DI370)</f>
        <v>0.198812070380318</v>
      </c>
      <c r="FF370" s="60" t="n">
        <f aca="false">$N$27/DI370*(ET370-1)-EV370-EU370*(2*DE370/DH370-$N$27/DI370)</f>
        <v>0.198812070380318</v>
      </c>
      <c r="FG370" s="60" t="n">
        <f aca="false">$O$27/DI370*(ET370-1)-EV370-EU370*(2*DF370/DH370-$O$27/DI370)</f>
        <v>0.198812070380318</v>
      </c>
      <c r="FH370" s="60" t="n">
        <f aca="false">$P$27/DI370*(ET370-1)-EV370-EU370*(2*DG370/DH370-$P$27/DI370)</f>
        <v>0.198812070380318</v>
      </c>
      <c r="FI370" s="60" t="n">
        <f aca="false">DK370/ET370&gt;$C$22</f>
        <v>0</v>
      </c>
      <c r="FJ370" s="60" t="n">
        <f aca="false">$E$28*SUMPRODUCT($E$31:$P$31,CJ370:CU370,$E$28:$P$28)</f>
        <v>0.184416866619846</v>
      </c>
      <c r="FK370" s="60" t="n">
        <f aca="false">$F$28*SUMPRODUCT($E$32:$P$32,CJ370:CU370,$E$28:$P$28)</f>
        <v>0</v>
      </c>
      <c r="FL370" s="60" t="n">
        <f aca="false">$G$28*SUMPRODUCT($E$33:$P$33,CJ370:CU370,$E$28:$P$28)</f>
        <v>0</v>
      </c>
      <c r="FM370" s="60" t="n">
        <f aca="false">$H$28*SUMPRODUCT($E$34:$P$34,CJ370:CU370,$E$28:$P$28)</f>
        <v>0</v>
      </c>
      <c r="FN370" s="60" t="n">
        <f aca="false">$I$28*SUMPRODUCT($E$35:$P$35,CJ370:CU370,$E$28:$P$28)</f>
        <v>0</v>
      </c>
      <c r="FO370" s="60" t="n">
        <f aca="false">$J$28*SUMPRODUCT($E$36:$P$36,CJ370:CU370,$E$28:$P$28)</f>
        <v>0</v>
      </c>
      <c r="FP370" s="60" t="n">
        <f aca="false">$K$28*SUMPRODUCT($E$37:$P$37,CJ370:CU370,$E$28:$P$28)</f>
        <v>0</v>
      </c>
      <c r="FQ370" s="60" t="n">
        <f aca="false">$L$28*SUMPRODUCT($E$38:$P$38,CJ370:CU370,$E$28:$P$28)</f>
        <v>0</v>
      </c>
      <c r="FR370" s="60" t="n">
        <f aca="false">$M$28*SUMPRODUCT($E$39:$P$39,CJ370:CU370,$E$28:$P$28)</f>
        <v>0</v>
      </c>
      <c r="FS370" s="60" t="n">
        <f aca="false">$N$28*SUMPRODUCT($E$40:$P$40,CJ370:CU370,$E$28:$P$28)</f>
        <v>0</v>
      </c>
      <c r="FT370" s="60" t="n">
        <f aca="false">$O$28*SUMPRODUCT($E$41:$P$41,CJ370:CU370,$E$28:$P$28)</f>
        <v>0</v>
      </c>
      <c r="FU370" s="60" t="n">
        <f aca="false">$P$28*SUMPRODUCT($E$42:$P$42,CJ370:CU370,$E$28:$P$28)</f>
        <v>0</v>
      </c>
      <c r="FV370" s="60" t="n">
        <f aca="false">SUMPRODUCT(CJ370:CU370,FJ370:FU370)</f>
        <v>0.184416866619846</v>
      </c>
      <c r="FW370" s="60" t="n">
        <f aca="false">SUMPRODUCT(CJ370:CU370,$E$27:$P$27)</f>
        <v>2.67389635063809E-005</v>
      </c>
      <c r="FX370" s="60" t="n">
        <f aca="false">FV370*$C$9/($C$10*$C$8)^2</f>
        <v>0.21776909410545</v>
      </c>
      <c r="FY370" s="60" t="n">
        <f aca="false">FW370*$C$9/($C$10*$C$8)</f>
        <v>0.0918845243259994</v>
      </c>
      <c r="FZ370" s="60" t="n">
        <f aca="false">CHOOSE($C$7,-(1+FY370),-1,-(1-FY370))</f>
        <v>-0.908115475674001</v>
      </c>
      <c r="GA370" s="60" t="n">
        <f aca="false">CHOOSE($C$7,FX370,FX370-FY370-FY370^2,FX370-3*FY370^2-2*FY370)</f>
        <v>0.00867174802160559</v>
      </c>
      <c r="GB370" s="60" t="n">
        <f aca="false">CHOOSE($C$7,-FX370*FY370,-FX370*FY370,-(FX370*FY370-FY370^2-FY370^3))</f>
        <v>-0.0107910842936637</v>
      </c>
      <c r="GC370" s="60" t="n">
        <f aca="false">GA370-FZ370^2/3</f>
        <v>-0.266219491031267</v>
      </c>
      <c r="GD370" s="60" t="n">
        <f aca="false">2*FZ370^3/27-FZ370*GA370/3+GB370</f>
        <v>-0.0636400988362784</v>
      </c>
      <c r="GE370" s="60" t="n">
        <f aca="false">GD370^2/4+GC370^3/27</f>
        <v>0.000313710901361829</v>
      </c>
      <c r="GF370" s="60" t="n">
        <f aca="false">-GD370/2-IF(GD370&gt;=0,1,-1)*SQRT(MAX(GE370,0))</f>
        <v>0.0495319352963236</v>
      </c>
      <c r="GG370" s="60" t="n">
        <f aca="false">SIGN(GF370)*ABS(GF370)^(1/3)</f>
        <v>0.367249967174439</v>
      </c>
      <c r="GH370" s="60" t="n">
        <f aca="false">IF(GG370=0,0,GG370-GC370/(3*GG370))</f>
        <v>0.60888329127384</v>
      </c>
      <c r="GI370" s="60" t="n">
        <f aca="false">2*SQRT(MAX(-GC370,0)/3)</f>
        <v>0.595784626668918</v>
      </c>
      <c r="GJ370" s="60" t="n">
        <f aca="false">ACOS(IF(GI370=0,0,MAX(-1,MIN(1,3*GD370/(GC370*GI370)))))</f>
        <v>0</v>
      </c>
      <c r="GK370" s="60" t="n">
        <f aca="false">GI370*COS(GJ370/3)</f>
        <v>0.595784626668918</v>
      </c>
      <c r="GL370" s="60" t="n">
        <f aca="false">IF(GE370&lt;0,GK370,GH370)-FZ370/3</f>
        <v>0.91158844983184</v>
      </c>
      <c r="GM370" s="60" t="n">
        <f aca="false">IFERROR((((GL370+FZ370)*GL370+GA370)*GL370+GB370)/((3*GL370+2*FZ370)*GL370+GA370),0)</f>
        <v>0</v>
      </c>
      <c r="GN370" s="60" t="n">
        <f aca="false">IF(ABS(GM370)&lt;0.1*ABS(GL370),GL370-GM370,GL370)</f>
        <v>0.91158844983184</v>
      </c>
      <c r="GO370" s="60" t="n">
        <f aca="false">IFERROR((((GN370+FZ370)*GN370+GA370)*GN370+GB370)/((3*GN370+2*FZ370)*GN370+GA370),0)</f>
        <v>0</v>
      </c>
      <c r="GP370" s="60" t="n">
        <f aca="false">IF(ABS(GO370)&lt;0.1*ABS(GN370),GN370-GO370,GN370)</f>
        <v>0.91158844983184</v>
      </c>
      <c r="GQ370" s="60" t="n">
        <f aca="false">-GB370/GP370</f>
        <v>0.0118376711504565</v>
      </c>
      <c r="GR370" s="60" t="n">
        <f aca="false">(GA370-GQ370)/GP370</f>
        <v>-0.00347297415783941</v>
      </c>
      <c r="GS370" s="60" t="n">
        <f aca="false">GR370^2-4*GQ370</f>
        <v>-0.0473386230523248</v>
      </c>
      <c r="GT370" s="60" t="n">
        <f aca="false">IF(GS370&gt;=0,(GR370+IF(GR370&gt;=0,1,-1)*SQRT(GS370))/2,0)</f>
        <v>0</v>
      </c>
      <c r="GU370" s="60" t="n">
        <f aca="false">IF(AND(GS370&gt;=0,GT370&lt;&gt;0),MIN(GT370,GQ370/GT370),-1)</f>
        <v>-1</v>
      </c>
      <c r="GV370" s="60" t="n">
        <f aca="false">AND(GS370&gt;=0,GU370&gt;FY370,ABS(GP370-GU370)&gt;=0.00005*MAX(GP370,GU370))</f>
        <v>0</v>
      </c>
      <c r="GW370" s="60" t="n">
        <f aca="false">IF(GV370,IFERROR((((GU370+FZ370)*GU370+GA370)*GU370+GB370)/((3*GU370+2*FZ370)*GU370+GA370),0),0)</f>
        <v>0</v>
      </c>
      <c r="GX370" s="60" t="n">
        <f aca="false">IF(ABS(GW370)&lt;0.1*ABS(GU370),GU370-GW370,GU370)</f>
        <v>-1</v>
      </c>
      <c r="GY370" s="60" t="n">
        <f aca="false">IF(GV370,IFERROR((((GX370+FZ370)*GX370+GA370)*GX370+GB370)/((3*GX370+2*FZ370)*GX370+GA370),0),0)</f>
        <v>0</v>
      </c>
      <c r="GZ370" s="60" t="n">
        <f aca="false">IF(ABS(GY370)&lt;0.1*ABS(GX370),GX370-GY370,GX370)</f>
        <v>-1</v>
      </c>
      <c r="HA370" s="60" t="n">
        <f aca="false">IF(GV370,MAX(GP370,GZ370),GP370)</f>
        <v>0.91158844983184</v>
      </c>
      <c r="HB370" s="60" t="n">
        <f aca="false">IF(GV370,MIN(GP370,GZ370),-1)</f>
        <v>-1</v>
      </c>
      <c r="HC370" s="60" t="n">
        <f aca="false">CHOOSE($C$7,FX370/HA370,FX370/FY370*LN(1+FY370/HA370),FX370/(2*SQRT(2)*FY370)*LN((HA370+(1+SQRT(2))*FY370)/(HA370+(1-SQRT(2))*FY370)))</f>
        <v>0.218240791233887</v>
      </c>
      <c r="HD370" s="60" t="n">
        <f aca="false">HA370-1-LN(HA370-FY370)-HC370</f>
        <v>-0.107840271021729</v>
      </c>
      <c r="HE370" s="60" t="n">
        <f aca="false">IF(GV370,CHOOSE($C$7,FX370/HB370,FX370/FY370*LN(1+FY370/HB370),FX370/(2*SQRT(2)*FY370)*LN((HB370+(1+SQRT(2))*FY370)/(HB370+(1-SQRT(2))*FY370))),0)</f>
        <v>0</v>
      </c>
      <c r="HF370" s="60" t="n">
        <f aca="false">IF(GV370,HB370-1-LN(HB370-FY370)-HE370,0)</f>
        <v>0</v>
      </c>
      <c r="HG370" s="60" t="n">
        <f aca="false">AND(GV370,HF370&lt;HD370)</f>
        <v>0</v>
      </c>
      <c r="HH370" s="60" t="n">
        <f aca="false">IF(HG370,HB370,HA370)</f>
        <v>0.91158844983184</v>
      </c>
      <c r="HI370" s="60" t="n">
        <f aca="false">IF(HG370,HE370,HC370)</f>
        <v>0.218240791233887</v>
      </c>
      <c r="HJ370" s="60" t="n">
        <f aca="false">LN(HH370-FY370)</f>
        <v>-0.198812070380318</v>
      </c>
      <c r="HK370" s="60" t="n">
        <f aca="false">$E$27/FW370*(HH370-1)-HJ370-HI370*(2*FJ370/FV370-$E$27/FW370)</f>
        <v>-0.107840271021729</v>
      </c>
      <c r="HL370" s="60" t="n">
        <f aca="false">$F$27/FW370*(HH370-1)-HJ370-HI370*(2*FK370/FV370-$F$27/FW370)</f>
        <v>0.198812070380318</v>
      </c>
      <c r="HM370" s="60" t="n">
        <f aca="false">$G$27/FW370*(HH370-1)-HJ370-HI370*(2*FL370/FV370-$G$27/FW370)</f>
        <v>0.198812070380318</v>
      </c>
      <c r="HN370" s="60" t="n">
        <f aca="false">$H$27/FW370*(HH370-1)-HJ370-HI370*(2*FM370/FV370-$H$27/FW370)</f>
        <v>0.198812070380318</v>
      </c>
      <c r="HO370" s="60" t="n">
        <f aca="false">$I$27/FW370*(HH370-1)-HJ370-HI370*(2*FN370/FV370-$I$27/FW370)</f>
        <v>0.198812070380318</v>
      </c>
      <c r="HP370" s="60" t="n">
        <f aca="false">$J$27/FW370*(HH370-1)-HJ370-HI370*(2*FO370/FV370-$J$27/FW370)</f>
        <v>0.198812070380318</v>
      </c>
      <c r="HQ370" s="60" t="n">
        <f aca="false">$K$27/FW370*(HH370-1)-HJ370-HI370*(2*FP370/FV370-$K$27/FW370)</f>
        <v>0.198812070380318</v>
      </c>
      <c r="HR370" s="60" t="n">
        <f aca="false">$L$27/FW370*(HH370-1)-HJ370-HI370*(2*FQ370/FV370-$L$27/FW370)</f>
        <v>0.198812070380318</v>
      </c>
      <c r="HS370" s="60" t="n">
        <f aca="false">$M$27/FW370*(HH370-1)-HJ370-HI370*(2*FR370/FV370-$M$27/FW370)</f>
        <v>0.198812070380318</v>
      </c>
      <c r="HT370" s="60" t="n">
        <f aca="false">$N$27/FW370*(HH370-1)-HJ370-HI370*(2*FS370/FV370-$N$27/FW370)</f>
        <v>0.198812070380318</v>
      </c>
      <c r="HU370" s="60" t="n">
        <f aca="false">$O$27/FW370*(HH370-1)-HJ370-HI370*(2*FT370/FV370-$O$27/FW370)</f>
        <v>0.198812070380318</v>
      </c>
      <c r="HV370" s="60" t="n">
        <f aca="false">$P$27/FW370*(HH370-1)-HJ370-HI370*(2*FU370/FV370-$P$27/FW370)</f>
        <v>0.198812070380318</v>
      </c>
      <c r="HW370" s="60" t="n">
        <f aca="false">FY370/HH370&gt;$C$22</f>
        <v>0</v>
      </c>
      <c r="HX370" s="60" t="n">
        <f aca="false">IF($E$13&gt;0,MAX(-300,MIN(300,EW370-HK370)),0)</f>
        <v>0</v>
      </c>
      <c r="HY370" s="60" t="n">
        <f aca="false">IF($F$13&gt;0,MAX(-300,MIN(300,EX370-HL370)),0)</f>
        <v>0</v>
      </c>
      <c r="HZ370" s="60" t="n">
        <f aca="false">IF($G$13&gt;0,MAX(-300,MIN(300,EY370-HM370)),0)</f>
        <v>0</v>
      </c>
      <c r="IA370" s="60" t="n">
        <f aca="false">IF($H$13&gt;0,MAX(-300,MIN(300,EZ370-HN370)),0)</f>
        <v>0</v>
      </c>
      <c r="IB370" s="60" t="n">
        <f aca="false">IF($I$13&gt;0,MAX(-300,MIN(300,FA370-HO370)),0)</f>
        <v>0</v>
      </c>
      <c r="IC370" s="60" t="n">
        <f aca="false">IF($J$13&gt;0,MAX(-300,MIN(300,FB370-HP370)),0)</f>
        <v>0</v>
      </c>
      <c r="ID370" s="60" t="n">
        <f aca="false">IF($K$13&gt;0,MAX(-300,MIN(300,FC370-HQ370)),0)</f>
        <v>0</v>
      </c>
      <c r="IE370" s="60" t="n">
        <f aca="false">IF($L$13&gt;0,MAX(-300,MIN(300,FD370-HR370)),0)</f>
        <v>0</v>
      </c>
      <c r="IF370" s="60" t="n">
        <f aca="false">IF($M$13&gt;0,MAX(-300,MIN(300,FE370-HS370)),0)</f>
        <v>0</v>
      </c>
      <c r="IG370" s="60" t="n">
        <f aca="false">IF($N$13&gt;0,MAX(-300,MIN(300,FF370-HT370)),0)</f>
        <v>0</v>
      </c>
      <c r="IH370" s="60" t="n">
        <f aca="false">IF($O$13&gt;0,MAX(-300,MIN(300,FG370-HU370)),0)</f>
        <v>0</v>
      </c>
      <c r="II370" s="60" t="n">
        <f aca="false">IF($P$13&gt;0,MAX(-300,MIN(300,FH370-HV370)),0)</f>
        <v>0</v>
      </c>
      <c r="IJ370" s="60" t="n">
        <f aca="false">SUMXMY2(HX370:II370,B370:M370)</f>
        <v>0</v>
      </c>
      <c r="IK370" s="60" t="n">
        <f aca="false">SUMSQ(B370:M370)</f>
        <v>0</v>
      </c>
    </row>
    <row r="371" customFormat="false" ht="15" hidden="false" customHeight="false" outlineLevel="0" collapsed="false">
      <c r="A371" s="59" t="n">
        <v>10</v>
      </c>
      <c r="B371" s="60" t="n">
        <f aca="false">HX370</f>
        <v>0</v>
      </c>
      <c r="C371" s="60" t="n">
        <f aca="false">HY370</f>
        <v>0</v>
      </c>
      <c r="D371" s="60" t="n">
        <f aca="false">HZ370</f>
        <v>0</v>
      </c>
      <c r="E371" s="60" t="n">
        <f aca="false">IA370</f>
        <v>0</v>
      </c>
      <c r="F371" s="60" t="n">
        <f aca="false">IB370</f>
        <v>0</v>
      </c>
      <c r="G371" s="60" t="n">
        <f aca="false">IC370</f>
        <v>0</v>
      </c>
      <c r="H371" s="60" t="n">
        <f aca="false">ID370</f>
        <v>0</v>
      </c>
      <c r="I371" s="60" t="n">
        <f aca="false">IE370</f>
        <v>0</v>
      </c>
      <c r="J371" s="60" t="n">
        <f aca="false">IF370</f>
        <v>0</v>
      </c>
      <c r="K371" s="60" t="n">
        <f aca="false">IG370</f>
        <v>0</v>
      </c>
      <c r="L371" s="60" t="n">
        <f aca="false">IH370</f>
        <v>0</v>
      </c>
      <c r="M371" s="60" t="n">
        <f aca="false">II370</f>
        <v>0</v>
      </c>
      <c r="N371" s="60" t="n">
        <f aca="false">EXP(B371)</f>
        <v>1</v>
      </c>
      <c r="O371" s="60" t="n">
        <f aca="false">EXP(C371)</f>
        <v>1</v>
      </c>
      <c r="P371" s="60" t="n">
        <f aca="false">EXP(D371)</f>
        <v>1</v>
      </c>
      <c r="Q371" s="60" t="n">
        <f aca="false">EXP(E371)</f>
        <v>1</v>
      </c>
      <c r="R371" s="60" t="n">
        <f aca="false">EXP(F371)</f>
        <v>1</v>
      </c>
      <c r="S371" s="60" t="n">
        <f aca="false">EXP(G371)</f>
        <v>1</v>
      </c>
      <c r="T371" s="60" t="n">
        <f aca="false">EXP(H371)</f>
        <v>1</v>
      </c>
      <c r="U371" s="60" t="n">
        <f aca="false">EXP(I371)</f>
        <v>1</v>
      </c>
      <c r="V371" s="60" t="n">
        <f aca="false">EXP(J371)</f>
        <v>1</v>
      </c>
      <c r="W371" s="60" t="n">
        <f aca="false">EXP(K371)</f>
        <v>1</v>
      </c>
      <c r="X371" s="60" t="n">
        <f aca="false">EXP(L371)</f>
        <v>1</v>
      </c>
      <c r="Y371" s="60" t="n">
        <f aca="false">EXP(M371)</f>
        <v>1</v>
      </c>
      <c r="Z371" s="60" t="n">
        <f aca="false">MAX(N371:Y371)</f>
        <v>1</v>
      </c>
      <c r="AA371" s="60" t="n">
        <f aca="false">MIN(N371:Y371)</f>
        <v>1</v>
      </c>
      <c r="AB371" s="60" t="n">
        <f aca="false">AND(Z371&gt;1,AA371&lt;1)</f>
        <v>0</v>
      </c>
      <c r="AC371" s="60" t="n">
        <f aca="false">IF(AB371,1/(1-Z371),0)</f>
        <v>0</v>
      </c>
      <c r="AD371" s="60" t="n">
        <f aca="false">IF(AB371,1/(1-AA371),1)</f>
        <v>1</v>
      </c>
      <c r="AE371" s="60" t="n">
        <f aca="false">IF(AB371,MIN(MAX(BI370,AC371+0.000000001*(AD371-AC371)),AD371-0.000000001*(AD371-AC371)),IF(AA371&gt;=1,1,0))</f>
        <v>1</v>
      </c>
      <c r="AF371" s="60" t="n">
        <f aca="false">SUMPRODUCT($E$13:$P$13*(N371:Y371-1)/(1+AE371*(N371:Y371-1)))</f>
        <v>0</v>
      </c>
      <c r="AG371" s="60" t="n">
        <f aca="false">-SUMPRODUCT($E$13:$P$13*(N371:Y371-1)^2/(1+AE371*(N371:Y371-1))^2)</f>
        <v>-0</v>
      </c>
      <c r="AH371" s="60" t="n">
        <f aca="false">IF(OR(NOT(AB371),AG371=0),AE371,IF(AE371-AF371/AG371&lt;=AC371,(AE371+AC371)/2,IF(AE371-AF371/AG371&gt;=AD371,(AE371+AD371)/2,AE371-AF371/AG371)))</f>
        <v>1</v>
      </c>
      <c r="AI371" s="60" t="n">
        <f aca="false">SUMPRODUCT($E$13:$P$13*(N371:Y371-1)/(1+AH371*(N371:Y371-1)))</f>
        <v>0</v>
      </c>
      <c r="AJ371" s="60" t="n">
        <f aca="false">-SUMPRODUCT($E$13:$P$13*(N371:Y371-1)^2/(1+AH371*(N371:Y371-1))^2)</f>
        <v>-0</v>
      </c>
      <c r="AK371" s="60" t="n">
        <f aca="false">IF(OR(NOT(AB371),AJ371=0),AH371,IF(AH371-AI371/AJ371&lt;=AC371,(AH371+AC371)/2,IF(AH371-AI371/AJ371&gt;=AD371,(AH371+AD371)/2,AH371-AI371/AJ371)))</f>
        <v>1</v>
      </c>
      <c r="AL371" s="60" t="n">
        <f aca="false">SUMPRODUCT($E$13:$P$13*(N371:Y371-1)/(1+AK371*(N371:Y371-1)))</f>
        <v>0</v>
      </c>
      <c r="AM371" s="60" t="n">
        <f aca="false">-SUMPRODUCT($E$13:$P$13*(N371:Y371-1)^2/(1+AK371*(N371:Y371-1))^2)</f>
        <v>-0</v>
      </c>
      <c r="AN371" s="60" t="n">
        <f aca="false">IF(OR(NOT(AB371),AM371=0),AK371,IF(AK371-AL371/AM371&lt;=AC371,(AK371+AC371)/2,IF(AK371-AL371/AM371&gt;=AD371,(AK371+AD371)/2,AK371-AL371/AM371)))</f>
        <v>1</v>
      </c>
      <c r="AO371" s="60" t="n">
        <f aca="false">SUMPRODUCT($E$13:$P$13*(N371:Y371-1)/(1+AN371*(N371:Y371-1)))</f>
        <v>0</v>
      </c>
      <c r="AP371" s="60" t="n">
        <f aca="false">-SUMPRODUCT($E$13:$P$13*(N371:Y371-1)^2/(1+AN371*(N371:Y371-1))^2)</f>
        <v>-0</v>
      </c>
      <c r="AQ371" s="60" t="n">
        <f aca="false">IF(OR(NOT(AB371),AP371=0),AN371,IF(AN371-AO371/AP371&lt;=AC371,(AN371+AC371)/2,IF(AN371-AO371/AP371&gt;=AD371,(AN371+AD371)/2,AN371-AO371/AP371)))</f>
        <v>1</v>
      </c>
      <c r="AR371" s="60" t="n">
        <f aca="false">SUMPRODUCT($E$13:$P$13*(N371:Y371-1)/(1+AQ371*(N371:Y371-1)))</f>
        <v>0</v>
      </c>
      <c r="AS371" s="60" t="n">
        <f aca="false">-SUMPRODUCT($E$13:$P$13*(N371:Y371-1)^2/(1+AQ371*(N371:Y371-1))^2)</f>
        <v>-0</v>
      </c>
      <c r="AT371" s="60" t="n">
        <f aca="false">IF(OR(NOT(AB371),AS371=0),AQ371,IF(AQ371-AR371/AS371&lt;=AC371,(AQ371+AC371)/2,IF(AQ371-AR371/AS371&gt;=AD371,(AQ371+AD371)/2,AQ371-AR371/AS371)))</f>
        <v>1</v>
      </c>
      <c r="AU371" s="60" t="n">
        <f aca="false">SUMPRODUCT($E$13:$P$13*(N371:Y371-1)/(1+AT371*(N371:Y371-1)))</f>
        <v>0</v>
      </c>
      <c r="AV371" s="60" t="n">
        <f aca="false">-SUMPRODUCT($E$13:$P$13*(N371:Y371-1)^2/(1+AT371*(N371:Y371-1))^2)</f>
        <v>-0</v>
      </c>
      <c r="AW371" s="60" t="n">
        <f aca="false">IF(OR(NOT(AB371),AV371=0),AT371,IF(AT371-AU371/AV371&lt;=AC371,(AT371+AC371)/2,IF(AT371-AU371/AV371&gt;=AD371,(AT371+AD371)/2,AT371-AU371/AV371)))</f>
        <v>1</v>
      </c>
      <c r="AX371" s="60" t="n">
        <f aca="false">SUMPRODUCT($E$13:$P$13*(N371:Y371-1)/(1+AW371*(N371:Y371-1)))</f>
        <v>0</v>
      </c>
      <c r="AY371" s="60" t="n">
        <f aca="false">-SUMPRODUCT($E$13:$P$13*(N371:Y371-1)^2/(1+AW371*(N371:Y371-1))^2)</f>
        <v>-0</v>
      </c>
      <c r="AZ371" s="60" t="n">
        <f aca="false">IF(OR(NOT(AB371),AY371=0),AW371,IF(AW371-AX371/AY371&lt;=AC371,(AW371+AC371)/2,IF(AW371-AX371/AY371&gt;=AD371,(AW371+AD371)/2,AW371-AX371/AY371)))</f>
        <v>1</v>
      </c>
      <c r="BA371" s="60" t="n">
        <f aca="false">SUMPRODUCT($E$13:$P$13*(N371:Y371-1)/(1+AZ371*(N371:Y371-1)))</f>
        <v>0</v>
      </c>
      <c r="BB371" s="60" t="n">
        <f aca="false">-SUMPRODUCT($E$13:$P$13*(N371:Y371-1)^2/(1+AZ371*(N371:Y371-1))^2)</f>
        <v>-0</v>
      </c>
      <c r="BC371" s="60" t="n">
        <f aca="false">IF(OR(NOT(AB371),BB371=0),AZ371,IF(AZ371-BA371/BB371&lt;=AC371,(AZ371+AC371)/2,IF(AZ371-BA371/BB371&gt;=AD371,(AZ371+AD371)/2,AZ371-BA371/BB371)))</f>
        <v>1</v>
      </c>
      <c r="BD371" s="60" t="n">
        <f aca="false">SUMPRODUCT($E$13:$P$13*(N371:Y371-1)/(1+BC371*(N371:Y371-1)))</f>
        <v>0</v>
      </c>
      <c r="BE371" s="60" t="n">
        <f aca="false">-SUMPRODUCT($E$13:$P$13*(N371:Y371-1)^2/(1+BC371*(N371:Y371-1))^2)</f>
        <v>-0</v>
      </c>
      <c r="BF371" s="60" t="n">
        <f aca="false">IF(OR(NOT(AB371),BE371=0),BC371,IF(BC371-BD371/BE371&lt;=AC371,(BC371+AC371)/2,IF(BC371-BD371/BE371&gt;=AD371,(BC371+AD371)/2,BC371-BD371/BE371)))</f>
        <v>1</v>
      </c>
      <c r="BG371" s="60" t="n">
        <f aca="false">SUMPRODUCT($E$13:$P$13*(N371:Y371-1)/(1+BF371*(N371:Y371-1)))</f>
        <v>0</v>
      </c>
      <c r="BH371" s="60" t="n">
        <f aca="false">-SUMPRODUCT($E$13:$P$13*(N371:Y371-1)^2/(1+BF371*(N371:Y371-1))^2)</f>
        <v>-0</v>
      </c>
      <c r="BI371" s="60" t="n">
        <f aca="false">IF(OR(NOT(AB371),BH371=0),BF371,IF(BF371-BG371/BH371&lt;=AC371,(BF371+AC371)/2,IF(BF371-BG371/BH371&gt;=AD371,(BF371+AD371)/2,BF371-BG371/BH371)))</f>
        <v>1</v>
      </c>
      <c r="BJ371" s="60" t="n">
        <f aca="false">$E$13/(1+BI371*(N371-1))</f>
        <v>1</v>
      </c>
      <c r="BK371" s="60" t="n">
        <f aca="false">$F$13/(1+BI371*(O371-1))</f>
        <v>0</v>
      </c>
      <c r="BL371" s="60" t="n">
        <f aca="false">$G$13/(1+BI371*(P371-1))</f>
        <v>0</v>
      </c>
      <c r="BM371" s="60" t="n">
        <f aca="false">$H$13/(1+BI371*(Q371-1))</f>
        <v>0</v>
      </c>
      <c r="BN371" s="60" t="n">
        <f aca="false">$I$13/(1+BI371*(R371-1))</f>
        <v>0</v>
      </c>
      <c r="BO371" s="60" t="n">
        <f aca="false">$J$13/(1+BI371*(S371-1))</f>
        <v>0</v>
      </c>
      <c r="BP371" s="60" t="n">
        <f aca="false">$K$13/(1+BI371*(T371-1))</f>
        <v>0</v>
      </c>
      <c r="BQ371" s="60" t="n">
        <f aca="false">$L$13/(1+BI371*(U371-1))</f>
        <v>0</v>
      </c>
      <c r="BR371" s="60" t="n">
        <f aca="false">$M$13/(1+BI371*(V371-1))</f>
        <v>0</v>
      </c>
      <c r="BS371" s="60" t="n">
        <f aca="false">$N$13/(1+BI371*(W371-1))</f>
        <v>0</v>
      </c>
      <c r="BT371" s="60" t="n">
        <f aca="false">$O$13/(1+BI371*(X371-1))</f>
        <v>0</v>
      </c>
      <c r="BU371" s="60" t="n">
        <f aca="false">$P$13/(1+BI371*(Y371-1))</f>
        <v>0</v>
      </c>
      <c r="BV371" s="60" t="n">
        <f aca="false">SUM(BJ371:BU371)</f>
        <v>1</v>
      </c>
      <c r="BW371" s="60" t="n">
        <f aca="false">SUMPRODUCT(N371:Y371,BJ371:BU371)</f>
        <v>1</v>
      </c>
      <c r="BX371" s="60" t="n">
        <f aca="false">BJ371/BV371</f>
        <v>1</v>
      </c>
      <c r="BY371" s="60" t="n">
        <f aca="false">BK371/BV371</f>
        <v>0</v>
      </c>
      <c r="BZ371" s="60" t="n">
        <f aca="false">BL371/BV371</f>
        <v>0</v>
      </c>
      <c r="CA371" s="60" t="n">
        <f aca="false">BM371/BV371</f>
        <v>0</v>
      </c>
      <c r="CB371" s="60" t="n">
        <f aca="false">BN371/BV371</f>
        <v>0</v>
      </c>
      <c r="CC371" s="60" t="n">
        <f aca="false">BO371/BV371</f>
        <v>0</v>
      </c>
      <c r="CD371" s="60" t="n">
        <f aca="false">BP371/BV371</f>
        <v>0</v>
      </c>
      <c r="CE371" s="60" t="n">
        <f aca="false">BQ371/BV371</f>
        <v>0</v>
      </c>
      <c r="CF371" s="60" t="n">
        <f aca="false">BR371/BV371</f>
        <v>0</v>
      </c>
      <c r="CG371" s="60" t="n">
        <f aca="false">BS371/BV371</f>
        <v>0</v>
      </c>
      <c r="CH371" s="60" t="n">
        <f aca="false">BT371/BV371</f>
        <v>0</v>
      </c>
      <c r="CI371" s="60" t="n">
        <f aca="false">BU371/BV371</f>
        <v>0</v>
      </c>
      <c r="CJ371" s="60" t="n">
        <f aca="false">N371*BJ371/BW371</f>
        <v>1</v>
      </c>
      <c r="CK371" s="60" t="n">
        <f aca="false">O371*BK371/BW371</f>
        <v>0</v>
      </c>
      <c r="CL371" s="60" t="n">
        <f aca="false">P371*BL371/BW371</f>
        <v>0</v>
      </c>
      <c r="CM371" s="60" t="n">
        <f aca="false">Q371*BM371/BW371</f>
        <v>0</v>
      </c>
      <c r="CN371" s="60" t="n">
        <f aca="false">R371*BN371/BW371</f>
        <v>0</v>
      </c>
      <c r="CO371" s="60" t="n">
        <f aca="false">S371*BO371/BW371</f>
        <v>0</v>
      </c>
      <c r="CP371" s="60" t="n">
        <f aca="false">T371*BP371/BW371</f>
        <v>0</v>
      </c>
      <c r="CQ371" s="60" t="n">
        <f aca="false">U371*BQ371/BW371</f>
        <v>0</v>
      </c>
      <c r="CR371" s="60" t="n">
        <f aca="false">V371*BR371/BW371</f>
        <v>0</v>
      </c>
      <c r="CS371" s="60" t="n">
        <f aca="false">W371*BS371/BW371</f>
        <v>0</v>
      </c>
      <c r="CT371" s="60" t="n">
        <f aca="false">X371*BT371/BW371</f>
        <v>0</v>
      </c>
      <c r="CU371" s="60" t="n">
        <f aca="false">Y371*BU371/BW371</f>
        <v>0</v>
      </c>
      <c r="CV371" s="60" t="n">
        <f aca="false">$E$28*SUMPRODUCT($E$31:$P$31,BX371:CI371,$E$28:$P$28)</f>
        <v>0.184416866619846</v>
      </c>
      <c r="CW371" s="60" t="n">
        <f aca="false">$F$28*SUMPRODUCT($E$32:$P$32,BX371:CI371,$E$28:$P$28)</f>
        <v>0</v>
      </c>
      <c r="CX371" s="60" t="n">
        <f aca="false">$G$28*SUMPRODUCT($E$33:$P$33,BX371:CI371,$E$28:$P$28)</f>
        <v>0</v>
      </c>
      <c r="CY371" s="60" t="n">
        <f aca="false">$H$28*SUMPRODUCT($E$34:$P$34,BX371:CI371,$E$28:$P$28)</f>
        <v>0</v>
      </c>
      <c r="CZ371" s="60" t="n">
        <f aca="false">$I$28*SUMPRODUCT($E$35:$P$35,BX371:CI371,$E$28:$P$28)</f>
        <v>0</v>
      </c>
      <c r="DA371" s="60" t="n">
        <f aca="false">$J$28*SUMPRODUCT($E$36:$P$36,BX371:CI371,$E$28:$P$28)</f>
        <v>0</v>
      </c>
      <c r="DB371" s="60" t="n">
        <f aca="false">$K$28*SUMPRODUCT($E$37:$P$37,BX371:CI371,$E$28:$P$28)</f>
        <v>0</v>
      </c>
      <c r="DC371" s="60" t="n">
        <f aca="false">$L$28*SUMPRODUCT($E$38:$P$38,BX371:CI371,$E$28:$P$28)</f>
        <v>0</v>
      </c>
      <c r="DD371" s="60" t="n">
        <f aca="false">$M$28*SUMPRODUCT($E$39:$P$39,BX371:CI371,$E$28:$P$28)</f>
        <v>0</v>
      </c>
      <c r="DE371" s="60" t="n">
        <f aca="false">$N$28*SUMPRODUCT($E$40:$P$40,BX371:CI371,$E$28:$P$28)</f>
        <v>0</v>
      </c>
      <c r="DF371" s="60" t="n">
        <f aca="false">$O$28*SUMPRODUCT($E$41:$P$41,BX371:CI371,$E$28:$P$28)</f>
        <v>0</v>
      </c>
      <c r="DG371" s="60" t="n">
        <f aca="false">$P$28*SUMPRODUCT($E$42:$P$42,BX371:CI371,$E$28:$P$28)</f>
        <v>0</v>
      </c>
      <c r="DH371" s="60" t="n">
        <f aca="false">SUMPRODUCT(BX371:CI371,CV371:DG371)</f>
        <v>0.184416866619846</v>
      </c>
      <c r="DI371" s="60" t="n">
        <f aca="false">SUMPRODUCT(BX371:CI371,$E$27:$P$27)</f>
        <v>2.67389635063809E-005</v>
      </c>
      <c r="DJ371" s="60" t="n">
        <f aca="false">DH371*$C$9/($C$10*$C$8)^2</f>
        <v>0.21776909410545</v>
      </c>
      <c r="DK371" s="60" t="n">
        <f aca="false">DI371*$C$9/($C$10*$C$8)</f>
        <v>0.0918845243259994</v>
      </c>
      <c r="DL371" s="60" t="n">
        <f aca="false">CHOOSE($C$7,-(1+DK371),-1,-(1-DK371))</f>
        <v>-0.908115475674001</v>
      </c>
      <c r="DM371" s="60" t="n">
        <f aca="false">CHOOSE($C$7,DJ371,DJ371-DK371-DK371^2,DJ371-3*DK371^2-2*DK371)</f>
        <v>0.00867174802160559</v>
      </c>
      <c r="DN371" s="60" t="n">
        <f aca="false">CHOOSE($C$7,-DJ371*DK371,-DJ371*DK371,-(DJ371*DK371-DK371^2-DK371^3))</f>
        <v>-0.0107910842936637</v>
      </c>
      <c r="DO371" s="60" t="n">
        <f aca="false">DM371-DL371^2/3</f>
        <v>-0.266219491031267</v>
      </c>
      <c r="DP371" s="60" t="n">
        <f aca="false">2*DL371^3/27-DL371*DM371/3+DN371</f>
        <v>-0.0636400988362784</v>
      </c>
      <c r="DQ371" s="60" t="n">
        <f aca="false">DP371^2/4+DO371^3/27</f>
        <v>0.000313710901361829</v>
      </c>
      <c r="DR371" s="60" t="n">
        <f aca="false">-DP371/2-IF(DP371&gt;=0,1,-1)*SQRT(MAX(DQ371,0))</f>
        <v>0.0495319352963236</v>
      </c>
      <c r="DS371" s="60" t="n">
        <f aca="false">SIGN(DR371)*ABS(DR371)^(1/3)</f>
        <v>0.367249967174439</v>
      </c>
      <c r="DT371" s="60" t="n">
        <f aca="false">IF(DS371=0,0,DS371-DO371/(3*DS371))</f>
        <v>0.60888329127384</v>
      </c>
      <c r="DU371" s="60" t="n">
        <f aca="false">2*SQRT(MAX(-DO371,0)/3)</f>
        <v>0.595784626668918</v>
      </c>
      <c r="DV371" s="60" t="n">
        <f aca="false">ACOS(IF(DU371=0,0,MAX(-1,MIN(1,3*DP371/(DO371*DU371)))))</f>
        <v>0</v>
      </c>
      <c r="DW371" s="60" t="n">
        <f aca="false">DU371*COS(DV371/3)</f>
        <v>0.595784626668918</v>
      </c>
      <c r="DX371" s="60" t="n">
        <f aca="false">IF(DQ371&lt;0,DW371,DT371)-DL371/3</f>
        <v>0.91158844983184</v>
      </c>
      <c r="DY371" s="60" t="n">
        <f aca="false">IFERROR((((DX371+DL371)*DX371+DM371)*DX371+DN371)/((3*DX371+2*DL371)*DX371+DM371),0)</f>
        <v>0</v>
      </c>
      <c r="DZ371" s="60" t="n">
        <f aca="false">IF(ABS(DY371)&lt;0.1*ABS(DX371),DX371-DY371,DX371)</f>
        <v>0.91158844983184</v>
      </c>
      <c r="EA371" s="60" t="n">
        <f aca="false">IFERROR((((DZ371+DL371)*DZ371+DM371)*DZ371+DN371)/((3*DZ371+2*DL371)*DZ371+DM371),0)</f>
        <v>0</v>
      </c>
      <c r="EB371" s="60" t="n">
        <f aca="false">IF(ABS(EA371)&lt;0.1*ABS(DZ371),DZ371-EA371,DZ371)</f>
        <v>0.91158844983184</v>
      </c>
      <c r="EC371" s="60" t="n">
        <f aca="false">-DN371/EB371</f>
        <v>0.0118376711504565</v>
      </c>
      <c r="ED371" s="60" t="n">
        <f aca="false">(DM371-EC371)/EB371</f>
        <v>-0.00347297415783941</v>
      </c>
      <c r="EE371" s="60" t="n">
        <f aca="false">ED371^2-4*EC371</f>
        <v>-0.0473386230523248</v>
      </c>
      <c r="EF371" s="60" t="n">
        <f aca="false">IF(EE371&gt;=0,(ED371+IF(ED371&gt;=0,1,-1)*SQRT(EE371))/2,0)</f>
        <v>0</v>
      </c>
      <c r="EG371" s="60" t="n">
        <f aca="false">IF(AND(EE371&gt;=0,EF371&lt;&gt;0),MIN(EF371,EC371/EF371),-1)</f>
        <v>-1</v>
      </c>
      <c r="EH371" s="60" t="n">
        <f aca="false">AND(EE371&gt;=0,EG371&gt;DK371,ABS(EB371-EG371)&gt;=0.00005*MAX(EB371,EG371))</f>
        <v>0</v>
      </c>
      <c r="EI371" s="60" t="n">
        <f aca="false">IF(EH371,IFERROR((((EG371+DL371)*EG371+DM371)*EG371+DN371)/((3*EG371+2*DL371)*EG371+DM371),0),0)</f>
        <v>0</v>
      </c>
      <c r="EJ371" s="60" t="n">
        <f aca="false">IF(ABS(EI371)&lt;0.1*ABS(EG371),EG371-EI371,EG371)</f>
        <v>-1</v>
      </c>
      <c r="EK371" s="60" t="n">
        <f aca="false">IF(EH371,IFERROR((((EJ371+DL371)*EJ371+DM371)*EJ371+DN371)/((3*EJ371+2*DL371)*EJ371+DM371),0),0)</f>
        <v>0</v>
      </c>
      <c r="EL371" s="60" t="n">
        <f aca="false">IF(ABS(EK371)&lt;0.1*ABS(EJ371),EJ371-EK371,EJ371)</f>
        <v>-1</v>
      </c>
      <c r="EM371" s="60" t="n">
        <f aca="false">IF(EH371,MAX(EB371,EL371),EB371)</f>
        <v>0.91158844983184</v>
      </c>
      <c r="EN371" s="60" t="n">
        <f aca="false">IF(EH371,MIN(EB371,EL371),-1)</f>
        <v>-1</v>
      </c>
      <c r="EO371" s="60" t="n">
        <f aca="false">CHOOSE($C$7,DJ371/EM371,DJ371/DK371*LN(1+DK371/EM371),DJ371/(2*SQRT(2)*DK371)*LN((EM371+(1+SQRT(2))*DK371)/(EM371+(1-SQRT(2))*DK371)))</f>
        <v>0.218240791233887</v>
      </c>
      <c r="EP371" s="60" t="n">
        <f aca="false">EM371-1-LN(EM371-DK371)-EO371</f>
        <v>-0.107840271021729</v>
      </c>
      <c r="EQ371" s="60" t="n">
        <f aca="false">IF(EH371,CHOOSE($C$7,DJ371/EN371,DJ371/DK371*LN(1+DK371/EN371),DJ371/(2*SQRT(2)*DK371)*LN((EN371+(1+SQRT(2))*DK371)/(EN371+(1-SQRT(2))*DK371))),0)</f>
        <v>0</v>
      </c>
      <c r="ER371" s="60" t="n">
        <f aca="false">IF(EH371,EN371-1-LN(EN371-DK371)-EQ371,0)</f>
        <v>0</v>
      </c>
      <c r="ES371" s="60" t="n">
        <f aca="false">AND(EH371,ER371&lt;EP371)</f>
        <v>0</v>
      </c>
      <c r="ET371" s="60" t="n">
        <f aca="false">IF(ES371,EN371,EM371)</f>
        <v>0.91158844983184</v>
      </c>
      <c r="EU371" s="60" t="n">
        <f aca="false">IF(ES371,EQ371,EO371)</f>
        <v>0.218240791233887</v>
      </c>
      <c r="EV371" s="60" t="n">
        <f aca="false">LN(ET371-DK371)</f>
        <v>-0.198812070380318</v>
      </c>
      <c r="EW371" s="60" t="n">
        <f aca="false">$E$27/DI371*(ET371-1)-EV371-EU371*(2*CV371/DH371-$E$27/DI371)</f>
        <v>-0.107840271021729</v>
      </c>
      <c r="EX371" s="60" t="n">
        <f aca="false">$F$27/DI371*(ET371-1)-EV371-EU371*(2*CW371/DH371-$F$27/DI371)</f>
        <v>0.198812070380318</v>
      </c>
      <c r="EY371" s="60" t="n">
        <f aca="false">$G$27/DI371*(ET371-1)-EV371-EU371*(2*CX371/DH371-$G$27/DI371)</f>
        <v>0.198812070380318</v>
      </c>
      <c r="EZ371" s="60" t="n">
        <f aca="false">$H$27/DI371*(ET371-1)-EV371-EU371*(2*CY371/DH371-$H$27/DI371)</f>
        <v>0.198812070380318</v>
      </c>
      <c r="FA371" s="60" t="n">
        <f aca="false">$I$27/DI371*(ET371-1)-EV371-EU371*(2*CZ371/DH371-$I$27/DI371)</f>
        <v>0.198812070380318</v>
      </c>
      <c r="FB371" s="60" t="n">
        <f aca="false">$J$27/DI371*(ET371-1)-EV371-EU371*(2*DA371/DH371-$J$27/DI371)</f>
        <v>0.198812070380318</v>
      </c>
      <c r="FC371" s="60" t="n">
        <f aca="false">$K$27/DI371*(ET371-1)-EV371-EU371*(2*DB371/DH371-$K$27/DI371)</f>
        <v>0.198812070380318</v>
      </c>
      <c r="FD371" s="60" t="n">
        <f aca="false">$L$27/DI371*(ET371-1)-EV371-EU371*(2*DC371/DH371-$L$27/DI371)</f>
        <v>0.198812070380318</v>
      </c>
      <c r="FE371" s="60" t="n">
        <f aca="false">$M$27/DI371*(ET371-1)-EV371-EU371*(2*DD371/DH371-$M$27/DI371)</f>
        <v>0.198812070380318</v>
      </c>
      <c r="FF371" s="60" t="n">
        <f aca="false">$N$27/DI371*(ET371-1)-EV371-EU371*(2*DE371/DH371-$N$27/DI371)</f>
        <v>0.198812070380318</v>
      </c>
      <c r="FG371" s="60" t="n">
        <f aca="false">$O$27/DI371*(ET371-1)-EV371-EU371*(2*DF371/DH371-$O$27/DI371)</f>
        <v>0.198812070380318</v>
      </c>
      <c r="FH371" s="60" t="n">
        <f aca="false">$P$27/DI371*(ET371-1)-EV371-EU371*(2*DG371/DH371-$P$27/DI371)</f>
        <v>0.198812070380318</v>
      </c>
      <c r="FI371" s="60" t="n">
        <f aca="false">DK371/ET371&gt;$C$22</f>
        <v>0</v>
      </c>
      <c r="FJ371" s="60" t="n">
        <f aca="false">$E$28*SUMPRODUCT($E$31:$P$31,CJ371:CU371,$E$28:$P$28)</f>
        <v>0.184416866619846</v>
      </c>
      <c r="FK371" s="60" t="n">
        <f aca="false">$F$28*SUMPRODUCT($E$32:$P$32,CJ371:CU371,$E$28:$P$28)</f>
        <v>0</v>
      </c>
      <c r="FL371" s="60" t="n">
        <f aca="false">$G$28*SUMPRODUCT($E$33:$P$33,CJ371:CU371,$E$28:$P$28)</f>
        <v>0</v>
      </c>
      <c r="FM371" s="60" t="n">
        <f aca="false">$H$28*SUMPRODUCT($E$34:$P$34,CJ371:CU371,$E$28:$P$28)</f>
        <v>0</v>
      </c>
      <c r="FN371" s="60" t="n">
        <f aca="false">$I$28*SUMPRODUCT($E$35:$P$35,CJ371:CU371,$E$28:$P$28)</f>
        <v>0</v>
      </c>
      <c r="FO371" s="60" t="n">
        <f aca="false">$J$28*SUMPRODUCT($E$36:$P$36,CJ371:CU371,$E$28:$P$28)</f>
        <v>0</v>
      </c>
      <c r="FP371" s="60" t="n">
        <f aca="false">$K$28*SUMPRODUCT($E$37:$P$37,CJ371:CU371,$E$28:$P$28)</f>
        <v>0</v>
      </c>
      <c r="FQ371" s="60" t="n">
        <f aca="false">$L$28*SUMPRODUCT($E$38:$P$38,CJ371:CU371,$E$28:$P$28)</f>
        <v>0</v>
      </c>
      <c r="FR371" s="60" t="n">
        <f aca="false">$M$28*SUMPRODUCT($E$39:$P$39,CJ371:CU371,$E$28:$P$28)</f>
        <v>0</v>
      </c>
      <c r="FS371" s="60" t="n">
        <f aca="false">$N$28*SUMPRODUCT($E$40:$P$40,CJ371:CU371,$E$28:$P$28)</f>
        <v>0</v>
      </c>
      <c r="FT371" s="60" t="n">
        <f aca="false">$O$28*SUMPRODUCT($E$41:$P$41,CJ371:CU371,$E$28:$P$28)</f>
        <v>0</v>
      </c>
      <c r="FU371" s="60" t="n">
        <f aca="false">$P$28*SUMPRODUCT($E$42:$P$42,CJ371:CU371,$E$28:$P$28)</f>
        <v>0</v>
      </c>
      <c r="FV371" s="60" t="n">
        <f aca="false">SUMPRODUCT(CJ371:CU371,FJ371:FU371)</f>
        <v>0.184416866619846</v>
      </c>
      <c r="FW371" s="60" t="n">
        <f aca="false">SUMPRODUCT(CJ371:CU371,$E$27:$P$27)</f>
        <v>2.67389635063809E-005</v>
      </c>
      <c r="FX371" s="60" t="n">
        <f aca="false">FV371*$C$9/($C$10*$C$8)^2</f>
        <v>0.21776909410545</v>
      </c>
      <c r="FY371" s="60" t="n">
        <f aca="false">FW371*$C$9/($C$10*$C$8)</f>
        <v>0.0918845243259994</v>
      </c>
      <c r="FZ371" s="60" t="n">
        <f aca="false">CHOOSE($C$7,-(1+FY371),-1,-(1-FY371))</f>
        <v>-0.908115475674001</v>
      </c>
      <c r="GA371" s="60" t="n">
        <f aca="false">CHOOSE($C$7,FX371,FX371-FY371-FY371^2,FX371-3*FY371^2-2*FY371)</f>
        <v>0.00867174802160559</v>
      </c>
      <c r="GB371" s="60" t="n">
        <f aca="false">CHOOSE($C$7,-FX371*FY371,-FX371*FY371,-(FX371*FY371-FY371^2-FY371^3))</f>
        <v>-0.0107910842936637</v>
      </c>
      <c r="GC371" s="60" t="n">
        <f aca="false">GA371-FZ371^2/3</f>
        <v>-0.266219491031267</v>
      </c>
      <c r="GD371" s="60" t="n">
        <f aca="false">2*FZ371^3/27-FZ371*GA371/3+GB371</f>
        <v>-0.0636400988362784</v>
      </c>
      <c r="GE371" s="60" t="n">
        <f aca="false">GD371^2/4+GC371^3/27</f>
        <v>0.000313710901361829</v>
      </c>
      <c r="GF371" s="60" t="n">
        <f aca="false">-GD371/2-IF(GD371&gt;=0,1,-1)*SQRT(MAX(GE371,0))</f>
        <v>0.0495319352963236</v>
      </c>
      <c r="GG371" s="60" t="n">
        <f aca="false">SIGN(GF371)*ABS(GF371)^(1/3)</f>
        <v>0.367249967174439</v>
      </c>
      <c r="GH371" s="60" t="n">
        <f aca="false">IF(GG371=0,0,GG371-GC371/(3*GG371))</f>
        <v>0.60888329127384</v>
      </c>
      <c r="GI371" s="60" t="n">
        <f aca="false">2*SQRT(MAX(-GC371,0)/3)</f>
        <v>0.595784626668918</v>
      </c>
      <c r="GJ371" s="60" t="n">
        <f aca="false">ACOS(IF(GI371=0,0,MAX(-1,MIN(1,3*GD371/(GC371*GI371)))))</f>
        <v>0</v>
      </c>
      <c r="GK371" s="60" t="n">
        <f aca="false">GI371*COS(GJ371/3)</f>
        <v>0.595784626668918</v>
      </c>
      <c r="GL371" s="60" t="n">
        <f aca="false">IF(GE371&lt;0,GK371,GH371)-FZ371/3</f>
        <v>0.91158844983184</v>
      </c>
      <c r="GM371" s="60" t="n">
        <f aca="false">IFERROR((((GL371+FZ371)*GL371+GA371)*GL371+GB371)/((3*GL371+2*FZ371)*GL371+GA371),0)</f>
        <v>0</v>
      </c>
      <c r="GN371" s="60" t="n">
        <f aca="false">IF(ABS(GM371)&lt;0.1*ABS(GL371),GL371-GM371,GL371)</f>
        <v>0.91158844983184</v>
      </c>
      <c r="GO371" s="60" t="n">
        <f aca="false">IFERROR((((GN371+FZ371)*GN371+GA371)*GN371+GB371)/((3*GN371+2*FZ371)*GN371+GA371),0)</f>
        <v>0</v>
      </c>
      <c r="GP371" s="60" t="n">
        <f aca="false">IF(ABS(GO371)&lt;0.1*ABS(GN371),GN371-GO371,GN371)</f>
        <v>0.91158844983184</v>
      </c>
      <c r="GQ371" s="60" t="n">
        <f aca="false">-GB371/GP371</f>
        <v>0.0118376711504565</v>
      </c>
      <c r="GR371" s="60" t="n">
        <f aca="false">(GA371-GQ371)/GP371</f>
        <v>-0.00347297415783941</v>
      </c>
      <c r="GS371" s="60" t="n">
        <f aca="false">GR371^2-4*GQ371</f>
        <v>-0.0473386230523248</v>
      </c>
      <c r="GT371" s="60" t="n">
        <f aca="false">IF(GS371&gt;=0,(GR371+IF(GR371&gt;=0,1,-1)*SQRT(GS371))/2,0)</f>
        <v>0</v>
      </c>
      <c r="GU371" s="60" t="n">
        <f aca="false">IF(AND(GS371&gt;=0,GT371&lt;&gt;0),MIN(GT371,GQ371/GT371),-1)</f>
        <v>-1</v>
      </c>
      <c r="GV371" s="60" t="n">
        <f aca="false">AND(GS371&gt;=0,GU371&gt;FY371,ABS(GP371-GU371)&gt;=0.00005*MAX(GP371,GU371))</f>
        <v>0</v>
      </c>
      <c r="GW371" s="60" t="n">
        <f aca="false">IF(GV371,IFERROR((((GU371+FZ371)*GU371+GA371)*GU371+GB371)/((3*GU371+2*FZ371)*GU371+GA371),0),0)</f>
        <v>0</v>
      </c>
      <c r="GX371" s="60" t="n">
        <f aca="false">IF(ABS(GW371)&lt;0.1*ABS(GU371),GU371-GW371,GU371)</f>
        <v>-1</v>
      </c>
      <c r="GY371" s="60" t="n">
        <f aca="false">IF(GV371,IFERROR((((GX371+FZ371)*GX371+GA371)*GX371+GB371)/((3*GX371+2*FZ371)*GX371+GA371),0),0)</f>
        <v>0</v>
      </c>
      <c r="GZ371" s="60" t="n">
        <f aca="false">IF(ABS(GY371)&lt;0.1*ABS(GX371),GX371-GY371,GX371)</f>
        <v>-1</v>
      </c>
      <c r="HA371" s="60" t="n">
        <f aca="false">IF(GV371,MAX(GP371,GZ371),GP371)</f>
        <v>0.91158844983184</v>
      </c>
      <c r="HB371" s="60" t="n">
        <f aca="false">IF(GV371,MIN(GP371,GZ371),-1)</f>
        <v>-1</v>
      </c>
      <c r="HC371" s="60" t="n">
        <f aca="false">CHOOSE($C$7,FX371/HA371,FX371/FY371*LN(1+FY371/HA371),FX371/(2*SQRT(2)*FY371)*LN((HA371+(1+SQRT(2))*FY371)/(HA371+(1-SQRT(2))*FY371)))</f>
        <v>0.218240791233887</v>
      </c>
      <c r="HD371" s="60" t="n">
        <f aca="false">HA371-1-LN(HA371-FY371)-HC371</f>
        <v>-0.107840271021729</v>
      </c>
      <c r="HE371" s="60" t="n">
        <f aca="false">IF(GV371,CHOOSE($C$7,FX371/HB371,FX371/FY371*LN(1+FY371/HB371),FX371/(2*SQRT(2)*FY371)*LN((HB371+(1+SQRT(2))*FY371)/(HB371+(1-SQRT(2))*FY371))),0)</f>
        <v>0</v>
      </c>
      <c r="HF371" s="60" t="n">
        <f aca="false">IF(GV371,HB371-1-LN(HB371-FY371)-HE371,0)</f>
        <v>0</v>
      </c>
      <c r="HG371" s="60" t="n">
        <f aca="false">AND(GV371,HF371&lt;HD371)</f>
        <v>0</v>
      </c>
      <c r="HH371" s="60" t="n">
        <f aca="false">IF(HG371,HB371,HA371)</f>
        <v>0.91158844983184</v>
      </c>
      <c r="HI371" s="60" t="n">
        <f aca="false">IF(HG371,HE371,HC371)</f>
        <v>0.218240791233887</v>
      </c>
      <c r="HJ371" s="60" t="n">
        <f aca="false">LN(HH371-FY371)</f>
        <v>-0.198812070380318</v>
      </c>
      <c r="HK371" s="60" t="n">
        <f aca="false">$E$27/FW371*(HH371-1)-HJ371-HI371*(2*FJ371/FV371-$E$27/FW371)</f>
        <v>-0.107840271021729</v>
      </c>
      <c r="HL371" s="60" t="n">
        <f aca="false">$F$27/FW371*(HH371-1)-HJ371-HI371*(2*FK371/FV371-$F$27/FW371)</f>
        <v>0.198812070380318</v>
      </c>
      <c r="HM371" s="60" t="n">
        <f aca="false">$G$27/FW371*(HH371-1)-HJ371-HI371*(2*FL371/FV371-$G$27/FW371)</f>
        <v>0.198812070380318</v>
      </c>
      <c r="HN371" s="60" t="n">
        <f aca="false">$H$27/FW371*(HH371-1)-HJ371-HI371*(2*FM371/FV371-$H$27/FW371)</f>
        <v>0.198812070380318</v>
      </c>
      <c r="HO371" s="60" t="n">
        <f aca="false">$I$27/FW371*(HH371-1)-HJ371-HI371*(2*FN371/FV371-$I$27/FW371)</f>
        <v>0.198812070380318</v>
      </c>
      <c r="HP371" s="60" t="n">
        <f aca="false">$J$27/FW371*(HH371-1)-HJ371-HI371*(2*FO371/FV371-$J$27/FW371)</f>
        <v>0.198812070380318</v>
      </c>
      <c r="HQ371" s="60" t="n">
        <f aca="false">$K$27/FW371*(HH371-1)-HJ371-HI371*(2*FP371/FV371-$K$27/FW371)</f>
        <v>0.198812070380318</v>
      </c>
      <c r="HR371" s="60" t="n">
        <f aca="false">$L$27/FW371*(HH371-1)-HJ371-HI371*(2*FQ371/FV371-$L$27/FW371)</f>
        <v>0.198812070380318</v>
      </c>
      <c r="HS371" s="60" t="n">
        <f aca="false">$M$27/FW371*(HH371-1)-HJ371-HI371*(2*FR371/FV371-$M$27/FW371)</f>
        <v>0.198812070380318</v>
      </c>
      <c r="HT371" s="60" t="n">
        <f aca="false">$N$27/FW371*(HH371-1)-HJ371-HI371*(2*FS371/FV371-$N$27/FW371)</f>
        <v>0.198812070380318</v>
      </c>
      <c r="HU371" s="60" t="n">
        <f aca="false">$O$27/FW371*(HH371-1)-HJ371-HI371*(2*FT371/FV371-$O$27/FW371)</f>
        <v>0.198812070380318</v>
      </c>
      <c r="HV371" s="60" t="n">
        <f aca="false">$P$27/FW371*(HH371-1)-HJ371-HI371*(2*FU371/FV371-$P$27/FW371)</f>
        <v>0.198812070380318</v>
      </c>
      <c r="HW371" s="60" t="n">
        <f aca="false">FY371/HH371&gt;$C$22</f>
        <v>0</v>
      </c>
      <c r="HX371" s="60" t="n">
        <f aca="false">IF($E$13&gt;0,MAX(-300,MIN(300,EW371-HK371)),0)</f>
        <v>0</v>
      </c>
      <c r="HY371" s="60" t="n">
        <f aca="false">IF($F$13&gt;0,MAX(-300,MIN(300,EX371-HL371)),0)</f>
        <v>0</v>
      </c>
      <c r="HZ371" s="60" t="n">
        <f aca="false">IF($G$13&gt;0,MAX(-300,MIN(300,EY371-HM371)),0)</f>
        <v>0</v>
      </c>
      <c r="IA371" s="60" t="n">
        <f aca="false">IF($H$13&gt;0,MAX(-300,MIN(300,EZ371-HN371)),0)</f>
        <v>0</v>
      </c>
      <c r="IB371" s="60" t="n">
        <f aca="false">IF($I$13&gt;0,MAX(-300,MIN(300,FA371-HO371)),0)</f>
        <v>0</v>
      </c>
      <c r="IC371" s="60" t="n">
        <f aca="false">IF($J$13&gt;0,MAX(-300,MIN(300,FB371-HP371)),0)</f>
        <v>0</v>
      </c>
      <c r="ID371" s="60" t="n">
        <f aca="false">IF($K$13&gt;0,MAX(-300,MIN(300,FC371-HQ371)),0)</f>
        <v>0</v>
      </c>
      <c r="IE371" s="60" t="n">
        <f aca="false">IF($L$13&gt;0,MAX(-300,MIN(300,FD371-HR371)),0)</f>
        <v>0</v>
      </c>
      <c r="IF371" s="60" t="n">
        <f aca="false">IF($M$13&gt;0,MAX(-300,MIN(300,FE371-HS371)),0)</f>
        <v>0</v>
      </c>
      <c r="IG371" s="60" t="n">
        <f aca="false">IF($N$13&gt;0,MAX(-300,MIN(300,FF371-HT371)),0)</f>
        <v>0</v>
      </c>
      <c r="IH371" s="60" t="n">
        <f aca="false">IF($O$13&gt;0,MAX(-300,MIN(300,FG371-HU371)),0)</f>
        <v>0</v>
      </c>
      <c r="II371" s="60" t="n">
        <f aca="false">IF($P$13&gt;0,MAX(-300,MIN(300,FH371-HV371)),0)</f>
        <v>0</v>
      </c>
      <c r="IJ371" s="60" t="n">
        <f aca="false">SUMXMY2(HX371:II371,B371:M371)</f>
        <v>0</v>
      </c>
      <c r="IK371" s="60" t="n">
        <f aca="false">SUMSQ(B371:M371)</f>
        <v>0</v>
      </c>
    </row>
    <row r="372" customFormat="false" ht="15" hidden="false" customHeight="false" outlineLevel="0" collapsed="false">
      <c r="A372" s="59" t="n">
        <v>11</v>
      </c>
      <c r="B372" s="60" t="n">
        <f aca="false">HX371</f>
        <v>0</v>
      </c>
      <c r="C372" s="60" t="n">
        <f aca="false">HY371</f>
        <v>0</v>
      </c>
      <c r="D372" s="60" t="n">
        <f aca="false">HZ371</f>
        <v>0</v>
      </c>
      <c r="E372" s="60" t="n">
        <f aca="false">IA371</f>
        <v>0</v>
      </c>
      <c r="F372" s="60" t="n">
        <f aca="false">IB371</f>
        <v>0</v>
      </c>
      <c r="G372" s="60" t="n">
        <f aca="false">IC371</f>
        <v>0</v>
      </c>
      <c r="H372" s="60" t="n">
        <f aca="false">ID371</f>
        <v>0</v>
      </c>
      <c r="I372" s="60" t="n">
        <f aca="false">IE371</f>
        <v>0</v>
      </c>
      <c r="J372" s="60" t="n">
        <f aca="false">IF371</f>
        <v>0</v>
      </c>
      <c r="K372" s="60" t="n">
        <f aca="false">IG371</f>
        <v>0</v>
      </c>
      <c r="L372" s="60" t="n">
        <f aca="false">IH371</f>
        <v>0</v>
      </c>
      <c r="M372" s="60" t="n">
        <f aca="false">II371</f>
        <v>0</v>
      </c>
      <c r="N372" s="60" t="n">
        <f aca="false">EXP(B372)</f>
        <v>1</v>
      </c>
      <c r="O372" s="60" t="n">
        <f aca="false">EXP(C372)</f>
        <v>1</v>
      </c>
      <c r="P372" s="60" t="n">
        <f aca="false">EXP(D372)</f>
        <v>1</v>
      </c>
      <c r="Q372" s="60" t="n">
        <f aca="false">EXP(E372)</f>
        <v>1</v>
      </c>
      <c r="R372" s="60" t="n">
        <f aca="false">EXP(F372)</f>
        <v>1</v>
      </c>
      <c r="S372" s="60" t="n">
        <f aca="false">EXP(G372)</f>
        <v>1</v>
      </c>
      <c r="T372" s="60" t="n">
        <f aca="false">EXP(H372)</f>
        <v>1</v>
      </c>
      <c r="U372" s="60" t="n">
        <f aca="false">EXP(I372)</f>
        <v>1</v>
      </c>
      <c r="V372" s="60" t="n">
        <f aca="false">EXP(J372)</f>
        <v>1</v>
      </c>
      <c r="W372" s="60" t="n">
        <f aca="false">EXP(K372)</f>
        <v>1</v>
      </c>
      <c r="X372" s="60" t="n">
        <f aca="false">EXP(L372)</f>
        <v>1</v>
      </c>
      <c r="Y372" s="60" t="n">
        <f aca="false">EXP(M372)</f>
        <v>1</v>
      </c>
      <c r="Z372" s="60" t="n">
        <f aca="false">MAX(N372:Y372)</f>
        <v>1</v>
      </c>
      <c r="AA372" s="60" t="n">
        <f aca="false">MIN(N372:Y372)</f>
        <v>1</v>
      </c>
      <c r="AB372" s="60" t="n">
        <f aca="false">AND(Z372&gt;1,AA372&lt;1)</f>
        <v>0</v>
      </c>
      <c r="AC372" s="60" t="n">
        <f aca="false">IF(AB372,1/(1-Z372),0)</f>
        <v>0</v>
      </c>
      <c r="AD372" s="60" t="n">
        <f aca="false">IF(AB372,1/(1-AA372),1)</f>
        <v>1</v>
      </c>
      <c r="AE372" s="60" t="n">
        <f aca="false">IF(AB372,MIN(MAX(BI371,AC372+0.000000001*(AD372-AC372)),AD372-0.000000001*(AD372-AC372)),IF(AA372&gt;=1,1,0))</f>
        <v>1</v>
      </c>
      <c r="AF372" s="60" t="n">
        <f aca="false">SUMPRODUCT($E$13:$P$13*(N372:Y372-1)/(1+AE372*(N372:Y372-1)))</f>
        <v>0</v>
      </c>
      <c r="AG372" s="60" t="n">
        <f aca="false">-SUMPRODUCT($E$13:$P$13*(N372:Y372-1)^2/(1+AE372*(N372:Y372-1))^2)</f>
        <v>-0</v>
      </c>
      <c r="AH372" s="60" t="n">
        <f aca="false">IF(OR(NOT(AB372),AG372=0),AE372,IF(AE372-AF372/AG372&lt;=AC372,(AE372+AC372)/2,IF(AE372-AF372/AG372&gt;=AD372,(AE372+AD372)/2,AE372-AF372/AG372)))</f>
        <v>1</v>
      </c>
      <c r="AI372" s="60" t="n">
        <f aca="false">SUMPRODUCT($E$13:$P$13*(N372:Y372-1)/(1+AH372*(N372:Y372-1)))</f>
        <v>0</v>
      </c>
      <c r="AJ372" s="60" t="n">
        <f aca="false">-SUMPRODUCT($E$13:$P$13*(N372:Y372-1)^2/(1+AH372*(N372:Y372-1))^2)</f>
        <v>-0</v>
      </c>
      <c r="AK372" s="60" t="n">
        <f aca="false">IF(OR(NOT(AB372),AJ372=0),AH372,IF(AH372-AI372/AJ372&lt;=AC372,(AH372+AC372)/2,IF(AH372-AI372/AJ372&gt;=AD372,(AH372+AD372)/2,AH372-AI372/AJ372)))</f>
        <v>1</v>
      </c>
      <c r="AL372" s="60" t="n">
        <f aca="false">SUMPRODUCT($E$13:$P$13*(N372:Y372-1)/(1+AK372*(N372:Y372-1)))</f>
        <v>0</v>
      </c>
      <c r="AM372" s="60" t="n">
        <f aca="false">-SUMPRODUCT($E$13:$P$13*(N372:Y372-1)^2/(1+AK372*(N372:Y372-1))^2)</f>
        <v>-0</v>
      </c>
      <c r="AN372" s="60" t="n">
        <f aca="false">IF(OR(NOT(AB372),AM372=0),AK372,IF(AK372-AL372/AM372&lt;=AC372,(AK372+AC372)/2,IF(AK372-AL372/AM372&gt;=AD372,(AK372+AD372)/2,AK372-AL372/AM372)))</f>
        <v>1</v>
      </c>
      <c r="AO372" s="60" t="n">
        <f aca="false">SUMPRODUCT($E$13:$P$13*(N372:Y372-1)/(1+AN372*(N372:Y372-1)))</f>
        <v>0</v>
      </c>
      <c r="AP372" s="60" t="n">
        <f aca="false">-SUMPRODUCT($E$13:$P$13*(N372:Y372-1)^2/(1+AN372*(N372:Y372-1))^2)</f>
        <v>-0</v>
      </c>
      <c r="AQ372" s="60" t="n">
        <f aca="false">IF(OR(NOT(AB372),AP372=0),AN372,IF(AN372-AO372/AP372&lt;=AC372,(AN372+AC372)/2,IF(AN372-AO372/AP372&gt;=AD372,(AN372+AD372)/2,AN372-AO372/AP372)))</f>
        <v>1</v>
      </c>
      <c r="AR372" s="60" t="n">
        <f aca="false">SUMPRODUCT($E$13:$P$13*(N372:Y372-1)/(1+AQ372*(N372:Y372-1)))</f>
        <v>0</v>
      </c>
      <c r="AS372" s="60" t="n">
        <f aca="false">-SUMPRODUCT($E$13:$P$13*(N372:Y372-1)^2/(1+AQ372*(N372:Y372-1))^2)</f>
        <v>-0</v>
      </c>
      <c r="AT372" s="60" t="n">
        <f aca="false">IF(OR(NOT(AB372),AS372=0),AQ372,IF(AQ372-AR372/AS372&lt;=AC372,(AQ372+AC372)/2,IF(AQ372-AR372/AS372&gt;=AD372,(AQ372+AD372)/2,AQ372-AR372/AS372)))</f>
        <v>1</v>
      </c>
      <c r="AU372" s="60" t="n">
        <f aca="false">SUMPRODUCT($E$13:$P$13*(N372:Y372-1)/(1+AT372*(N372:Y372-1)))</f>
        <v>0</v>
      </c>
      <c r="AV372" s="60" t="n">
        <f aca="false">-SUMPRODUCT($E$13:$P$13*(N372:Y372-1)^2/(1+AT372*(N372:Y372-1))^2)</f>
        <v>-0</v>
      </c>
      <c r="AW372" s="60" t="n">
        <f aca="false">IF(OR(NOT(AB372),AV372=0),AT372,IF(AT372-AU372/AV372&lt;=AC372,(AT372+AC372)/2,IF(AT372-AU372/AV372&gt;=AD372,(AT372+AD372)/2,AT372-AU372/AV372)))</f>
        <v>1</v>
      </c>
      <c r="AX372" s="60" t="n">
        <f aca="false">SUMPRODUCT($E$13:$P$13*(N372:Y372-1)/(1+AW372*(N372:Y372-1)))</f>
        <v>0</v>
      </c>
      <c r="AY372" s="60" t="n">
        <f aca="false">-SUMPRODUCT($E$13:$P$13*(N372:Y372-1)^2/(1+AW372*(N372:Y372-1))^2)</f>
        <v>-0</v>
      </c>
      <c r="AZ372" s="60" t="n">
        <f aca="false">IF(OR(NOT(AB372),AY372=0),AW372,IF(AW372-AX372/AY372&lt;=AC372,(AW372+AC372)/2,IF(AW372-AX372/AY372&gt;=AD372,(AW372+AD372)/2,AW372-AX372/AY372)))</f>
        <v>1</v>
      </c>
      <c r="BA372" s="60" t="n">
        <f aca="false">SUMPRODUCT($E$13:$P$13*(N372:Y372-1)/(1+AZ372*(N372:Y372-1)))</f>
        <v>0</v>
      </c>
      <c r="BB372" s="60" t="n">
        <f aca="false">-SUMPRODUCT($E$13:$P$13*(N372:Y372-1)^2/(1+AZ372*(N372:Y372-1))^2)</f>
        <v>-0</v>
      </c>
      <c r="BC372" s="60" t="n">
        <f aca="false">IF(OR(NOT(AB372),BB372=0),AZ372,IF(AZ372-BA372/BB372&lt;=AC372,(AZ372+AC372)/2,IF(AZ372-BA372/BB372&gt;=AD372,(AZ372+AD372)/2,AZ372-BA372/BB372)))</f>
        <v>1</v>
      </c>
      <c r="BD372" s="60" t="n">
        <f aca="false">SUMPRODUCT($E$13:$P$13*(N372:Y372-1)/(1+BC372*(N372:Y372-1)))</f>
        <v>0</v>
      </c>
      <c r="BE372" s="60" t="n">
        <f aca="false">-SUMPRODUCT($E$13:$P$13*(N372:Y372-1)^2/(1+BC372*(N372:Y372-1))^2)</f>
        <v>-0</v>
      </c>
      <c r="BF372" s="60" t="n">
        <f aca="false">IF(OR(NOT(AB372),BE372=0),BC372,IF(BC372-BD372/BE372&lt;=AC372,(BC372+AC372)/2,IF(BC372-BD372/BE372&gt;=AD372,(BC372+AD372)/2,BC372-BD372/BE372)))</f>
        <v>1</v>
      </c>
      <c r="BG372" s="60" t="n">
        <f aca="false">SUMPRODUCT($E$13:$P$13*(N372:Y372-1)/(1+BF372*(N372:Y372-1)))</f>
        <v>0</v>
      </c>
      <c r="BH372" s="60" t="n">
        <f aca="false">-SUMPRODUCT($E$13:$P$13*(N372:Y372-1)^2/(1+BF372*(N372:Y372-1))^2)</f>
        <v>-0</v>
      </c>
      <c r="BI372" s="60" t="n">
        <f aca="false">IF(OR(NOT(AB372),BH372=0),BF372,IF(BF372-BG372/BH372&lt;=AC372,(BF372+AC372)/2,IF(BF372-BG372/BH372&gt;=AD372,(BF372+AD372)/2,BF372-BG372/BH372)))</f>
        <v>1</v>
      </c>
      <c r="BJ372" s="60" t="n">
        <f aca="false">$E$13/(1+BI372*(N372-1))</f>
        <v>1</v>
      </c>
      <c r="BK372" s="60" t="n">
        <f aca="false">$F$13/(1+BI372*(O372-1))</f>
        <v>0</v>
      </c>
      <c r="BL372" s="60" t="n">
        <f aca="false">$G$13/(1+BI372*(P372-1))</f>
        <v>0</v>
      </c>
      <c r="BM372" s="60" t="n">
        <f aca="false">$H$13/(1+BI372*(Q372-1))</f>
        <v>0</v>
      </c>
      <c r="BN372" s="60" t="n">
        <f aca="false">$I$13/(1+BI372*(R372-1))</f>
        <v>0</v>
      </c>
      <c r="BO372" s="60" t="n">
        <f aca="false">$J$13/(1+BI372*(S372-1))</f>
        <v>0</v>
      </c>
      <c r="BP372" s="60" t="n">
        <f aca="false">$K$13/(1+BI372*(T372-1))</f>
        <v>0</v>
      </c>
      <c r="BQ372" s="60" t="n">
        <f aca="false">$L$13/(1+BI372*(U372-1))</f>
        <v>0</v>
      </c>
      <c r="BR372" s="60" t="n">
        <f aca="false">$M$13/(1+BI372*(V372-1))</f>
        <v>0</v>
      </c>
      <c r="BS372" s="60" t="n">
        <f aca="false">$N$13/(1+BI372*(W372-1))</f>
        <v>0</v>
      </c>
      <c r="BT372" s="60" t="n">
        <f aca="false">$O$13/(1+BI372*(X372-1))</f>
        <v>0</v>
      </c>
      <c r="BU372" s="60" t="n">
        <f aca="false">$P$13/(1+BI372*(Y372-1))</f>
        <v>0</v>
      </c>
      <c r="BV372" s="60" t="n">
        <f aca="false">SUM(BJ372:BU372)</f>
        <v>1</v>
      </c>
      <c r="BW372" s="60" t="n">
        <f aca="false">SUMPRODUCT(N372:Y372,BJ372:BU372)</f>
        <v>1</v>
      </c>
      <c r="BX372" s="60" t="n">
        <f aca="false">BJ372/BV372</f>
        <v>1</v>
      </c>
      <c r="BY372" s="60" t="n">
        <f aca="false">BK372/BV372</f>
        <v>0</v>
      </c>
      <c r="BZ372" s="60" t="n">
        <f aca="false">BL372/BV372</f>
        <v>0</v>
      </c>
      <c r="CA372" s="60" t="n">
        <f aca="false">BM372/BV372</f>
        <v>0</v>
      </c>
      <c r="CB372" s="60" t="n">
        <f aca="false">BN372/BV372</f>
        <v>0</v>
      </c>
      <c r="CC372" s="60" t="n">
        <f aca="false">BO372/BV372</f>
        <v>0</v>
      </c>
      <c r="CD372" s="60" t="n">
        <f aca="false">BP372/BV372</f>
        <v>0</v>
      </c>
      <c r="CE372" s="60" t="n">
        <f aca="false">BQ372/BV372</f>
        <v>0</v>
      </c>
      <c r="CF372" s="60" t="n">
        <f aca="false">BR372/BV372</f>
        <v>0</v>
      </c>
      <c r="CG372" s="60" t="n">
        <f aca="false">BS372/BV372</f>
        <v>0</v>
      </c>
      <c r="CH372" s="60" t="n">
        <f aca="false">BT372/BV372</f>
        <v>0</v>
      </c>
      <c r="CI372" s="60" t="n">
        <f aca="false">BU372/BV372</f>
        <v>0</v>
      </c>
      <c r="CJ372" s="60" t="n">
        <f aca="false">N372*BJ372/BW372</f>
        <v>1</v>
      </c>
      <c r="CK372" s="60" t="n">
        <f aca="false">O372*BK372/BW372</f>
        <v>0</v>
      </c>
      <c r="CL372" s="60" t="n">
        <f aca="false">P372*BL372/BW372</f>
        <v>0</v>
      </c>
      <c r="CM372" s="60" t="n">
        <f aca="false">Q372*BM372/BW372</f>
        <v>0</v>
      </c>
      <c r="CN372" s="60" t="n">
        <f aca="false">R372*BN372/BW372</f>
        <v>0</v>
      </c>
      <c r="CO372" s="60" t="n">
        <f aca="false">S372*BO372/BW372</f>
        <v>0</v>
      </c>
      <c r="CP372" s="60" t="n">
        <f aca="false">T372*BP372/BW372</f>
        <v>0</v>
      </c>
      <c r="CQ372" s="60" t="n">
        <f aca="false">U372*BQ372/BW372</f>
        <v>0</v>
      </c>
      <c r="CR372" s="60" t="n">
        <f aca="false">V372*BR372/BW372</f>
        <v>0</v>
      </c>
      <c r="CS372" s="60" t="n">
        <f aca="false">W372*BS372/BW372</f>
        <v>0</v>
      </c>
      <c r="CT372" s="60" t="n">
        <f aca="false">X372*BT372/BW372</f>
        <v>0</v>
      </c>
      <c r="CU372" s="60" t="n">
        <f aca="false">Y372*BU372/BW372</f>
        <v>0</v>
      </c>
      <c r="CV372" s="60" t="n">
        <f aca="false">$E$28*SUMPRODUCT($E$31:$P$31,BX372:CI372,$E$28:$P$28)</f>
        <v>0.184416866619846</v>
      </c>
      <c r="CW372" s="60" t="n">
        <f aca="false">$F$28*SUMPRODUCT($E$32:$P$32,BX372:CI372,$E$28:$P$28)</f>
        <v>0</v>
      </c>
      <c r="CX372" s="60" t="n">
        <f aca="false">$G$28*SUMPRODUCT($E$33:$P$33,BX372:CI372,$E$28:$P$28)</f>
        <v>0</v>
      </c>
      <c r="CY372" s="60" t="n">
        <f aca="false">$H$28*SUMPRODUCT($E$34:$P$34,BX372:CI372,$E$28:$P$28)</f>
        <v>0</v>
      </c>
      <c r="CZ372" s="60" t="n">
        <f aca="false">$I$28*SUMPRODUCT($E$35:$P$35,BX372:CI372,$E$28:$P$28)</f>
        <v>0</v>
      </c>
      <c r="DA372" s="60" t="n">
        <f aca="false">$J$28*SUMPRODUCT($E$36:$P$36,BX372:CI372,$E$28:$P$28)</f>
        <v>0</v>
      </c>
      <c r="DB372" s="60" t="n">
        <f aca="false">$K$28*SUMPRODUCT($E$37:$P$37,BX372:CI372,$E$28:$P$28)</f>
        <v>0</v>
      </c>
      <c r="DC372" s="60" t="n">
        <f aca="false">$L$28*SUMPRODUCT($E$38:$P$38,BX372:CI372,$E$28:$P$28)</f>
        <v>0</v>
      </c>
      <c r="DD372" s="60" t="n">
        <f aca="false">$M$28*SUMPRODUCT($E$39:$P$39,BX372:CI372,$E$28:$P$28)</f>
        <v>0</v>
      </c>
      <c r="DE372" s="60" t="n">
        <f aca="false">$N$28*SUMPRODUCT($E$40:$P$40,BX372:CI372,$E$28:$P$28)</f>
        <v>0</v>
      </c>
      <c r="DF372" s="60" t="n">
        <f aca="false">$O$28*SUMPRODUCT($E$41:$P$41,BX372:CI372,$E$28:$P$28)</f>
        <v>0</v>
      </c>
      <c r="DG372" s="60" t="n">
        <f aca="false">$P$28*SUMPRODUCT($E$42:$P$42,BX372:CI372,$E$28:$P$28)</f>
        <v>0</v>
      </c>
      <c r="DH372" s="60" t="n">
        <f aca="false">SUMPRODUCT(BX372:CI372,CV372:DG372)</f>
        <v>0.184416866619846</v>
      </c>
      <c r="DI372" s="60" t="n">
        <f aca="false">SUMPRODUCT(BX372:CI372,$E$27:$P$27)</f>
        <v>2.67389635063809E-005</v>
      </c>
      <c r="DJ372" s="60" t="n">
        <f aca="false">DH372*$C$9/($C$10*$C$8)^2</f>
        <v>0.21776909410545</v>
      </c>
      <c r="DK372" s="60" t="n">
        <f aca="false">DI372*$C$9/($C$10*$C$8)</f>
        <v>0.0918845243259994</v>
      </c>
      <c r="DL372" s="60" t="n">
        <f aca="false">CHOOSE($C$7,-(1+DK372),-1,-(1-DK372))</f>
        <v>-0.908115475674001</v>
      </c>
      <c r="DM372" s="60" t="n">
        <f aca="false">CHOOSE($C$7,DJ372,DJ372-DK372-DK372^2,DJ372-3*DK372^2-2*DK372)</f>
        <v>0.00867174802160559</v>
      </c>
      <c r="DN372" s="60" t="n">
        <f aca="false">CHOOSE($C$7,-DJ372*DK372,-DJ372*DK372,-(DJ372*DK372-DK372^2-DK372^3))</f>
        <v>-0.0107910842936637</v>
      </c>
      <c r="DO372" s="60" t="n">
        <f aca="false">DM372-DL372^2/3</f>
        <v>-0.266219491031267</v>
      </c>
      <c r="DP372" s="60" t="n">
        <f aca="false">2*DL372^3/27-DL372*DM372/3+DN372</f>
        <v>-0.0636400988362784</v>
      </c>
      <c r="DQ372" s="60" t="n">
        <f aca="false">DP372^2/4+DO372^3/27</f>
        <v>0.000313710901361829</v>
      </c>
      <c r="DR372" s="60" t="n">
        <f aca="false">-DP372/2-IF(DP372&gt;=0,1,-1)*SQRT(MAX(DQ372,0))</f>
        <v>0.0495319352963236</v>
      </c>
      <c r="DS372" s="60" t="n">
        <f aca="false">SIGN(DR372)*ABS(DR372)^(1/3)</f>
        <v>0.367249967174439</v>
      </c>
      <c r="DT372" s="60" t="n">
        <f aca="false">IF(DS372=0,0,DS372-DO372/(3*DS372))</f>
        <v>0.60888329127384</v>
      </c>
      <c r="DU372" s="60" t="n">
        <f aca="false">2*SQRT(MAX(-DO372,0)/3)</f>
        <v>0.595784626668918</v>
      </c>
      <c r="DV372" s="60" t="n">
        <f aca="false">ACOS(IF(DU372=0,0,MAX(-1,MIN(1,3*DP372/(DO372*DU372)))))</f>
        <v>0</v>
      </c>
      <c r="DW372" s="60" t="n">
        <f aca="false">DU372*COS(DV372/3)</f>
        <v>0.595784626668918</v>
      </c>
      <c r="DX372" s="60" t="n">
        <f aca="false">IF(DQ372&lt;0,DW372,DT372)-DL372/3</f>
        <v>0.91158844983184</v>
      </c>
      <c r="DY372" s="60" t="n">
        <f aca="false">IFERROR((((DX372+DL372)*DX372+DM372)*DX372+DN372)/((3*DX372+2*DL372)*DX372+DM372),0)</f>
        <v>0</v>
      </c>
      <c r="DZ372" s="60" t="n">
        <f aca="false">IF(ABS(DY372)&lt;0.1*ABS(DX372),DX372-DY372,DX372)</f>
        <v>0.91158844983184</v>
      </c>
      <c r="EA372" s="60" t="n">
        <f aca="false">IFERROR((((DZ372+DL372)*DZ372+DM372)*DZ372+DN372)/((3*DZ372+2*DL372)*DZ372+DM372),0)</f>
        <v>0</v>
      </c>
      <c r="EB372" s="60" t="n">
        <f aca="false">IF(ABS(EA372)&lt;0.1*ABS(DZ372),DZ372-EA372,DZ372)</f>
        <v>0.91158844983184</v>
      </c>
      <c r="EC372" s="60" t="n">
        <f aca="false">-DN372/EB372</f>
        <v>0.0118376711504565</v>
      </c>
      <c r="ED372" s="60" t="n">
        <f aca="false">(DM372-EC372)/EB372</f>
        <v>-0.00347297415783941</v>
      </c>
      <c r="EE372" s="60" t="n">
        <f aca="false">ED372^2-4*EC372</f>
        <v>-0.0473386230523248</v>
      </c>
      <c r="EF372" s="60" t="n">
        <f aca="false">IF(EE372&gt;=0,(ED372+IF(ED372&gt;=0,1,-1)*SQRT(EE372))/2,0)</f>
        <v>0</v>
      </c>
      <c r="EG372" s="60" t="n">
        <f aca="false">IF(AND(EE372&gt;=0,EF372&lt;&gt;0),MIN(EF372,EC372/EF372),-1)</f>
        <v>-1</v>
      </c>
      <c r="EH372" s="60" t="n">
        <f aca="false">AND(EE372&gt;=0,EG372&gt;DK372,ABS(EB372-EG372)&gt;=0.00005*MAX(EB372,EG372))</f>
        <v>0</v>
      </c>
      <c r="EI372" s="60" t="n">
        <f aca="false">IF(EH372,IFERROR((((EG372+DL372)*EG372+DM372)*EG372+DN372)/((3*EG372+2*DL372)*EG372+DM372),0),0)</f>
        <v>0</v>
      </c>
      <c r="EJ372" s="60" t="n">
        <f aca="false">IF(ABS(EI372)&lt;0.1*ABS(EG372),EG372-EI372,EG372)</f>
        <v>-1</v>
      </c>
      <c r="EK372" s="60" t="n">
        <f aca="false">IF(EH372,IFERROR((((EJ372+DL372)*EJ372+DM372)*EJ372+DN372)/((3*EJ372+2*DL372)*EJ372+DM372),0),0)</f>
        <v>0</v>
      </c>
      <c r="EL372" s="60" t="n">
        <f aca="false">IF(ABS(EK372)&lt;0.1*ABS(EJ372),EJ372-EK372,EJ372)</f>
        <v>-1</v>
      </c>
      <c r="EM372" s="60" t="n">
        <f aca="false">IF(EH372,MAX(EB372,EL372),EB372)</f>
        <v>0.91158844983184</v>
      </c>
      <c r="EN372" s="60" t="n">
        <f aca="false">IF(EH372,MIN(EB372,EL372),-1)</f>
        <v>-1</v>
      </c>
      <c r="EO372" s="60" t="n">
        <f aca="false">CHOOSE($C$7,DJ372/EM372,DJ372/DK372*LN(1+DK372/EM372),DJ372/(2*SQRT(2)*DK372)*LN((EM372+(1+SQRT(2))*DK372)/(EM372+(1-SQRT(2))*DK372)))</f>
        <v>0.218240791233887</v>
      </c>
      <c r="EP372" s="60" t="n">
        <f aca="false">EM372-1-LN(EM372-DK372)-EO372</f>
        <v>-0.107840271021729</v>
      </c>
      <c r="EQ372" s="60" t="n">
        <f aca="false">IF(EH372,CHOOSE($C$7,DJ372/EN372,DJ372/DK372*LN(1+DK372/EN372),DJ372/(2*SQRT(2)*DK372)*LN((EN372+(1+SQRT(2))*DK372)/(EN372+(1-SQRT(2))*DK372))),0)</f>
        <v>0</v>
      </c>
      <c r="ER372" s="60" t="n">
        <f aca="false">IF(EH372,EN372-1-LN(EN372-DK372)-EQ372,0)</f>
        <v>0</v>
      </c>
      <c r="ES372" s="60" t="n">
        <f aca="false">AND(EH372,ER372&lt;EP372)</f>
        <v>0</v>
      </c>
      <c r="ET372" s="60" t="n">
        <f aca="false">IF(ES372,EN372,EM372)</f>
        <v>0.91158844983184</v>
      </c>
      <c r="EU372" s="60" t="n">
        <f aca="false">IF(ES372,EQ372,EO372)</f>
        <v>0.218240791233887</v>
      </c>
      <c r="EV372" s="60" t="n">
        <f aca="false">LN(ET372-DK372)</f>
        <v>-0.198812070380318</v>
      </c>
      <c r="EW372" s="60" t="n">
        <f aca="false">$E$27/DI372*(ET372-1)-EV372-EU372*(2*CV372/DH372-$E$27/DI372)</f>
        <v>-0.107840271021729</v>
      </c>
      <c r="EX372" s="60" t="n">
        <f aca="false">$F$27/DI372*(ET372-1)-EV372-EU372*(2*CW372/DH372-$F$27/DI372)</f>
        <v>0.198812070380318</v>
      </c>
      <c r="EY372" s="60" t="n">
        <f aca="false">$G$27/DI372*(ET372-1)-EV372-EU372*(2*CX372/DH372-$G$27/DI372)</f>
        <v>0.198812070380318</v>
      </c>
      <c r="EZ372" s="60" t="n">
        <f aca="false">$H$27/DI372*(ET372-1)-EV372-EU372*(2*CY372/DH372-$H$27/DI372)</f>
        <v>0.198812070380318</v>
      </c>
      <c r="FA372" s="60" t="n">
        <f aca="false">$I$27/DI372*(ET372-1)-EV372-EU372*(2*CZ372/DH372-$I$27/DI372)</f>
        <v>0.198812070380318</v>
      </c>
      <c r="FB372" s="60" t="n">
        <f aca="false">$J$27/DI372*(ET372-1)-EV372-EU372*(2*DA372/DH372-$J$27/DI372)</f>
        <v>0.198812070380318</v>
      </c>
      <c r="FC372" s="60" t="n">
        <f aca="false">$K$27/DI372*(ET372-1)-EV372-EU372*(2*DB372/DH372-$K$27/DI372)</f>
        <v>0.198812070380318</v>
      </c>
      <c r="FD372" s="60" t="n">
        <f aca="false">$L$27/DI372*(ET372-1)-EV372-EU372*(2*DC372/DH372-$L$27/DI372)</f>
        <v>0.198812070380318</v>
      </c>
      <c r="FE372" s="60" t="n">
        <f aca="false">$M$27/DI372*(ET372-1)-EV372-EU372*(2*DD372/DH372-$M$27/DI372)</f>
        <v>0.198812070380318</v>
      </c>
      <c r="FF372" s="60" t="n">
        <f aca="false">$N$27/DI372*(ET372-1)-EV372-EU372*(2*DE372/DH372-$N$27/DI372)</f>
        <v>0.198812070380318</v>
      </c>
      <c r="FG372" s="60" t="n">
        <f aca="false">$O$27/DI372*(ET372-1)-EV372-EU372*(2*DF372/DH372-$O$27/DI372)</f>
        <v>0.198812070380318</v>
      </c>
      <c r="FH372" s="60" t="n">
        <f aca="false">$P$27/DI372*(ET372-1)-EV372-EU372*(2*DG372/DH372-$P$27/DI372)</f>
        <v>0.198812070380318</v>
      </c>
      <c r="FI372" s="60" t="n">
        <f aca="false">DK372/ET372&gt;$C$22</f>
        <v>0</v>
      </c>
      <c r="FJ372" s="60" t="n">
        <f aca="false">$E$28*SUMPRODUCT($E$31:$P$31,CJ372:CU372,$E$28:$P$28)</f>
        <v>0.184416866619846</v>
      </c>
      <c r="FK372" s="60" t="n">
        <f aca="false">$F$28*SUMPRODUCT($E$32:$P$32,CJ372:CU372,$E$28:$P$28)</f>
        <v>0</v>
      </c>
      <c r="FL372" s="60" t="n">
        <f aca="false">$G$28*SUMPRODUCT($E$33:$P$33,CJ372:CU372,$E$28:$P$28)</f>
        <v>0</v>
      </c>
      <c r="FM372" s="60" t="n">
        <f aca="false">$H$28*SUMPRODUCT($E$34:$P$34,CJ372:CU372,$E$28:$P$28)</f>
        <v>0</v>
      </c>
      <c r="FN372" s="60" t="n">
        <f aca="false">$I$28*SUMPRODUCT($E$35:$P$35,CJ372:CU372,$E$28:$P$28)</f>
        <v>0</v>
      </c>
      <c r="FO372" s="60" t="n">
        <f aca="false">$J$28*SUMPRODUCT($E$36:$P$36,CJ372:CU372,$E$28:$P$28)</f>
        <v>0</v>
      </c>
      <c r="FP372" s="60" t="n">
        <f aca="false">$K$28*SUMPRODUCT($E$37:$P$37,CJ372:CU372,$E$28:$P$28)</f>
        <v>0</v>
      </c>
      <c r="FQ372" s="60" t="n">
        <f aca="false">$L$28*SUMPRODUCT($E$38:$P$38,CJ372:CU372,$E$28:$P$28)</f>
        <v>0</v>
      </c>
      <c r="FR372" s="60" t="n">
        <f aca="false">$M$28*SUMPRODUCT($E$39:$P$39,CJ372:CU372,$E$28:$P$28)</f>
        <v>0</v>
      </c>
      <c r="FS372" s="60" t="n">
        <f aca="false">$N$28*SUMPRODUCT($E$40:$P$40,CJ372:CU372,$E$28:$P$28)</f>
        <v>0</v>
      </c>
      <c r="FT372" s="60" t="n">
        <f aca="false">$O$28*SUMPRODUCT($E$41:$P$41,CJ372:CU372,$E$28:$P$28)</f>
        <v>0</v>
      </c>
      <c r="FU372" s="60" t="n">
        <f aca="false">$P$28*SUMPRODUCT($E$42:$P$42,CJ372:CU372,$E$28:$P$28)</f>
        <v>0</v>
      </c>
      <c r="FV372" s="60" t="n">
        <f aca="false">SUMPRODUCT(CJ372:CU372,FJ372:FU372)</f>
        <v>0.184416866619846</v>
      </c>
      <c r="FW372" s="60" t="n">
        <f aca="false">SUMPRODUCT(CJ372:CU372,$E$27:$P$27)</f>
        <v>2.67389635063809E-005</v>
      </c>
      <c r="FX372" s="60" t="n">
        <f aca="false">FV372*$C$9/($C$10*$C$8)^2</f>
        <v>0.21776909410545</v>
      </c>
      <c r="FY372" s="60" t="n">
        <f aca="false">FW372*$C$9/($C$10*$C$8)</f>
        <v>0.0918845243259994</v>
      </c>
      <c r="FZ372" s="60" t="n">
        <f aca="false">CHOOSE($C$7,-(1+FY372),-1,-(1-FY372))</f>
        <v>-0.908115475674001</v>
      </c>
      <c r="GA372" s="60" t="n">
        <f aca="false">CHOOSE($C$7,FX372,FX372-FY372-FY372^2,FX372-3*FY372^2-2*FY372)</f>
        <v>0.00867174802160559</v>
      </c>
      <c r="GB372" s="60" t="n">
        <f aca="false">CHOOSE($C$7,-FX372*FY372,-FX372*FY372,-(FX372*FY372-FY372^2-FY372^3))</f>
        <v>-0.0107910842936637</v>
      </c>
      <c r="GC372" s="60" t="n">
        <f aca="false">GA372-FZ372^2/3</f>
        <v>-0.266219491031267</v>
      </c>
      <c r="GD372" s="60" t="n">
        <f aca="false">2*FZ372^3/27-FZ372*GA372/3+GB372</f>
        <v>-0.0636400988362784</v>
      </c>
      <c r="GE372" s="60" t="n">
        <f aca="false">GD372^2/4+GC372^3/27</f>
        <v>0.000313710901361829</v>
      </c>
      <c r="GF372" s="60" t="n">
        <f aca="false">-GD372/2-IF(GD372&gt;=0,1,-1)*SQRT(MAX(GE372,0))</f>
        <v>0.0495319352963236</v>
      </c>
      <c r="GG372" s="60" t="n">
        <f aca="false">SIGN(GF372)*ABS(GF372)^(1/3)</f>
        <v>0.367249967174439</v>
      </c>
      <c r="GH372" s="60" t="n">
        <f aca="false">IF(GG372=0,0,GG372-GC372/(3*GG372))</f>
        <v>0.60888329127384</v>
      </c>
      <c r="GI372" s="60" t="n">
        <f aca="false">2*SQRT(MAX(-GC372,0)/3)</f>
        <v>0.595784626668918</v>
      </c>
      <c r="GJ372" s="60" t="n">
        <f aca="false">ACOS(IF(GI372=0,0,MAX(-1,MIN(1,3*GD372/(GC372*GI372)))))</f>
        <v>0</v>
      </c>
      <c r="GK372" s="60" t="n">
        <f aca="false">GI372*COS(GJ372/3)</f>
        <v>0.595784626668918</v>
      </c>
      <c r="GL372" s="60" t="n">
        <f aca="false">IF(GE372&lt;0,GK372,GH372)-FZ372/3</f>
        <v>0.91158844983184</v>
      </c>
      <c r="GM372" s="60" t="n">
        <f aca="false">IFERROR((((GL372+FZ372)*GL372+GA372)*GL372+GB372)/((3*GL372+2*FZ372)*GL372+GA372),0)</f>
        <v>0</v>
      </c>
      <c r="GN372" s="60" t="n">
        <f aca="false">IF(ABS(GM372)&lt;0.1*ABS(GL372),GL372-GM372,GL372)</f>
        <v>0.91158844983184</v>
      </c>
      <c r="GO372" s="60" t="n">
        <f aca="false">IFERROR((((GN372+FZ372)*GN372+GA372)*GN372+GB372)/((3*GN372+2*FZ372)*GN372+GA372),0)</f>
        <v>0</v>
      </c>
      <c r="GP372" s="60" t="n">
        <f aca="false">IF(ABS(GO372)&lt;0.1*ABS(GN372),GN372-GO372,GN372)</f>
        <v>0.91158844983184</v>
      </c>
      <c r="GQ372" s="60" t="n">
        <f aca="false">-GB372/GP372</f>
        <v>0.0118376711504565</v>
      </c>
      <c r="GR372" s="60" t="n">
        <f aca="false">(GA372-GQ372)/GP372</f>
        <v>-0.00347297415783941</v>
      </c>
      <c r="GS372" s="60" t="n">
        <f aca="false">GR372^2-4*GQ372</f>
        <v>-0.0473386230523248</v>
      </c>
      <c r="GT372" s="60" t="n">
        <f aca="false">IF(GS372&gt;=0,(GR372+IF(GR372&gt;=0,1,-1)*SQRT(GS372))/2,0)</f>
        <v>0</v>
      </c>
      <c r="GU372" s="60" t="n">
        <f aca="false">IF(AND(GS372&gt;=0,GT372&lt;&gt;0),MIN(GT372,GQ372/GT372),-1)</f>
        <v>-1</v>
      </c>
      <c r="GV372" s="60" t="n">
        <f aca="false">AND(GS372&gt;=0,GU372&gt;FY372,ABS(GP372-GU372)&gt;=0.00005*MAX(GP372,GU372))</f>
        <v>0</v>
      </c>
      <c r="GW372" s="60" t="n">
        <f aca="false">IF(GV372,IFERROR((((GU372+FZ372)*GU372+GA372)*GU372+GB372)/((3*GU372+2*FZ372)*GU372+GA372),0),0)</f>
        <v>0</v>
      </c>
      <c r="GX372" s="60" t="n">
        <f aca="false">IF(ABS(GW372)&lt;0.1*ABS(GU372),GU372-GW372,GU372)</f>
        <v>-1</v>
      </c>
      <c r="GY372" s="60" t="n">
        <f aca="false">IF(GV372,IFERROR((((GX372+FZ372)*GX372+GA372)*GX372+GB372)/((3*GX372+2*FZ372)*GX372+GA372),0),0)</f>
        <v>0</v>
      </c>
      <c r="GZ372" s="60" t="n">
        <f aca="false">IF(ABS(GY372)&lt;0.1*ABS(GX372),GX372-GY372,GX372)</f>
        <v>-1</v>
      </c>
      <c r="HA372" s="60" t="n">
        <f aca="false">IF(GV372,MAX(GP372,GZ372),GP372)</f>
        <v>0.91158844983184</v>
      </c>
      <c r="HB372" s="60" t="n">
        <f aca="false">IF(GV372,MIN(GP372,GZ372),-1)</f>
        <v>-1</v>
      </c>
      <c r="HC372" s="60" t="n">
        <f aca="false">CHOOSE($C$7,FX372/HA372,FX372/FY372*LN(1+FY372/HA372),FX372/(2*SQRT(2)*FY372)*LN((HA372+(1+SQRT(2))*FY372)/(HA372+(1-SQRT(2))*FY372)))</f>
        <v>0.218240791233887</v>
      </c>
      <c r="HD372" s="60" t="n">
        <f aca="false">HA372-1-LN(HA372-FY372)-HC372</f>
        <v>-0.107840271021729</v>
      </c>
      <c r="HE372" s="60" t="n">
        <f aca="false">IF(GV372,CHOOSE($C$7,FX372/HB372,FX372/FY372*LN(1+FY372/HB372),FX372/(2*SQRT(2)*FY372)*LN((HB372+(1+SQRT(2))*FY372)/(HB372+(1-SQRT(2))*FY372))),0)</f>
        <v>0</v>
      </c>
      <c r="HF372" s="60" t="n">
        <f aca="false">IF(GV372,HB372-1-LN(HB372-FY372)-HE372,0)</f>
        <v>0</v>
      </c>
      <c r="HG372" s="60" t="n">
        <f aca="false">AND(GV372,HF372&lt;HD372)</f>
        <v>0</v>
      </c>
      <c r="HH372" s="60" t="n">
        <f aca="false">IF(HG372,HB372,HA372)</f>
        <v>0.91158844983184</v>
      </c>
      <c r="HI372" s="60" t="n">
        <f aca="false">IF(HG372,HE372,HC372)</f>
        <v>0.218240791233887</v>
      </c>
      <c r="HJ372" s="60" t="n">
        <f aca="false">LN(HH372-FY372)</f>
        <v>-0.198812070380318</v>
      </c>
      <c r="HK372" s="60" t="n">
        <f aca="false">$E$27/FW372*(HH372-1)-HJ372-HI372*(2*FJ372/FV372-$E$27/FW372)</f>
        <v>-0.107840271021729</v>
      </c>
      <c r="HL372" s="60" t="n">
        <f aca="false">$F$27/FW372*(HH372-1)-HJ372-HI372*(2*FK372/FV372-$F$27/FW372)</f>
        <v>0.198812070380318</v>
      </c>
      <c r="HM372" s="60" t="n">
        <f aca="false">$G$27/FW372*(HH372-1)-HJ372-HI372*(2*FL372/FV372-$G$27/FW372)</f>
        <v>0.198812070380318</v>
      </c>
      <c r="HN372" s="60" t="n">
        <f aca="false">$H$27/FW372*(HH372-1)-HJ372-HI372*(2*FM372/FV372-$H$27/FW372)</f>
        <v>0.198812070380318</v>
      </c>
      <c r="HO372" s="60" t="n">
        <f aca="false">$I$27/FW372*(HH372-1)-HJ372-HI372*(2*FN372/FV372-$I$27/FW372)</f>
        <v>0.198812070380318</v>
      </c>
      <c r="HP372" s="60" t="n">
        <f aca="false">$J$27/FW372*(HH372-1)-HJ372-HI372*(2*FO372/FV372-$J$27/FW372)</f>
        <v>0.198812070380318</v>
      </c>
      <c r="HQ372" s="60" t="n">
        <f aca="false">$K$27/FW372*(HH372-1)-HJ372-HI372*(2*FP372/FV372-$K$27/FW372)</f>
        <v>0.198812070380318</v>
      </c>
      <c r="HR372" s="60" t="n">
        <f aca="false">$L$27/FW372*(HH372-1)-HJ372-HI372*(2*FQ372/FV372-$L$27/FW372)</f>
        <v>0.198812070380318</v>
      </c>
      <c r="HS372" s="60" t="n">
        <f aca="false">$M$27/FW372*(HH372-1)-HJ372-HI372*(2*FR372/FV372-$M$27/FW372)</f>
        <v>0.198812070380318</v>
      </c>
      <c r="HT372" s="60" t="n">
        <f aca="false">$N$27/FW372*(HH372-1)-HJ372-HI372*(2*FS372/FV372-$N$27/FW372)</f>
        <v>0.198812070380318</v>
      </c>
      <c r="HU372" s="60" t="n">
        <f aca="false">$O$27/FW372*(HH372-1)-HJ372-HI372*(2*FT372/FV372-$O$27/FW372)</f>
        <v>0.198812070380318</v>
      </c>
      <c r="HV372" s="60" t="n">
        <f aca="false">$P$27/FW372*(HH372-1)-HJ372-HI372*(2*FU372/FV372-$P$27/FW372)</f>
        <v>0.198812070380318</v>
      </c>
      <c r="HW372" s="60" t="n">
        <f aca="false">FY372/HH372&gt;$C$22</f>
        <v>0</v>
      </c>
      <c r="HX372" s="60" t="n">
        <f aca="false">IF($E$13&gt;0,MAX(-300,MIN(300,EW372-HK372)),0)</f>
        <v>0</v>
      </c>
      <c r="HY372" s="60" t="n">
        <f aca="false">IF($F$13&gt;0,MAX(-300,MIN(300,EX372-HL372)),0)</f>
        <v>0</v>
      </c>
      <c r="HZ372" s="60" t="n">
        <f aca="false">IF($G$13&gt;0,MAX(-300,MIN(300,EY372-HM372)),0)</f>
        <v>0</v>
      </c>
      <c r="IA372" s="60" t="n">
        <f aca="false">IF($H$13&gt;0,MAX(-300,MIN(300,EZ372-HN372)),0)</f>
        <v>0</v>
      </c>
      <c r="IB372" s="60" t="n">
        <f aca="false">IF($I$13&gt;0,MAX(-300,MIN(300,FA372-HO372)),0)</f>
        <v>0</v>
      </c>
      <c r="IC372" s="60" t="n">
        <f aca="false">IF($J$13&gt;0,MAX(-300,MIN(300,FB372-HP372)),0)</f>
        <v>0</v>
      </c>
      <c r="ID372" s="60" t="n">
        <f aca="false">IF($K$13&gt;0,MAX(-300,MIN(300,FC372-HQ372)),0)</f>
        <v>0</v>
      </c>
      <c r="IE372" s="60" t="n">
        <f aca="false">IF($L$13&gt;0,MAX(-300,MIN(300,FD372-HR372)),0)</f>
        <v>0</v>
      </c>
      <c r="IF372" s="60" t="n">
        <f aca="false">IF($M$13&gt;0,MAX(-300,MIN(300,FE372-HS372)),0)</f>
        <v>0</v>
      </c>
      <c r="IG372" s="60" t="n">
        <f aca="false">IF($N$13&gt;0,MAX(-300,MIN(300,FF372-HT372)),0)</f>
        <v>0</v>
      </c>
      <c r="IH372" s="60" t="n">
        <f aca="false">IF($O$13&gt;0,MAX(-300,MIN(300,FG372-HU372)),0)</f>
        <v>0</v>
      </c>
      <c r="II372" s="60" t="n">
        <f aca="false">IF($P$13&gt;0,MAX(-300,MIN(300,FH372-HV372)),0)</f>
        <v>0</v>
      </c>
      <c r="IJ372" s="60" t="n">
        <f aca="false">SUMXMY2(HX372:II372,B372:M372)</f>
        <v>0</v>
      </c>
      <c r="IK372" s="60" t="n">
        <f aca="false">SUMSQ(B372:M372)</f>
        <v>0</v>
      </c>
    </row>
    <row r="373" customFormat="false" ht="15" hidden="false" customHeight="false" outlineLevel="0" collapsed="false">
      <c r="A373" s="59" t="n">
        <v>12</v>
      </c>
      <c r="B373" s="60" t="n">
        <f aca="false">HX372</f>
        <v>0</v>
      </c>
      <c r="C373" s="60" t="n">
        <f aca="false">HY372</f>
        <v>0</v>
      </c>
      <c r="D373" s="60" t="n">
        <f aca="false">HZ372</f>
        <v>0</v>
      </c>
      <c r="E373" s="60" t="n">
        <f aca="false">IA372</f>
        <v>0</v>
      </c>
      <c r="F373" s="60" t="n">
        <f aca="false">IB372</f>
        <v>0</v>
      </c>
      <c r="G373" s="60" t="n">
        <f aca="false">IC372</f>
        <v>0</v>
      </c>
      <c r="H373" s="60" t="n">
        <f aca="false">ID372</f>
        <v>0</v>
      </c>
      <c r="I373" s="60" t="n">
        <f aca="false">IE372</f>
        <v>0</v>
      </c>
      <c r="J373" s="60" t="n">
        <f aca="false">IF372</f>
        <v>0</v>
      </c>
      <c r="K373" s="60" t="n">
        <f aca="false">IG372</f>
        <v>0</v>
      </c>
      <c r="L373" s="60" t="n">
        <f aca="false">IH372</f>
        <v>0</v>
      </c>
      <c r="M373" s="60" t="n">
        <f aca="false">II372</f>
        <v>0</v>
      </c>
      <c r="N373" s="60" t="n">
        <f aca="false">EXP(B373)</f>
        <v>1</v>
      </c>
      <c r="O373" s="60" t="n">
        <f aca="false">EXP(C373)</f>
        <v>1</v>
      </c>
      <c r="P373" s="60" t="n">
        <f aca="false">EXP(D373)</f>
        <v>1</v>
      </c>
      <c r="Q373" s="60" t="n">
        <f aca="false">EXP(E373)</f>
        <v>1</v>
      </c>
      <c r="R373" s="60" t="n">
        <f aca="false">EXP(F373)</f>
        <v>1</v>
      </c>
      <c r="S373" s="60" t="n">
        <f aca="false">EXP(G373)</f>
        <v>1</v>
      </c>
      <c r="T373" s="60" t="n">
        <f aca="false">EXP(H373)</f>
        <v>1</v>
      </c>
      <c r="U373" s="60" t="n">
        <f aca="false">EXP(I373)</f>
        <v>1</v>
      </c>
      <c r="V373" s="60" t="n">
        <f aca="false">EXP(J373)</f>
        <v>1</v>
      </c>
      <c r="W373" s="60" t="n">
        <f aca="false">EXP(K373)</f>
        <v>1</v>
      </c>
      <c r="X373" s="60" t="n">
        <f aca="false">EXP(L373)</f>
        <v>1</v>
      </c>
      <c r="Y373" s="60" t="n">
        <f aca="false">EXP(M373)</f>
        <v>1</v>
      </c>
      <c r="Z373" s="60" t="n">
        <f aca="false">MAX(N373:Y373)</f>
        <v>1</v>
      </c>
      <c r="AA373" s="60" t="n">
        <f aca="false">MIN(N373:Y373)</f>
        <v>1</v>
      </c>
      <c r="AB373" s="60" t="n">
        <f aca="false">AND(Z373&gt;1,AA373&lt;1)</f>
        <v>0</v>
      </c>
      <c r="AC373" s="60" t="n">
        <f aca="false">IF(AB373,1/(1-Z373),0)</f>
        <v>0</v>
      </c>
      <c r="AD373" s="60" t="n">
        <f aca="false">IF(AB373,1/(1-AA373),1)</f>
        <v>1</v>
      </c>
      <c r="AE373" s="60" t="n">
        <f aca="false">IF(AB373,MIN(MAX(BI372,AC373+0.000000001*(AD373-AC373)),AD373-0.000000001*(AD373-AC373)),IF(AA373&gt;=1,1,0))</f>
        <v>1</v>
      </c>
      <c r="AF373" s="60" t="n">
        <f aca="false">SUMPRODUCT($E$13:$P$13*(N373:Y373-1)/(1+AE373*(N373:Y373-1)))</f>
        <v>0</v>
      </c>
      <c r="AG373" s="60" t="n">
        <f aca="false">-SUMPRODUCT($E$13:$P$13*(N373:Y373-1)^2/(1+AE373*(N373:Y373-1))^2)</f>
        <v>-0</v>
      </c>
      <c r="AH373" s="60" t="n">
        <f aca="false">IF(OR(NOT(AB373),AG373=0),AE373,IF(AE373-AF373/AG373&lt;=AC373,(AE373+AC373)/2,IF(AE373-AF373/AG373&gt;=AD373,(AE373+AD373)/2,AE373-AF373/AG373)))</f>
        <v>1</v>
      </c>
      <c r="AI373" s="60" t="n">
        <f aca="false">SUMPRODUCT($E$13:$P$13*(N373:Y373-1)/(1+AH373*(N373:Y373-1)))</f>
        <v>0</v>
      </c>
      <c r="AJ373" s="60" t="n">
        <f aca="false">-SUMPRODUCT($E$13:$P$13*(N373:Y373-1)^2/(1+AH373*(N373:Y373-1))^2)</f>
        <v>-0</v>
      </c>
      <c r="AK373" s="60" t="n">
        <f aca="false">IF(OR(NOT(AB373),AJ373=0),AH373,IF(AH373-AI373/AJ373&lt;=AC373,(AH373+AC373)/2,IF(AH373-AI373/AJ373&gt;=AD373,(AH373+AD373)/2,AH373-AI373/AJ373)))</f>
        <v>1</v>
      </c>
      <c r="AL373" s="60" t="n">
        <f aca="false">SUMPRODUCT($E$13:$P$13*(N373:Y373-1)/(1+AK373*(N373:Y373-1)))</f>
        <v>0</v>
      </c>
      <c r="AM373" s="60" t="n">
        <f aca="false">-SUMPRODUCT($E$13:$P$13*(N373:Y373-1)^2/(1+AK373*(N373:Y373-1))^2)</f>
        <v>-0</v>
      </c>
      <c r="AN373" s="60" t="n">
        <f aca="false">IF(OR(NOT(AB373),AM373=0),AK373,IF(AK373-AL373/AM373&lt;=AC373,(AK373+AC373)/2,IF(AK373-AL373/AM373&gt;=AD373,(AK373+AD373)/2,AK373-AL373/AM373)))</f>
        <v>1</v>
      </c>
      <c r="AO373" s="60" t="n">
        <f aca="false">SUMPRODUCT($E$13:$P$13*(N373:Y373-1)/(1+AN373*(N373:Y373-1)))</f>
        <v>0</v>
      </c>
      <c r="AP373" s="60" t="n">
        <f aca="false">-SUMPRODUCT($E$13:$P$13*(N373:Y373-1)^2/(1+AN373*(N373:Y373-1))^2)</f>
        <v>-0</v>
      </c>
      <c r="AQ373" s="60" t="n">
        <f aca="false">IF(OR(NOT(AB373),AP373=0),AN373,IF(AN373-AO373/AP373&lt;=AC373,(AN373+AC373)/2,IF(AN373-AO373/AP373&gt;=AD373,(AN373+AD373)/2,AN373-AO373/AP373)))</f>
        <v>1</v>
      </c>
      <c r="AR373" s="60" t="n">
        <f aca="false">SUMPRODUCT($E$13:$P$13*(N373:Y373-1)/(1+AQ373*(N373:Y373-1)))</f>
        <v>0</v>
      </c>
      <c r="AS373" s="60" t="n">
        <f aca="false">-SUMPRODUCT($E$13:$P$13*(N373:Y373-1)^2/(1+AQ373*(N373:Y373-1))^2)</f>
        <v>-0</v>
      </c>
      <c r="AT373" s="60" t="n">
        <f aca="false">IF(OR(NOT(AB373),AS373=0),AQ373,IF(AQ373-AR373/AS373&lt;=AC373,(AQ373+AC373)/2,IF(AQ373-AR373/AS373&gt;=AD373,(AQ373+AD373)/2,AQ373-AR373/AS373)))</f>
        <v>1</v>
      </c>
      <c r="AU373" s="60" t="n">
        <f aca="false">SUMPRODUCT($E$13:$P$13*(N373:Y373-1)/(1+AT373*(N373:Y373-1)))</f>
        <v>0</v>
      </c>
      <c r="AV373" s="60" t="n">
        <f aca="false">-SUMPRODUCT($E$13:$P$13*(N373:Y373-1)^2/(1+AT373*(N373:Y373-1))^2)</f>
        <v>-0</v>
      </c>
      <c r="AW373" s="60" t="n">
        <f aca="false">IF(OR(NOT(AB373),AV373=0),AT373,IF(AT373-AU373/AV373&lt;=AC373,(AT373+AC373)/2,IF(AT373-AU373/AV373&gt;=AD373,(AT373+AD373)/2,AT373-AU373/AV373)))</f>
        <v>1</v>
      </c>
      <c r="AX373" s="60" t="n">
        <f aca="false">SUMPRODUCT($E$13:$P$13*(N373:Y373-1)/(1+AW373*(N373:Y373-1)))</f>
        <v>0</v>
      </c>
      <c r="AY373" s="60" t="n">
        <f aca="false">-SUMPRODUCT($E$13:$P$13*(N373:Y373-1)^2/(1+AW373*(N373:Y373-1))^2)</f>
        <v>-0</v>
      </c>
      <c r="AZ373" s="60" t="n">
        <f aca="false">IF(OR(NOT(AB373),AY373=0),AW373,IF(AW373-AX373/AY373&lt;=AC373,(AW373+AC373)/2,IF(AW373-AX373/AY373&gt;=AD373,(AW373+AD373)/2,AW373-AX373/AY373)))</f>
        <v>1</v>
      </c>
      <c r="BA373" s="60" t="n">
        <f aca="false">SUMPRODUCT($E$13:$P$13*(N373:Y373-1)/(1+AZ373*(N373:Y373-1)))</f>
        <v>0</v>
      </c>
      <c r="BB373" s="60" t="n">
        <f aca="false">-SUMPRODUCT($E$13:$P$13*(N373:Y373-1)^2/(1+AZ373*(N373:Y373-1))^2)</f>
        <v>-0</v>
      </c>
      <c r="BC373" s="60" t="n">
        <f aca="false">IF(OR(NOT(AB373),BB373=0),AZ373,IF(AZ373-BA373/BB373&lt;=AC373,(AZ373+AC373)/2,IF(AZ373-BA373/BB373&gt;=AD373,(AZ373+AD373)/2,AZ373-BA373/BB373)))</f>
        <v>1</v>
      </c>
      <c r="BD373" s="60" t="n">
        <f aca="false">SUMPRODUCT($E$13:$P$13*(N373:Y373-1)/(1+BC373*(N373:Y373-1)))</f>
        <v>0</v>
      </c>
      <c r="BE373" s="60" t="n">
        <f aca="false">-SUMPRODUCT($E$13:$P$13*(N373:Y373-1)^2/(1+BC373*(N373:Y373-1))^2)</f>
        <v>-0</v>
      </c>
      <c r="BF373" s="60" t="n">
        <f aca="false">IF(OR(NOT(AB373),BE373=0),BC373,IF(BC373-BD373/BE373&lt;=AC373,(BC373+AC373)/2,IF(BC373-BD373/BE373&gt;=AD373,(BC373+AD373)/2,BC373-BD373/BE373)))</f>
        <v>1</v>
      </c>
      <c r="BG373" s="60" t="n">
        <f aca="false">SUMPRODUCT($E$13:$P$13*(N373:Y373-1)/(1+BF373*(N373:Y373-1)))</f>
        <v>0</v>
      </c>
      <c r="BH373" s="60" t="n">
        <f aca="false">-SUMPRODUCT($E$13:$P$13*(N373:Y373-1)^2/(1+BF373*(N373:Y373-1))^2)</f>
        <v>-0</v>
      </c>
      <c r="BI373" s="60" t="n">
        <f aca="false">IF(OR(NOT(AB373),BH373=0),BF373,IF(BF373-BG373/BH373&lt;=AC373,(BF373+AC373)/2,IF(BF373-BG373/BH373&gt;=AD373,(BF373+AD373)/2,BF373-BG373/BH373)))</f>
        <v>1</v>
      </c>
      <c r="BJ373" s="60" t="n">
        <f aca="false">$E$13/(1+BI373*(N373-1))</f>
        <v>1</v>
      </c>
      <c r="BK373" s="60" t="n">
        <f aca="false">$F$13/(1+BI373*(O373-1))</f>
        <v>0</v>
      </c>
      <c r="BL373" s="60" t="n">
        <f aca="false">$G$13/(1+BI373*(P373-1))</f>
        <v>0</v>
      </c>
      <c r="BM373" s="60" t="n">
        <f aca="false">$H$13/(1+BI373*(Q373-1))</f>
        <v>0</v>
      </c>
      <c r="BN373" s="60" t="n">
        <f aca="false">$I$13/(1+BI373*(R373-1))</f>
        <v>0</v>
      </c>
      <c r="BO373" s="60" t="n">
        <f aca="false">$J$13/(1+BI373*(S373-1))</f>
        <v>0</v>
      </c>
      <c r="BP373" s="60" t="n">
        <f aca="false">$K$13/(1+BI373*(T373-1))</f>
        <v>0</v>
      </c>
      <c r="BQ373" s="60" t="n">
        <f aca="false">$L$13/(1+BI373*(U373-1))</f>
        <v>0</v>
      </c>
      <c r="BR373" s="60" t="n">
        <f aca="false">$M$13/(1+BI373*(V373-1))</f>
        <v>0</v>
      </c>
      <c r="BS373" s="60" t="n">
        <f aca="false">$N$13/(1+BI373*(W373-1))</f>
        <v>0</v>
      </c>
      <c r="BT373" s="60" t="n">
        <f aca="false">$O$13/(1+BI373*(X373-1))</f>
        <v>0</v>
      </c>
      <c r="BU373" s="60" t="n">
        <f aca="false">$P$13/(1+BI373*(Y373-1))</f>
        <v>0</v>
      </c>
      <c r="BV373" s="60" t="n">
        <f aca="false">SUM(BJ373:BU373)</f>
        <v>1</v>
      </c>
      <c r="BW373" s="60" t="n">
        <f aca="false">SUMPRODUCT(N373:Y373,BJ373:BU373)</f>
        <v>1</v>
      </c>
      <c r="BX373" s="60" t="n">
        <f aca="false">BJ373/BV373</f>
        <v>1</v>
      </c>
      <c r="BY373" s="60" t="n">
        <f aca="false">BK373/BV373</f>
        <v>0</v>
      </c>
      <c r="BZ373" s="60" t="n">
        <f aca="false">BL373/BV373</f>
        <v>0</v>
      </c>
      <c r="CA373" s="60" t="n">
        <f aca="false">BM373/BV373</f>
        <v>0</v>
      </c>
      <c r="CB373" s="60" t="n">
        <f aca="false">BN373/BV373</f>
        <v>0</v>
      </c>
      <c r="CC373" s="60" t="n">
        <f aca="false">BO373/BV373</f>
        <v>0</v>
      </c>
      <c r="CD373" s="60" t="n">
        <f aca="false">BP373/BV373</f>
        <v>0</v>
      </c>
      <c r="CE373" s="60" t="n">
        <f aca="false">BQ373/BV373</f>
        <v>0</v>
      </c>
      <c r="CF373" s="60" t="n">
        <f aca="false">BR373/BV373</f>
        <v>0</v>
      </c>
      <c r="CG373" s="60" t="n">
        <f aca="false">BS373/BV373</f>
        <v>0</v>
      </c>
      <c r="CH373" s="60" t="n">
        <f aca="false">BT373/BV373</f>
        <v>0</v>
      </c>
      <c r="CI373" s="60" t="n">
        <f aca="false">BU373/BV373</f>
        <v>0</v>
      </c>
      <c r="CJ373" s="60" t="n">
        <f aca="false">N373*BJ373/BW373</f>
        <v>1</v>
      </c>
      <c r="CK373" s="60" t="n">
        <f aca="false">O373*BK373/BW373</f>
        <v>0</v>
      </c>
      <c r="CL373" s="60" t="n">
        <f aca="false">P373*BL373/BW373</f>
        <v>0</v>
      </c>
      <c r="CM373" s="60" t="n">
        <f aca="false">Q373*BM373/BW373</f>
        <v>0</v>
      </c>
      <c r="CN373" s="60" t="n">
        <f aca="false">R373*BN373/BW373</f>
        <v>0</v>
      </c>
      <c r="CO373" s="60" t="n">
        <f aca="false">S373*BO373/BW373</f>
        <v>0</v>
      </c>
      <c r="CP373" s="60" t="n">
        <f aca="false">T373*BP373/BW373</f>
        <v>0</v>
      </c>
      <c r="CQ373" s="60" t="n">
        <f aca="false">U373*BQ373/BW373</f>
        <v>0</v>
      </c>
      <c r="CR373" s="60" t="n">
        <f aca="false">V373*BR373/BW373</f>
        <v>0</v>
      </c>
      <c r="CS373" s="60" t="n">
        <f aca="false">W373*BS373/BW373</f>
        <v>0</v>
      </c>
      <c r="CT373" s="60" t="n">
        <f aca="false">X373*BT373/BW373</f>
        <v>0</v>
      </c>
      <c r="CU373" s="60" t="n">
        <f aca="false">Y373*BU373/BW373</f>
        <v>0</v>
      </c>
      <c r="CV373" s="60" t="n">
        <f aca="false">$E$28*SUMPRODUCT($E$31:$P$31,BX373:CI373,$E$28:$P$28)</f>
        <v>0.184416866619846</v>
      </c>
      <c r="CW373" s="60" t="n">
        <f aca="false">$F$28*SUMPRODUCT($E$32:$P$32,BX373:CI373,$E$28:$P$28)</f>
        <v>0</v>
      </c>
      <c r="CX373" s="60" t="n">
        <f aca="false">$G$28*SUMPRODUCT($E$33:$P$33,BX373:CI373,$E$28:$P$28)</f>
        <v>0</v>
      </c>
      <c r="CY373" s="60" t="n">
        <f aca="false">$H$28*SUMPRODUCT($E$34:$P$34,BX373:CI373,$E$28:$P$28)</f>
        <v>0</v>
      </c>
      <c r="CZ373" s="60" t="n">
        <f aca="false">$I$28*SUMPRODUCT($E$35:$P$35,BX373:CI373,$E$28:$P$28)</f>
        <v>0</v>
      </c>
      <c r="DA373" s="60" t="n">
        <f aca="false">$J$28*SUMPRODUCT($E$36:$P$36,BX373:CI373,$E$28:$P$28)</f>
        <v>0</v>
      </c>
      <c r="DB373" s="60" t="n">
        <f aca="false">$K$28*SUMPRODUCT($E$37:$P$37,BX373:CI373,$E$28:$P$28)</f>
        <v>0</v>
      </c>
      <c r="DC373" s="60" t="n">
        <f aca="false">$L$28*SUMPRODUCT($E$38:$P$38,BX373:CI373,$E$28:$P$28)</f>
        <v>0</v>
      </c>
      <c r="DD373" s="60" t="n">
        <f aca="false">$M$28*SUMPRODUCT($E$39:$P$39,BX373:CI373,$E$28:$P$28)</f>
        <v>0</v>
      </c>
      <c r="DE373" s="60" t="n">
        <f aca="false">$N$28*SUMPRODUCT($E$40:$P$40,BX373:CI373,$E$28:$P$28)</f>
        <v>0</v>
      </c>
      <c r="DF373" s="60" t="n">
        <f aca="false">$O$28*SUMPRODUCT($E$41:$P$41,BX373:CI373,$E$28:$P$28)</f>
        <v>0</v>
      </c>
      <c r="DG373" s="60" t="n">
        <f aca="false">$P$28*SUMPRODUCT($E$42:$P$42,BX373:CI373,$E$28:$P$28)</f>
        <v>0</v>
      </c>
      <c r="DH373" s="60" t="n">
        <f aca="false">SUMPRODUCT(BX373:CI373,CV373:DG373)</f>
        <v>0.184416866619846</v>
      </c>
      <c r="DI373" s="60" t="n">
        <f aca="false">SUMPRODUCT(BX373:CI373,$E$27:$P$27)</f>
        <v>2.67389635063809E-005</v>
      </c>
      <c r="DJ373" s="60" t="n">
        <f aca="false">DH373*$C$9/($C$10*$C$8)^2</f>
        <v>0.21776909410545</v>
      </c>
      <c r="DK373" s="60" t="n">
        <f aca="false">DI373*$C$9/($C$10*$C$8)</f>
        <v>0.0918845243259994</v>
      </c>
      <c r="DL373" s="60" t="n">
        <f aca="false">CHOOSE($C$7,-(1+DK373),-1,-(1-DK373))</f>
        <v>-0.908115475674001</v>
      </c>
      <c r="DM373" s="60" t="n">
        <f aca="false">CHOOSE($C$7,DJ373,DJ373-DK373-DK373^2,DJ373-3*DK373^2-2*DK373)</f>
        <v>0.00867174802160559</v>
      </c>
      <c r="DN373" s="60" t="n">
        <f aca="false">CHOOSE($C$7,-DJ373*DK373,-DJ373*DK373,-(DJ373*DK373-DK373^2-DK373^3))</f>
        <v>-0.0107910842936637</v>
      </c>
      <c r="DO373" s="60" t="n">
        <f aca="false">DM373-DL373^2/3</f>
        <v>-0.266219491031267</v>
      </c>
      <c r="DP373" s="60" t="n">
        <f aca="false">2*DL373^3/27-DL373*DM373/3+DN373</f>
        <v>-0.0636400988362784</v>
      </c>
      <c r="DQ373" s="60" t="n">
        <f aca="false">DP373^2/4+DO373^3/27</f>
        <v>0.000313710901361829</v>
      </c>
      <c r="DR373" s="60" t="n">
        <f aca="false">-DP373/2-IF(DP373&gt;=0,1,-1)*SQRT(MAX(DQ373,0))</f>
        <v>0.0495319352963236</v>
      </c>
      <c r="DS373" s="60" t="n">
        <f aca="false">SIGN(DR373)*ABS(DR373)^(1/3)</f>
        <v>0.367249967174439</v>
      </c>
      <c r="DT373" s="60" t="n">
        <f aca="false">IF(DS373=0,0,DS373-DO373/(3*DS373))</f>
        <v>0.60888329127384</v>
      </c>
      <c r="DU373" s="60" t="n">
        <f aca="false">2*SQRT(MAX(-DO373,0)/3)</f>
        <v>0.595784626668918</v>
      </c>
      <c r="DV373" s="60" t="n">
        <f aca="false">ACOS(IF(DU373=0,0,MAX(-1,MIN(1,3*DP373/(DO373*DU373)))))</f>
        <v>0</v>
      </c>
      <c r="DW373" s="60" t="n">
        <f aca="false">DU373*COS(DV373/3)</f>
        <v>0.595784626668918</v>
      </c>
      <c r="DX373" s="60" t="n">
        <f aca="false">IF(DQ373&lt;0,DW373,DT373)-DL373/3</f>
        <v>0.91158844983184</v>
      </c>
      <c r="DY373" s="60" t="n">
        <f aca="false">IFERROR((((DX373+DL373)*DX373+DM373)*DX373+DN373)/((3*DX373+2*DL373)*DX373+DM373),0)</f>
        <v>0</v>
      </c>
      <c r="DZ373" s="60" t="n">
        <f aca="false">IF(ABS(DY373)&lt;0.1*ABS(DX373),DX373-DY373,DX373)</f>
        <v>0.91158844983184</v>
      </c>
      <c r="EA373" s="60" t="n">
        <f aca="false">IFERROR((((DZ373+DL373)*DZ373+DM373)*DZ373+DN373)/((3*DZ373+2*DL373)*DZ373+DM373),0)</f>
        <v>0</v>
      </c>
      <c r="EB373" s="60" t="n">
        <f aca="false">IF(ABS(EA373)&lt;0.1*ABS(DZ373),DZ373-EA373,DZ373)</f>
        <v>0.91158844983184</v>
      </c>
      <c r="EC373" s="60" t="n">
        <f aca="false">-DN373/EB373</f>
        <v>0.0118376711504565</v>
      </c>
      <c r="ED373" s="60" t="n">
        <f aca="false">(DM373-EC373)/EB373</f>
        <v>-0.00347297415783941</v>
      </c>
      <c r="EE373" s="60" t="n">
        <f aca="false">ED373^2-4*EC373</f>
        <v>-0.0473386230523248</v>
      </c>
      <c r="EF373" s="60" t="n">
        <f aca="false">IF(EE373&gt;=0,(ED373+IF(ED373&gt;=0,1,-1)*SQRT(EE373))/2,0)</f>
        <v>0</v>
      </c>
      <c r="EG373" s="60" t="n">
        <f aca="false">IF(AND(EE373&gt;=0,EF373&lt;&gt;0),MIN(EF373,EC373/EF373),-1)</f>
        <v>-1</v>
      </c>
      <c r="EH373" s="60" t="n">
        <f aca="false">AND(EE373&gt;=0,EG373&gt;DK373,ABS(EB373-EG373)&gt;=0.00005*MAX(EB373,EG373))</f>
        <v>0</v>
      </c>
      <c r="EI373" s="60" t="n">
        <f aca="false">IF(EH373,IFERROR((((EG373+DL373)*EG373+DM373)*EG373+DN373)/((3*EG373+2*DL373)*EG373+DM373),0),0)</f>
        <v>0</v>
      </c>
      <c r="EJ373" s="60" t="n">
        <f aca="false">IF(ABS(EI373)&lt;0.1*ABS(EG373),EG373-EI373,EG373)</f>
        <v>-1</v>
      </c>
      <c r="EK373" s="60" t="n">
        <f aca="false">IF(EH373,IFERROR((((EJ373+DL373)*EJ373+DM373)*EJ373+DN373)/((3*EJ373+2*DL373)*EJ373+DM373),0),0)</f>
        <v>0</v>
      </c>
      <c r="EL373" s="60" t="n">
        <f aca="false">IF(ABS(EK373)&lt;0.1*ABS(EJ373),EJ373-EK373,EJ373)</f>
        <v>-1</v>
      </c>
      <c r="EM373" s="60" t="n">
        <f aca="false">IF(EH373,MAX(EB373,EL373),EB373)</f>
        <v>0.91158844983184</v>
      </c>
      <c r="EN373" s="60" t="n">
        <f aca="false">IF(EH373,MIN(EB373,EL373),-1)</f>
        <v>-1</v>
      </c>
      <c r="EO373" s="60" t="n">
        <f aca="false">CHOOSE($C$7,DJ373/EM373,DJ373/DK373*LN(1+DK373/EM373),DJ373/(2*SQRT(2)*DK373)*LN((EM373+(1+SQRT(2))*DK373)/(EM373+(1-SQRT(2))*DK373)))</f>
        <v>0.218240791233887</v>
      </c>
      <c r="EP373" s="60" t="n">
        <f aca="false">EM373-1-LN(EM373-DK373)-EO373</f>
        <v>-0.107840271021729</v>
      </c>
      <c r="EQ373" s="60" t="n">
        <f aca="false">IF(EH373,CHOOSE($C$7,DJ373/EN373,DJ373/DK373*LN(1+DK373/EN373),DJ373/(2*SQRT(2)*DK373)*LN((EN373+(1+SQRT(2))*DK373)/(EN373+(1-SQRT(2))*DK373))),0)</f>
        <v>0</v>
      </c>
      <c r="ER373" s="60" t="n">
        <f aca="false">IF(EH373,EN373-1-LN(EN373-DK373)-EQ373,0)</f>
        <v>0</v>
      </c>
      <c r="ES373" s="60" t="n">
        <f aca="false">AND(EH373,ER373&lt;EP373)</f>
        <v>0</v>
      </c>
      <c r="ET373" s="60" t="n">
        <f aca="false">IF(ES373,EN373,EM373)</f>
        <v>0.91158844983184</v>
      </c>
      <c r="EU373" s="60" t="n">
        <f aca="false">IF(ES373,EQ373,EO373)</f>
        <v>0.218240791233887</v>
      </c>
      <c r="EV373" s="60" t="n">
        <f aca="false">LN(ET373-DK373)</f>
        <v>-0.198812070380318</v>
      </c>
      <c r="EW373" s="60" t="n">
        <f aca="false">$E$27/DI373*(ET373-1)-EV373-EU373*(2*CV373/DH373-$E$27/DI373)</f>
        <v>-0.107840271021729</v>
      </c>
      <c r="EX373" s="60" t="n">
        <f aca="false">$F$27/DI373*(ET373-1)-EV373-EU373*(2*CW373/DH373-$F$27/DI373)</f>
        <v>0.198812070380318</v>
      </c>
      <c r="EY373" s="60" t="n">
        <f aca="false">$G$27/DI373*(ET373-1)-EV373-EU373*(2*CX373/DH373-$G$27/DI373)</f>
        <v>0.198812070380318</v>
      </c>
      <c r="EZ373" s="60" t="n">
        <f aca="false">$H$27/DI373*(ET373-1)-EV373-EU373*(2*CY373/DH373-$H$27/DI373)</f>
        <v>0.198812070380318</v>
      </c>
      <c r="FA373" s="60" t="n">
        <f aca="false">$I$27/DI373*(ET373-1)-EV373-EU373*(2*CZ373/DH373-$I$27/DI373)</f>
        <v>0.198812070380318</v>
      </c>
      <c r="FB373" s="60" t="n">
        <f aca="false">$J$27/DI373*(ET373-1)-EV373-EU373*(2*DA373/DH373-$J$27/DI373)</f>
        <v>0.198812070380318</v>
      </c>
      <c r="FC373" s="60" t="n">
        <f aca="false">$K$27/DI373*(ET373-1)-EV373-EU373*(2*DB373/DH373-$K$27/DI373)</f>
        <v>0.198812070380318</v>
      </c>
      <c r="FD373" s="60" t="n">
        <f aca="false">$L$27/DI373*(ET373-1)-EV373-EU373*(2*DC373/DH373-$L$27/DI373)</f>
        <v>0.198812070380318</v>
      </c>
      <c r="FE373" s="60" t="n">
        <f aca="false">$M$27/DI373*(ET373-1)-EV373-EU373*(2*DD373/DH373-$M$27/DI373)</f>
        <v>0.198812070380318</v>
      </c>
      <c r="FF373" s="60" t="n">
        <f aca="false">$N$27/DI373*(ET373-1)-EV373-EU373*(2*DE373/DH373-$N$27/DI373)</f>
        <v>0.198812070380318</v>
      </c>
      <c r="FG373" s="60" t="n">
        <f aca="false">$O$27/DI373*(ET373-1)-EV373-EU373*(2*DF373/DH373-$O$27/DI373)</f>
        <v>0.198812070380318</v>
      </c>
      <c r="FH373" s="60" t="n">
        <f aca="false">$P$27/DI373*(ET373-1)-EV373-EU373*(2*DG373/DH373-$P$27/DI373)</f>
        <v>0.198812070380318</v>
      </c>
      <c r="FI373" s="60" t="n">
        <f aca="false">DK373/ET373&gt;$C$22</f>
        <v>0</v>
      </c>
      <c r="FJ373" s="60" t="n">
        <f aca="false">$E$28*SUMPRODUCT($E$31:$P$31,CJ373:CU373,$E$28:$P$28)</f>
        <v>0.184416866619846</v>
      </c>
      <c r="FK373" s="60" t="n">
        <f aca="false">$F$28*SUMPRODUCT($E$32:$P$32,CJ373:CU373,$E$28:$P$28)</f>
        <v>0</v>
      </c>
      <c r="FL373" s="60" t="n">
        <f aca="false">$G$28*SUMPRODUCT($E$33:$P$33,CJ373:CU373,$E$28:$P$28)</f>
        <v>0</v>
      </c>
      <c r="FM373" s="60" t="n">
        <f aca="false">$H$28*SUMPRODUCT($E$34:$P$34,CJ373:CU373,$E$28:$P$28)</f>
        <v>0</v>
      </c>
      <c r="FN373" s="60" t="n">
        <f aca="false">$I$28*SUMPRODUCT($E$35:$P$35,CJ373:CU373,$E$28:$P$28)</f>
        <v>0</v>
      </c>
      <c r="FO373" s="60" t="n">
        <f aca="false">$J$28*SUMPRODUCT($E$36:$P$36,CJ373:CU373,$E$28:$P$28)</f>
        <v>0</v>
      </c>
      <c r="FP373" s="60" t="n">
        <f aca="false">$K$28*SUMPRODUCT($E$37:$P$37,CJ373:CU373,$E$28:$P$28)</f>
        <v>0</v>
      </c>
      <c r="FQ373" s="60" t="n">
        <f aca="false">$L$28*SUMPRODUCT($E$38:$P$38,CJ373:CU373,$E$28:$P$28)</f>
        <v>0</v>
      </c>
      <c r="FR373" s="60" t="n">
        <f aca="false">$M$28*SUMPRODUCT($E$39:$P$39,CJ373:CU373,$E$28:$P$28)</f>
        <v>0</v>
      </c>
      <c r="FS373" s="60" t="n">
        <f aca="false">$N$28*SUMPRODUCT($E$40:$P$40,CJ373:CU373,$E$28:$P$28)</f>
        <v>0</v>
      </c>
      <c r="FT373" s="60" t="n">
        <f aca="false">$O$28*SUMPRODUCT($E$41:$P$41,CJ373:CU373,$E$28:$P$28)</f>
        <v>0</v>
      </c>
      <c r="FU373" s="60" t="n">
        <f aca="false">$P$28*SUMPRODUCT($E$42:$P$42,CJ373:CU373,$E$28:$P$28)</f>
        <v>0</v>
      </c>
      <c r="FV373" s="60" t="n">
        <f aca="false">SUMPRODUCT(CJ373:CU373,FJ373:FU373)</f>
        <v>0.184416866619846</v>
      </c>
      <c r="FW373" s="60" t="n">
        <f aca="false">SUMPRODUCT(CJ373:CU373,$E$27:$P$27)</f>
        <v>2.67389635063809E-005</v>
      </c>
      <c r="FX373" s="60" t="n">
        <f aca="false">FV373*$C$9/($C$10*$C$8)^2</f>
        <v>0.21776909410545</v>
      </c>
      <c r="FY373" s="60" t="n">
        <f aca="false">FW373*$C$9/($C$10*$C$8)</f>
        <v>0.0918845243259994</v>
      </c>
      <c r="FZ373" s="60" t="n">
        <f aca="false">CHOOSE($C$7,-(1+FY373),-1,-(1-FY373))</f>
        <v>-0.908115475674001</v>
      </c>
      <c r="GA373" s="60" t="n">
        <f aca="false">CHOOSE($C$7,FX373,FX373-FY373-FY373^2,FX373-3*FY373^2-2*FY373)</f>
        <v>0.00867174802160559</v>
      </c>
      <c r="GB373" s="60" t="n">
        <f aca="false">CHOOSE($C$7,-FX373*FY373,-FX373*FY373,-(FX373*FY373-FY373^2-FY373^3))</f>
        <v>-0.0107910842936637</v>
      </c>
      <c r="GC373" s="60" t="n">
        <f aca="false">GA373-FZ373^2/3</f>
        <v>-0.266219491031267</v>
      </c>
      <c r="GD373" s="60" t="n">
        <f aca="false">2*FZ373^3/27-FZ373*GA373/3+GB373</f>
        <v>-0.0636400988362784</v>
      </c>
      <c r="GE373" s="60" t="n">
        <f aca="false">GD373^2/4+GC373^3/27</f>
        <v>0.000313710901361829</v>
      </c>
      <c r="GF373" s="60" t="n">
        <f aca="false">-GD373/2-IF(GD373&gt;=0,1,-1)*SQRT(MAX(GE373,0))</f>
        <v>0.0495319352963236</v>
      </c>
      <c r="GG373" s="60" t="n">
        <f aca="false">SIGN(GF373)*ABS(GF373)^(1/3)</f>
        <v>0.367249967174439</v>
      </c>
      <c r="GH373" s="60" t="n">
        <f aca="false">IF(GG373=0,0,GG373-GC373/(3*GG373))</f>
        <v>0.60888329127384</v>
      </c>
      <c r="GI373" s="60" t="n">
        <f aca="false">2*SQRT(MAX(-GC373,0)/3)</f>
        <v>0.595784626668918</v>
      </c>
      <c r="GJ373" s="60" t="n">
        <f aca="false">ACOS(IF(GI373=0,0,MAX(-1,MIN(1,3*GD373/(GC373*GI373)))))</f>
        <v>0</v>
      </c>
      <c r="GK373" s="60" t="n">
        <f aca="false">GI373*COS(GJ373/3)</f>
        <v>0.595784626668918</v>
      </c>
      <c r="GL373" s="60" t="n">
        <f aca="false">IF(GE373&lt;0,GK373,GH373)-FZ373/3</f>
        <v>0.91158844983184</v>
      </c>
      <c r="GM373" s="60" t="n">
        <f aca="false">IFERROR((((GL373+FZ373)*GL373+GA373)*GL373+GB373)/((3*GL373+2*FZ373)*GL373+GA373),0)</f>
        <v>0</v>
      </c>
      <c r="GN373" s="60" t="n">
        <f aca="false">IF(ABS(GM373)&lt;0.1*ABS(GL373),GL373-GM373,GL373)</f>
        <v>0.91158844983184</v>
      </c>
      <c r="GO373" s="60" t="n">
        <f aca="false">IFERROR((((GN373+FZ373)*GN373+GA373)*GN373+GB373)/((3*GN373+2*FZ373)*GN373+GA373),0)</f>
        <v>0</v>
      </c>
      <c r="GP373" s="60" t="n">
        <f aca="false">IF(ABS(GO373)&lt;0.1*ABS(GN373),GN373-GO373,GN373)</f>
        <v>0.91158844983184</v>
      </c>
      <c r="GQ373" s="60" t="n">
        <f aca="false">-GB373/GP373</f>
        <v>0.0118376711504565</v>
      </c>
      <c r="GR373" s="60" t="n">
        <f aca="false">(GA373-GQ373)/GP373</f>
        <v>-0.00347297415783941</v>
      </c>
      <c r="GS373" s="60" t="n">
        <f aca="false">GR373^2-4*GQ373</f>
        <v>-0.0473386230523248</v>
      </c>
      <c r="GT373" s="60" t="n">
        <f aca="false">IF(GS373&gt;=0,(GR373+IF(GR373&gt;=0,1,-1)*SQRT(GS373))/2,0)</f>
        <v>0</v>
      </c>
      <c r="GU373" s="60" t="n">
        <f aca="false">IF(AND(GS373&gt;=0,GT373&lt;&gt;0),MIN(GT373,GQ373/GT373),-1)</f>
        <v>-1</v>
      </c>
      <c r="GV373" s="60" t="n">
        <f aca="false">AND(GS373&gt;=0,GU373&gt;FY373,ABS(GP373-GU373)&gt;=0.00005*MAX(GP373,GU373))</f>
        <v>0</v>
      </c>
      <c r="GW373" s="60" t="n">
        <f aca="false">IF(GV373,IFERROR((((GU373+FZ373)*GU373+GA373)*GU373+GB373)/((3*GU373+2*FZ373)*GU373+GA373),0),0)</f>
        <v>0</v>
      </c>
      <c r="GX373" s="60" t="n">
        <f aca="false">IF(ABS(GW373)&lt;0.1*ABS(GU373),GU373-GW373,GU373)</f>
        <v>-1</v>
      </c>
      <c r="GY373" s="60" t="n">
        <f aca="false">IF(GV373,IFERROR((((GX373+FZ373)*GX373+GA373)*GX373+GB373)/((3*GX373+2*FZ373)*GX373+GA373),0),0)</f>
        <v>0</v>
      </c>
      <c r="GZ373" s="60" t="n">
        <f aca="false">IF(ABS(GY373)&lt;0.1*ABS(GX373),GX373-GY373,GX373)</f>
        <v>-1</v>
      </c>
      <c r="HA373" s="60" t="n">
        <f aca="false">IF(GV373,MAX(GP373,GZ373),GP373)</f>
        <v>0.91158844983184</v>
      </c>
      <c r="HB373" s="60" t="n">
        <f aca="false">IF(GV373,MIN(GP373,GZ373),-1)</f>
        <v>-1</v>
      </c>
      <c r="HC373" s="60" t="n">
        <f aca="false">CHOOSE($C$7,FX373/HA373,FX373/FY373*LN(1+FY373/HA373),FX373/(2*SQRT(2)*FY373)*LN((HA373+(1+SQRT(2))*FY373)/(HA373+(1-SQRT(2))*FY373)))</f>
        <v>0.218240791233887</v>
      </c>
      <c r="HD373" s="60" t="n">
        <f aca="false">HA373-1-LN(HA373-FY373)-HC373</f>
        <v>-0.107840271021729</v>
      </c>
      <c r="HE373" s="60" t="n">
        <f aca="false">IF(GV373,CHOOSE($C$7,FX373/HB373,FX373/FY373*LN(1+FY373/HB373),FX373/(2*SQRT(2)*FY373)*LN((HB373+(1+SQRT(2))*FY373)/(HB373+(1-SQRT(2))*FY373))),0)</f>
        <v>0</v>
      </c>
      <c r="HF373" s="60" t="n">
        <f aca="false">IF(GV373,HB373-1-LN(HB373-FY373)-HE373,0)</f>
        <v>0</v>
      </c>
      <c r="HG373" s="60" t="n">
        <f aca="false">AND(GV373,HF373&lt;HD373)</f>
        <v>0</v>
      </c>
      <c r="HH373" s="60" t="n">
        <f aca="false">IF(HG373,HB373,HA373)</f>
        <v>0.91158844983184</v>
      </c>
      <c r="HI373" s="60" t="n">
        <f aca="false">IF(HG373,HE373,HC373)</f>
        <v>0.218240791233887</v>
      </c>
      <c r="HJ373" s="60" t="n">
        <f aca="false">LN(HH373-FY373)</f>
        <v>-0.198812070380318</v>
      </c>
      <c r="HK373" s="60" t="n">
        <f aca="false">$E$27/FW373*(HH373-1)-HJ373-HI373*(2*FJ373/FV373-$E$27/FW373)</f>
        <v>-0.107840271021729</v>
      </c>
      <c r="HL373" s="60" t="n">
        <f aca="false">$F$27/FW373*(HH373-1)-HJ373-HI373*(2*FK373/FV373-$F$27/FW373)</f>
        <v>0.198812070380318</v>
      </c>
      <c r="HM373" s="60" t="n">
        <f aca="false">$G$27/FW373*(HH373-1)-HJ373-HI373*(2*FL373/FV373-$G$27/FW373)</f>
        <v>0.198812070380318</v>
      </c>
      <c r="HN373" s="60" t="n">
        <f aca="false">$H$27/FW373*(HH373-1)-HJ373-HI373*(2*FM373/FV373-$H$27/FW373)</f>
        <v>0.198812070380318</v>
      </c>
      <c r="HO373" s="60" t="n">
        <f aca="false">$I$27/FW373*(HH373-1)-HJ373-HI373*(2*FN373/FV373-$I$27/FW373)</f>
        <v>0.198812070380318</v>
      </c>
      <c r="HP373" s="60" t="n">
        <f aca="false">$J$27/FW373*(HH373-1)-HJ373-HI373*(2*FO373/FV373-$J$27/FW373)</f>
        <v>0.198812070380318</v>
      </c>
      <c r="HQ373" s="60" t="n">
        <f aca="false">$K$27/FW373*(HH373-1)-HJ373-HI373*(2*FP373/FV373-$K$27/FW373)</f>
        <v>0.198812070380318</v>
      </c>
      <c r="HR373" s="60" t="n">
        <f aca="false">$L$27/FW373*(HH373-1)-HJ373-HI373*(2*FQ373/FV373-$L$27/FW373)</f>
        <v>0.198812070380318</v>
      </c>
      <c r="HS373" s="60" t="n">
        <f aca="false">$M$27/FW373*(HH373-1)-HJ373-HI373*(2*FR373/FV373-$M$27/FW373)</f>
        <v>0.198812070380318</v>
      </c>
      <c r="HT373" s="60" t="n">
        <f aca="false">$N$27/FW373*(HH373-1)-HJ373-HI373*(2*FS373/FV373-$N$27/FW373)</f>
        <v>0.198812070380318</v>
      </c>
      <c r="HU373" s="60" t="n">
        <f aca="false">$O$27/FW373*(HH373-1)-HJ373-HI373*(2*FT373/FV373-$O$27/FW373)</f>
        <v>0.198812070380318</v>
      </c>
      <c r="HV373" s="60" t="n">
        <f aca="false">$P$27/FW373*(HH373-1)-HJ373-HI373*(2*FU373/FV373-$P$27/FW373)</f>
        <v>0.198812070380318</v>
      </c>
      <c r="HW373" s="60" t="n">
        <f aca="false">FY373/HH373&gt;$C$22</f>
        <v>0</v>
      </c>
      <c r="HX373" s="60" t="n">
        <f aca="false">IF($E$13&gt;0,MAX(-300,MIN(300,EW373-HK373)),0)</f>
        <v>0</v>
      </c>
      <c r="HY373" s="60" t="n">
        <f aca="false">IF($F$13&gt;0,MAX(-300,MIN(300,EX373-HL373)),0)</f>
        <v>0</v>
      </c>
      <c r="HZ373" s="60" t="n">
        <f aca="false">IF($G$13&gt;0,MAX(-300,MIN(300,EY373-HM373)),0)</f>
        <v>0</v>
      </c>
      <c r="IA373" s="60" t="n">
        <f aca="false">IF($H$13&gt;0,MAX(-300,MIN(300,EZ373-HN373)),0)</f>
        <v>0</v>
      </c>
      <c r="IB373" s="60" t="n">
        <f aca="false">IF($I$13&gt;0,MAX(-300,MIN(300,FA373-HO373)),0)</f>
        <v>0</v>
      </c>
      <c r="IC373" s="60" t="n">
        <f aca="false">IF($J$13&gt;0,MAX(-300,MIN(300,FB373-HP373)),0)</f>
        <v>0</v>
      </c>
      <c r="ID373" s="60" t="n">
        <f aca="false">IF($K$13&gt;0,MAX(-300,MIN(300,FC373-HQ373)),0)</f>
        <v>0</v>
      </c>
      <c r="IE373" s="60" t="n">
        <f aca="false">IF($L$13&gt;0,MAX(-300,MIN(300,FD373-HR373)),0)</f>
        <v>0</v>
      </c>
      <c r="IF373" s="60" t="n">
        <f aca="false">IF($M$13&gt;0,MAX(-300,MIN(300,FE373-HS373)),0)</f>
        <v>0</v>
      </c>
      <c r="IG373" s="60" t="n">
        <f aca="false">IF($N$13&gt;0,MAX(-300,MIN(300,FF373-HT373)),0)</f>
        <v>0</v>
      </c>
      <c r="IH373" s="60" t="n">
        <f aca="false">IF($O$13&gt;0,MAX(-300,MIN(300,FG373-HU373)),0)</f>
        <v>0</v>
      </c>
      <c r="II373" s="60" t="n">
        <f aca="false">IF($P$13&gt;0,MAX(-300,MIN(300,FH373-HV373)),0)</f>
        <v>0</v>
      </c>
      <c r="IJ373" s="60" t="n">
        <f aca="false">SUMXMY2(HX373:II373,B373:M373)</f>
        <v>0</v>
      </c>
      <c r="IK373" s="60" t="n">
        <f aca="false">SUMSQ(B373:M373)</f>
        <v>0</v>
      </c>
    </row>
    <row r="374" customFormat="false" ht="15" hidden="false" customHeight="false" outlineLevel="0" collapsed="false">
      <c r="A374" s="59" t="n">
        <v>13</v>
      </c>
      <c r="B374" s="60" t="n">
        <f aca="false">HX373</f>
        <v>0</v>
      </c>
      <c r="C374" s="60" t="n">
        <f aca="false">HY373</f>
        <v>0</v>
      </c>
      <c r="D374" s="60" t="n">
        <f aca="false">HZ373</f>
        <v>0</v>
      </c>
      <c r="E374" s="60" t="n">
        <f aca="false">IA373</f>
        <v>0</v>
      </c>
      <c r="F374" s="60" t="n">
        <f aca="false">IB373</f>
        <v>0</v>
      </c>
      <c r="G374" s="60" t="n">
        <f aca="false">IC373</f>
        <v>0</v>
      </c>
      <c r="H374" s="60" t="n">
        <f aca="false">ID373</f>
        <v>0</v>
      </c>
      <c r="I374" s="60" t="n">
        <f aca="false">IE373</f>
        <v>0</v>
      </c>
      <c r="J374" s="60" t="n">
        <f aca="false">IF373</f>
        <v>0</v>
      </c>
      <c r="K374" s="60" t="n">
        <f aca="false">IG373</f>
        <v>0</v>
      </c>
      <c r="L374" s="60" t="n">
        <f aca="false">IH373</f>
        <v>0</v>
      </c>
      <c r="M374" s="60" t="n">
        <f aca="false">II373</f>
        <v>0</v>
      </c>
      <c r="N374" s="60" t="n">
        <f aca="false">EXP(B374)</f>
        <v>1</v>
      </c>
      <c r="O374" s="60" t="n">
        <f aca="false">EXP(C374)</f>
        <v>1</v>
      </c>
      <c r="P374" s="60" t="n">
        <f aca="false">EXP(D374)</f>
        <v>1</v>
      </c>
      <c r="Q374" s="60" t="n">
        <f aca="false">EXP(E374)</f>
        <v>1</v>
      </c>
      <c r="R374" s="60" t="n">
        <f aca="false">EXP(F374)</f>
        <v>1</v>
      </c>
      <c r="S374" s="60" t="n">
        <f aca="false">EXP(G374)</f>
        <v>1</v>
      </c>
      <c r="T374" s="60" t="n">
        <f aca="false">EXP(H374)</f>
        <v>1</v>
      </c>
      <c r="U374" s="60" t="n">
        <f aca="false">EXP(I374)</f>
        <v>1</v>
      </c>
      <c r="V374" s="60" t="n">
        <f aca="false">EXP(J374)</f>
        <v>1</v>
      </c>
      <c r="W374" s="60" t="n">
        <f aca="false">EXP(K374)</f>
        <v>1</v>
      </c>
      <c r="X374" s="60" t="n">
        <f aca="false">EXP(L374)</f>
        <v>1</v>
      </c>
      <c r="Y374" s="60" t="n">
        <f aca="false">EXP(M374)</f>
        <v>1</v>
      </c>
      <c r="Z374" s="60" t="n">
        <f aca="false">MAX(N374:Y374)</f>
        <v>1</v>
      </c>
      <c r="AA374" s="60" t="n">
        <f aca="false">MIN(N374:Y374)</f>
        <v>1</v>
      </c>
      <c r="AB374" s="60" t="n">
        <f aca="false">AND(Z374&gt;1,AA374&lt;1)</f>
        <v>0</v>
      </c>
      <c r="AC374" s="60" t="n">
        <f aca="false">IF(AB374,1/(1-Z374),0)</f>
        <v>0</v>
      </c>
      <c r="AD374" s="60" t="n">
        <f aca="false">IF(AB374,1/(1-AA374),1)</f>
        <v>1</v>
      </c>
      <c r="AE374" s="60" t="n">
        <f aca="false">IF(AB374,MIN(MAX(BI373,AC374+0.000000001*(AD374-AC374)),AD374-0.000000001*(AD374-AC374)),IF(AA374&gt;=1,1,0))</f>
        <v>1</v>
      </c>
      <c r="AF374" s="60" t="n">
        <f aca="false">SUMPRODUCT($E$13:$P$13*(N374:Y374-1)/(1+AE374*(N374:Y374-1)))</f>
        <v>0</v>
      </c>
      <c r="AG374" s="60" t="n">
        <f aca="false">-SUMPRODUCT($E$13:$P$13*(N374:Y374-1)^2/(1+AE374*(N374:Y374-1))^2)</f>
        <v>-0</v>
      </c>
      <c r="AH374" s="60" t="n">
        <f aca="false">IF(OR(NOT(AB374),AG374=0),AE374,IF(AE374-AF374/AG374&lt;=AC374,(AE374+AC374)/2,IF(AE374-AF374/AG374&gt;=AD374,(AE374+AD374)/2,AE374-AF374/AG374)))</f>
        <v>1</v>
      </c>
      <c r="AI374" s="60" t="n">
        <f aca="false">SUMPRODUCT($E$13:$P$13*(N374:Y374-1)/(1+AH374*(N374:Y374-1)))</f>
        <v>0</v>
      </c>
      <c r="AJ374" s="60" t="n">
        <f aca="false">-SUMPRODUCT($E$13:$P$13*(N374:Y374-1)^2/(1+AH374*(N374:Y374-1))^2)</f>
        <v>-0</v>
      </c>
      <c r="AK374" s="60" t="n">
        <f aca="false">IF(OR(NOT(AB374),AJ374=0),AH374,IF(AH374-AI374/AJ374&lt;=AC374,(AH374+AC374)/2,IF(AH374-AI374/AJ374&gt;=AD374,(AH374+AD374)/2,AH374-AI374/AJ374)))</f>
        <v>1</v>
      </c>
      <c r="AL374" s="60" t="n">
        <f aca="false">SUMPRODUCT($E$13:$P$13*(N374:Y374-1)/(1+AK374*(N374:Y374-1)))</f>
        <v>0</v>
      </c>
      <c r="AM374" s="60" t="n">
        <f aca="false">-SUMPRODUCT($E$13:$P$13*(N374:Y374-1)^2/(1+AK374*(N374:Y374-1))^2)</f>
        <v>-0</v>
      </c>
      <c r="AN374" s="60" t="n">
        <f aca="false">IF(OR(NOT(AB374),AM374=0),AK374,IF(AK374-AL374/AM374&lt;=AC374,(AK374+AC374)/2,IF(AK374-AL374/AM374&gt;=AD374,(AK374+AD374)/2,AK374-AL374/AM374)))</f>
        <v>1</v>
      </c>
      <c r="AO374" s="60" t="n">
        <f aca="false">SUMPRODUCT($E$13:$P$13*(N374:Y374-1)/(1+AN374*(N374:Y374-1)))</f>
        <v>0</v>
      </c>
      <c r="AP374" s="60" t="n">
        <f aca="false">-SUMPRODUCT($E$13:$P$13*(N374:Y374-1)^2/(1+AN374*(N374:Y374-1))^2)</f>
        <v>-0</v>
      </c>
      <c r="AQ374" s="60" t="n">
        <f aca="false">IF(OR(NOT(AB374),AP374=0),AN374,IF(AN374-AO374/AP374&lt;=AC374,(AN374+AC374)/2,IF(AN374-AO374/AP374&gt;=AD374,(AN374+AD374)/2,AN374-AO374/AP374)))</f>
        <v>1</v>
      </c>
      <c r="AR374" s="60" t="n">
        <f aca="false">SUMPRODUCT($E$13:$P$13*(N374:Y374-1)/(1+AQ374*(N374:Y374-1)))</f>
        <v>0</v>
      </c>
      <c r="AS374" s="60" t="n">
        <f aca="false">-SUMPRODUCT($E$13:$P$13*(N374:Y374-1)^2/(1+AQ374*(N374:Y374-1))^2)</f>
        <v>-0</v>
      </c>
      <c r="AT374" s="60" t="n">
        <f aca="false">IF(OR(NOT(AB374),AS374=0),AQ374,IF(AQ374-AR374/AS374&lt;=AC374,(AQ374+AC374)/2,IF(AQ374-AR374/AS374&gt;=AD374,(AQ374+AD374)/2,AQ374-AR374/AS374)))</f>
        <v>1</v>
      </c>
      <c r="AU374" s="60" t="n">
        <f aca="false">SUMPRODUCT($E$13:$P$13*(N374:Y374-1)/(1+AT374*(N374:Y374-1)))</f>
        <v>0</v>
      </c>
      <c r="AV374" s="60" t="n">
        <f aca="false">-SUMPRODUCT($E$13:$P$13*(N374:Y374-1)^2/(1+AT374*(N374:Y374-1))^2)</f>
        <v>-0</v>
      </c>
      <c r="AW374" s="60" t="n">
        <f aca="false">IF(OR(NOT(AB374),AV374=0),AT374,IF(AT374-AU374/AV374&lt;=AC374,(AT374+AC374)/2,IF(AT374-AU374/AV374&gt;=AD374,(AT374+AD374)/2,AT374-AU374/AV374)))</f>
        <v>1</v>
      </c>
      <c r="AX374" s="60" t="n">
        <f aca="false">SUMPRODUCT($E$13:$P$13*(N374:Y374-1)/(1+AW374*(N374:Y374-1)))</f>
        <v>0</v>
      </c>
      <c r="AY374" s="60" t="n">
        <f aca="false">-SUMPRODUCT($E$13:$P$13*(N374:Y374-1)^2/(1+AW374*(N374:Y374-1))^2)</f>
        <v>-0</v>
      </c>
      <c r="AZ374" s="60" t="n">
        <f aca="false">IF(OR(NOT(AB374),AY374=0),AW374,IF(AW374-AX374/AY374&lt;=AC374,(AW374+AC374)/2,IF(AW374-AX374/AY374&gt;=AD374,(AW374+AD374)/2,AW374-AX374/AY374)))</f>
        <v>1</v>
      </c>
      <c r="BA374" s="60" t="n">
        <f aca="false">SUMPRODUCT($E$13:$P$13*(N374:Y374-1)/(1+AZ374*(N374:Y374-1)))</f>
        <v>0</v>
      </c>
      <c r="BB374" s="60" t="n">
        <f aca="false">-SUMPRODUCT($E$13:$P$13*(N374:Y374-1)^2/(1+AZ374*(N374:Y374-1))^2)</f>
        <v>-0</v>
      </c>
      <c r="BC374" s="60" t="n">
        <f aca="false">IF(OR(NOT(AB374),BB374=0),AZ374,IF(AZ374-BA374/BB374&lt;=AC374,(AZ374+AC374)/2,IF(AZ374-BA374/BB374&gt;=AD374,(AZ374+AD374)/2,AZ374-BA374/BB374)))</f>
        <v>1</v>
      </c>
      <c r="BD374" s="60" t="n">
        <f aca="false">SUMPRODUCT($E$13:$P$13*(N374:Y374-1)/(1+BC374*(N374:Y374-1)))</f>
        <v>0</v>
      </c>
      <c r="BE374" s="60" t="n">
        <f aca="false">-SUMPRODUCT($E$13:$P$13*(N374:Y374-1)^2/(1+BC374*(N374:Y374-1))^2)</f>
        <v>-0</v>
      </c>
      <c r="BF374" s="60" t="n">
        <f aca="false">IF(OR(NOT(AB374),BE374=0),BC374,IF(BC374-BD374/BE374&lt;=AC374,(BC374+AC374)/2,IF(BC374-BD374/BE374&gt;=AD374,(BC374+AD374)/2,BC374-BD374/BE374)))</f>
        <v>1</v>
      </c>
      <c r="BG374" s="60" t="n">
        <f aca="false">SUMPRODUCT($E$13:$P$13*(N374:Y374-1)/(1+BF374*(N374:Y374-1)))</f>
        <v>0</v>
      </c>
      <c r="BH374" s="60" t="n">
        <f aca="false">-SUMPRODUCT($E$13:$P$13*(N374:Y374-1)^2/(1+BF374*(N374:Y374-1))^2)</f>
        <v>-0</v>
      </c>
      <c r="BI374" s="60" t="n">
        <f aca="false">IF(OR(NOT(AB374),BH374=0),BF374,IF(BF374-BG374/BH374&lt;=AC374,(BF374+AC374)/2,IF(BF374-BG374/BH374&gt;=AD374,(BF374+AD374)/2,BF374-BG374/BH374)))</f>
        <v>1</v>
      </c>
      <c r="BJ374" s="60" t="n">
        <f aca="false">$E$13/(1+BI374*(N374-1))</f>
        <v>1</v>
      </c>
      <c r="BK374" s="60" t="n">
        <f aca="false">$F$13/(1+BI374*(O374-1))</f>
        <v>0</v>
      </c>
      <c r="BL374" s="60" t="n">
        <f aca="false">$G$13/(1+BI374*(P374-1))</f>
        <v>0</v>
      </c>
      <c r="BM374" s="60" t="n">
        <f aca="false">$H$13/(1+BI374*(Q374-1))</f>
        <v>0</v>
      </c>
      <c r="BN374" s="60" t="n">
        <f aca="false">$I$13/(1+BI374*(R374-1))</f>
        <v>0</v>
      </c>
      <c r="BO374" s="60" t="n">
        <f aca="false">$J$13/(1+BI374*(S374-1))</f>
        <v>0</v>
      </c>
      <c r="BP374" s="60" t="n">
        <f aca="false">$K$13/(1+BI374*(T374-1))</f>
        <v>0</v>
      </c>
      <c r="BQ374" s="60" t="n">
        <f aca="false">$L$13/(1+BI374*(U374-1))</f>
        <v>0</v>
      </c>
      <c r="BR374" s="60" t="n">
        <f aca="false">$M$13/(1+BI374*(V374-1))</f>
        <v>0</v>
      </c>
      <c r="BS374" s="60" t="n">
        <f aca="false">$N$13/(1+BI374*(W374-1))</f>
        <v>0</v>
      </c>
      <c r="BT374" s="60" t="n">
        <f aca="false">$O$13/(1+BI374*(X374-1))</f>
        <v>0</v>
      </c>
      <c r="BU374" s="60" t="n">
        <f aca="false">$P$13/(1+BI374*(Y374-1))</f>
        <v>0</v>
      </c>
      <c r="BV374" s="60" t="n">
        <f aca="false">SUM(BJ374:BU374)</f>
        <v>1</v>
      </c>
      <c r="BW374" s="60" t="n">
        <f aca="false">SUMPRODUCT(N374:Y374,BJ374:BU374)</f>
        <v>1</v>
      </c>
      <c r="BX374" s="60" t="n">
        <f aca="false">BJ374/BV374</f>
        <v>1</v>
      </c>
      <c r="BY374" s="60" t="n">
        <f aca="false">BK374/BV374</f>
        <v>0</v>
      </c>
      <c r="BZ374" s="60" t="n">
        <f aca="false">BL374/BV374</f>
        <v>0</v>
      </c>
      <c r="CA374" s="60" t="n">
        <f aca="false">BM374/BV374</f>
        <v>0</v>
      </c>
      <c r="CB374" s="60" t="n">
        <f aca="false">BN374/BV374</f>
        <v>0</v>
      </c>
      <c r="CC374" s="60" t="n">
        <f aca="false">BO374/BV374</f>
        <v>0</v>
      </c>
      <c r="CD374" s="60" t="n">
        <f aca="false">BP374/BV374</f>
        <v>0</v>
      </c>
      <c r="CE374" s="60" t="n">
        <f aca="false">BQ374/BV374</f>
        <v>0</v>
      </c>
      <c r="CF374" s="60" t="n">
        <f aca="false">BR374/BV374</f>
        <v>0</v>
      </c>
      <c r="CG374" s="60" t="n">
        <f aca="false">BS374/BV374</f>
        <v>0</v>
      </c>
      <c r="CH374" s="60" t="n">
        <f aca="false">BT374/BV374</f>
        <v>0</v>
      </c>
      <c r="CI374" s="60" t="n">
        <f aca="false">BU374/BV374</f>
        <v>0</v>
      </c>
      <c r="CJ374" s="60" t="n">
        <f aca="false">N374*BJ374/BW374</f>
        <v>1</v>
      </c>
      <c r="CK374" s="60" t="n">
        <f aca="false">O374*BK374/BW374</f>
        <v>0</v>
      </c>
      <c r="CL374" s="60" t="n">
        <f aca="false">P374*BL374/BW374</f>
        <v>0</v>
      </c>
      <c r="CM374" s="60" t="n">
        <f aca="false">Q374*BM374/BW374</f>
        <v>0</v>
      </c>
      <c r="CN374" s="60" t="n">
        <f aca="false">R374*BN374/BW374</f>
        <v>0</v>
      </c>
      <c r="CO374" s="60" t="n">
        <f aca="false">S374*BO374/BW374</f>
        <v>0</v>
      </c>
      <c r="CP374" s="60" t="n">
        <f aca="false">T374*BP374/BW374</f>
        <v>0</v>
      </c>
      <c r="CQ374" s="60" t="n">
        <f aca="false">U374*BQ374/BW374</f>
        <v>0</v>
      </c>
      <c r="CR374" s="60" t="n">
        <f aca="false">V374*BR374/BW374</f>
        <v>0</v>
      </c>
      <c r="CS374" s="60" t="n">
        <f aca="false">W374*BS374/BW374</f>
        <v>0</v>
      </c>
      <c r="CT374" s="60" t="n">
        <f aca="false">X374*BT374/BW374</f>
        <v>0</v>
      </c>
      <c r="CU374" s="60" t="n">
        <f aca="false">Y374*BU374/BW374</f>
        <v>0</v>
      </c>
      <c r="CV374" s="60" t="n">
        <f aca="false">$E$28*SUMPRODUCT($E$31:$P$31,BX374:CI374,$E$28:$P$28)</f>
        <v>0.184416866619846</v>
      </c>
      <c r="CW374" s="60" t="n">
        <f aca="false">$F$28*SUMPRODUCT($E$32:$P$32,BX374:CI374,$E$28:$P$28)</f>
        <v>0</v>
      </c>
      <c r="CX374" s="60" t="n">
        <f aca="false">$G$28*SUMPRODUCT($E$33:$P$33,BX374:CI374,$E$28:$P$28)</f>
        <v>0</v>
      </c>
      <c r="CY374" s="60" t="n">
        <f aca="false">$H$28*SUMPRODUCT($E$34:$P$34,BX374:CI374,$E$28:$P$28)</f>
        <v>0</v>
      </c>
      <c r="CZ374" s="60" t="n">
        <f aca="false">$I$28*SUMPRODUCT($E$35:$P$35,BX374:CI374,$E$28:$P$28)</f>
        <v>0</v>
      </c>
      <c r="DA374" s="60" t="n">
        <f aca="false">$J$28*SUMPRODUCT($E$36:$P$36,BX374:CI374,$E$28:$P$28)</f>
        <v>0</v>
      </c>
      <c r="DB374" s="60" t="n">
        <f aca="false">$K$28*SUMPRODUCT($E$37:$P$37,BX374:CI374,$E$28:$P$28)</f>
        <v>0</v>
      </c>
      <c r="DC374" s="60" t="n">
        <f aca="false">$L$28*SUMPRODUCT($E$38:$P$38,BX374:CI374,$E$28:$P$28)</f>
        <v>0</v>
      </c>
      <c r="DD374" s="60" t="n">
        <f aca="false">$M$28*SUMPRODUCT($E$39:$P$39,BX374:CI374,$E$28:$P$28)</f>
        <v>0</v>
      </c>
      <c r="DE374" s="60" t="n">
        <f aca="false">$N$28*SUMPRODUCT($E$40:$P$40,BX374:CI374,$E$28:$P$28)</f>
        <v>0</v>
      </c>
      <c r="DF374" s="60" t="n">
        <f aca="false">$O$28*SUMPRODUCT($E$41:$P$41,BX374:CI374,$E$28:$P$28)</f>
        <v>0</v>
      </c>
      <c r="DG374" s="60" t="n">
        <f aca="false">$P$28*SUMPRODUCT($E$42:$P$42,BX374:CI374,$E$28:$P$28)</f>
        <v>0</v>
      </c>
      <c r="DH374" s="60" t="n">
        <f aca="false">SUMPRODUCT(BX374:CI374,CV374:DG374)</f>
        <v>0.184416866619846</v>
      </c>
      <c r="DI374" s="60" t="n">
        <f aca="false">SUMPRODUCT(BX374:CI374,$E$27:$P$27)</f>
        <v>2.67389635063809E-005</v>
      </c>
      <c r="DJ374" s="60" t="n">
        <f aca="false">DH374*$C$9/($C$10*$C$8)^2</f>
        <v>0.21776909410545</v>
      </c>
      <c r="DK374" s="60" t="n">
        <f aca="false">DI374*$C$9/($C$10*$C$8)</f>
        <v>0.0918845243259994</v>
      </c>
      <c r="DL374" s="60" t="n">
        <f aca="false">CHOOSE($C$7,-(1+DK374),-1,-(1-DK374))</f>
        <v>-0.908115475674001</v>
      </c>
      <c r="DM374" s="60" t="n">
        <f aca="false">CHOOSE($C$7,DJ374,DJ374-DK374-DK374^2,DJ374-3*DK374^2-2*DK374)</f>
        <v>0.00867174802160559</v>
      </c>
      <c r="DN374" s="60" t="n">
        <f aca="false">CHOOSE($C$7,-DJ374*DK374,-DJ374*DK374,-(DJ374*DK374-DK374^2-DK374^3))</f>
        <v>-0.0107910842936637</v>
      </c>
      <c r="DO374" s="60" t="n">
        <f aca="false">DM374-DL374^2/3</f>
        <v>-0.266219491031267</v>
      </c>
      <c r="DP374" s="60" t="n">
        <f aca="false">2*DL374^3/27-DL374*DM374/3+DN374</f>
        <v>-0.0636400988362784</v>
      </c>
      <c r="DQ374" s="60" t="n">
        <f aca="false">DP374^2/4+DO374^3/27</f>
        <v>0.000313710901361829</v>
      </c>
      <c r="DR374" s="60" t="n">
        <f aca="false">-DP374/2-IF(DP374&gt;=0,1,-1)*SQRT(MAX(DQ374,0))</f>
        <v>0.0495319352963236</v>
      </c>
      <c r="DS374" s="60" t="n">
        <f aca="false">SIGN(DR374)*ABS(DR374)^(1/3)</f>
        <v>0.367249967174439</v>
      </c>
      <c r="DT374" s="60" t="n">
        <f aca="false">IF(DS374=0,0,DS374-DO374/(3*DS374))</f>
        <v>0.60888329127384</v>
      </c>
      <c r="DU374" s="60" t="n">
        <f aca="false">2*SQRT(MAX(-DO374,0)/3)</f>
        <v>0.595784626668918</v>
      </c>
      <c r="DV374" s="60" t="n">
        <f aca="false">ACOS(IF(DU374=0,0,MAX(-1,MIN(1,3*DP374/(DO374*DU374)))))</f>
        <v>0</v>
      </c>
      <c r="DW374" s="60" t="n">
        <f aca="false">DU374*COS(DV374/3)</f>
        <v>0.595784626668918</v>
      </c>
      <c r="DX374" s="60" t="n">
        <f aca="false">IF(DQ374&lt;0,DW374,DT374)-DL374/3</f>
        <v>0.91158844983184</v>
      </c>
      <c r="DY374" s="60" t="n">
        <f aca="false">IFERROR((((DX374+DL374)*DX374+DM374)*DX374+DN374)/((3*DX374+2*DL374)*DX374+DM374),0)</f>
        <v>0</v>
      </c>
      <c r="DZ374" s="60" t="n">
        <f aca="false">IF(ABS(DY374)&lt;0.1*ABS(DX374),DX374-DY374,DX374)</f>
        <v>0.91158844983184</v>
      </c>
      <c r="EA374" s="60" t="n">
        <f aca="false">IFERROR((((DZ374+DL374)*DZ374+DM374)*DZ374+DN374)/((3*DZ374+2*DL374)*DZ374+DM374),0)</f>
        <v>0</v>
      </c>
      <c r="EB374" s="60" t="n">
        <f aca="false">IF(ABS(EA374)&lt;0.1*ABS(DZ374),DZ374-EA374,DZ374)</f>
        <v>0.91158844983184</v>
      </c>
      <c r="EC374" s="60" t="n">
        <f aca="false">-DN374/EB374</f>
        <v>0.0118376711504565</v>
      </c>
      <c r="ED374" s="60" t="n">
        <f aca="false">(DM374-EC374)/EB374</f>
        <v>-0.00347297415783941</v>
      </c>
      <c r="EE374" s="60" t="n">
        <f aca="false">ED374^2-4*EC374</f>
        <v>-0.0473386230523248</v>
      </c>
      <c r="EF374" s="60" t="n">
        <f aca="false">IF(EE374&gt;=0,(ED374+IF(ED374&gt;=0,1,-1)*SQRT(EE374))/2,0)</f>
        <v>0</v>
      </c>
      <c r="EG374" s="60" t="n">
        <f aca="false">IF(AND(EE374&gt;=0,EF374&lt;&gt;0),MIN(EF374,EC374/EF374),-1)</f>
        <v>-1</v>
      </c>
      <c r="EH374" s="60" t="n">
        <f aca="false">AND(EE374&gt;=0,EG374&gt;DK374,ABS(EB374-EG374)&gt;=0.00005*MAX(EB374,EG374))</f>
        <v>0</v>
      </c>
      <c r="EI374" s="60" t="n">
        <f aca="false">IF(EH374,IFERROR((((EG374+DL374)*EG374+DM374)*EG374+DN374)/((3*EG374+2*DL374)*EG374+DM374),0),0)</f>
        <v>0</v>
      </c>
      <c r="EJ374" s="60" t="n">
        <f aca="false">IF(ABS(EI374)&lt;0.1*ABS(EG374),EG374-EI374,EG374)</f>
        <v>-1</v>
      </c>
      <c r="EK374" s="60" t="n">
        <f aca="false">IF(EH374,IFERROR((((EJ374+DL374)*EJ374+DM374)*EJ374+DN374)/((3*EJ374+2*DL374)*EJ374+DM374),0),0)</f>
        <v>0</v>
      </c>
      <c r="EL374" s="60" t="n">
        <f aca="false">IF(ABS(EK374)&lt;0.1*ABS(EJ374),EJ374-EK374,EJ374)</f>
        <v>-1</v>
      </c>
      <c r="EM374" s="60" t="n">
        <f aca="false">IF(EH374,MAX(EB374,EL374),EB374)</f>
        <v>0.91158844983184</v>
      </c>
      <c r="EN374" s="60" t="n">
        <f aca="false">IF(EH374,MIN(EB374,EL374),-1)</f>
        <v>-1</v>
      </c>
      <c r="EO374" s="60" t="n">
        <f aca="false">CHOOSE($C$7,DJ374/EM374,DJ374/DK374*LN(1+DK374/EM374),DJ374/(2*SQRT(2)*DK374)*LN((EM374+(1+SQRT(2))*DK374)/(EM374+(1-SQRT(2))*DK374)))</f>
        <v>0.218240791233887</v>
      </c>
      <c r="EP374" s="60" t="n">
        <f aca="false">EM374-1-LN(EM374-DK374)-EO374</f>
        <v>-0.107840271021729</v>
      </c>
      <c r="EQ374" s="60" t="n">
        <f aca="false">IF(EH374,CHOOSE($C$7,DJ374/EN374,DJ374/DK374*LN(1+DK374/EN374),DJ374/(2*SQRT(2)*DK374)*LN((EN374+(1+SQRT(2))*DK374)/(EN374+(1-SQRT(2))*DK374))),0)</f>
        <v>0</v>
      </c>
      <c r="ER374" s="60" t="n">
        <f aca="false">IF(EH374,EN374-1-LN(EN374-DK374)-EQ374,0)</f>
        <v>0</v>
      </c>
      <c r="ES374" s="60" t="n">
        <f aca="false">AND(EH374,ER374&lt;EP374)</f>
        <v>0</v>
      </c>
      <c r="ET374" s="60" t="n">
        <f aca="false">IF(ES374,EN374,EM374)</f>
        <v>0.91158844983184</v>
      </c>
      <c r="EU374" s="60" t="n">
        <f aca="false">IF(ES374,EQ374,EO374)</f>
        <v>0.218240791233887</v>
      </c>
      <c r="EV374" s="60" t="n">
        <f aca="false">LN(ET374-DK374)</f>
        <v>-0.198812070380318</v>
      </c>
      <c r="EW374" s="60" t="n">
        <f aca="false">$E$27/DI374*(ET374-1)-EV374-EU374*(2*CV374/DH374-$E$27/DI374)</f>
        <v>-0.107840271021729</v>
      </c>
      <c r="EX374" s="60" t="n">
        <f aca="false">$F$27/DI374*(ET374-1)-EV374-EU374*(2*CW374/DH374-$F$27/DI374)</f>
        <v>0.198812070380318</v>
      </c>
      <c r="EY374" s="60" t="n">
        <f aca="false">$G$27/DI374*(ET374-1)-EV374-EU374*(2*CX374/DH374-$G$27/DI374)</f>
        <v>0.198812070380318</v>
      </c>
      <c r="EZ374" s="60" t="n">
        <f aca="false">$H$27/DI374*(ET374-1)-EV374-EU374*(2*CY374/DH374-$H$27/DI374)</f>
        <v>0.198812070380318</v>
      </c>
      <c r="FA374" s="60" t="n">
        <f aca="false">$I$27/DI374*(ET374-1)-EV374-EU374*(2*CZ374/DH374-$I$27/DI374)</f>
        <v>0.198812070380318</v>
      </c>
      <c r="FB374" s="60" t="n">
        <f aca="false">$J$27/DI374*(ET374-1)-EV374-EU374*(2*DA374/DH374-$J$27/DI374)</f>
        <v>0.198812070380318</v>
      </c>
      <c r="FC374" s="60" t="n">
        <f aca="false">$K$27/DI374*(ET374-1)-EV374-EU374*(2*DB374/DH374-$K$27/DI374)</f>
        <v>0.198812070380318</v>
      </c>
      <c r="FD374" s="60" t="n">
        <f aca="false">$L$27/DI374*(ET374-1)-EV374-EU374*(2*DC374/DH374-$L$27/DI374)</f>
        <v>0.198812070380318</v>
      </c>
      <c r="FE374" s="60" t="n">
        <f aca="false">$M$27/DI374*(ET374-1)-EV374-EU374*(2*DD374/DH374-$M$27/DI374)</f>
        <v>0.198812070380318</v>
      </c>
      <c r="FF374" s="60" t="n">
        <f aca="false">$N$27/DI374*(ET374-1)-EV374-EU374*(2*DE374/DH374-$N$27/DI374)</f>
        <v>0.198812070380318</v>
      </c>
      <c r="FG374" s="60" t="n">
        <f aca="false">$O$27/DI374*(ET374-1)-EV374-EU374*(2*DF374/DH374-$O$27/DI374)</f>
        <v>0.198812070380318</v>
      </c>
      <c r="FH374" s="60" t="n">
        <f aca="false">$P$27/DI374*(ET374-1)-EV374-EU374*(2*DG374/DH374-$P$27/DI374)</f>
        <v>0.198812070380318</v>
      </c>
      <c r="FI374" s="60" t="n">
        <f aca="false">DK374/ET374&gt;$C$22</f>
        <v>0</v>
      </c>
      <c r="FJ374" s="60" t="n">
        <f aca="false">$E$28*SUMPRODUCT($E$31:$P$31,CJ374:CU374,$E$28:$P$28)</f>
        <v>0.184416866619846</v>
      </c>
      <c r="FK374" s="60" t="n">
        <f aca="false">$F$28*SUMPRODUCT($E$32:$P$32,CJ374:CU374,$E$28:$P$28)</f>
        <v>0</v>
      </c>
      <c r="FL374" s="60" t="n">
        <f aca="false">$G$28*SUMPRODUCT($E$33:$P$33,CJ374:CU374,$E$28:$P$28)</f>
        <v>0</v>
      </c>
      <c r="FM374" s="60" t="n">
        <f aca="false">$H$28*SUMPRODUCT($E$34:$P$34,CJ374:CU374,$E$28:$P$28)</f>
        <v>0</v>
      </c>
      <c r="FN374" s="60" t="n">
        <f aca="false">$I$28*SUMPRODUCT($E$35:$P$35,CJ374:CU374,$E$28:$P$28)</f>
        <v>0</v>
      </c>
      <c r="FO374" s="60" t="n">
        <f aca="false">$J$28*SUMPRODUCT($E$36:$P$36,CJ374:CU374,$E$28:$P$28)</f>
        <v>0</v>
      </c>
      <c r="FP374" s="60" t="n">
        <f aca="false">$K$28*SUMPRODUCT($E$37:$P$37,CJ374:CU374,$E$28:$P$28)</f>
        <v>0</v>
      </c>
      <c r="FQ374" s="60" t="n">
        <f aca="false">$L$28*SUMPRODUCT($E$38:$P$38,CJ374:CU374,$E$28:$P$28)</f>
        <v>0</v>
      </c>
      <c r="FR374" s="60" t="n">
        <f aca="false">$M$28*SUMPRODUCT($E$39:$P$39,CJ374:CU374,$E$28:$P$28)</f>
        <v>0</v>
      </c>
      <c r="FS374" s="60" t="n">
        <f aca="false">$N$28*SUMPRODUCT($E$40:$P$40,CJ374:CU374,$E$28:$P$28)</f>
        <v>0</v>
      </c>
      <c r="FT374" s="60" t="n">
        <f aca="false">$O$28*SUMPRODUCT($E$41:$P$41,CJ374:CU374,$E$28:$P$28)</f>
        <v>0</v>
      </c>
      <c r="FU374" s="60" t="n">
        <f aca="false">$P$28*SUMPRODUCT($E$42:$P$42,CJ374:CU374,$E$28:$P$28)</f>
        <v>0</v>
      </c>
      <c r="FV374" s="60" t="n">
        <f aca="false">SUMPRODUCT(CJ374:CU374,FJ374:FU374)</f>
        <v>0.184416866619846</v>
      </c>
      <c r="FW374" s="60" t="n">
        <f aca="false">SUMPRODUCT(CJ374:CU374,$E$27:$P$27)</f>
        <v>2.67389635063809E-005</v>
      </c>
      <c r="FX374" s="60" t="n">
        <f aca="false">FV374*$C$9/($C$10*$C$8)^2</f>
        <v>0.21776909410545</v>
      </c>
      <c r="FY374" s="60" t="n">
        <f aca="false">FW374*$C$9/($C$10*$C$8)</f>
        <v>0.0918845243259994</v>
      </c>
      <c r="FZ374" s="60" t="n">
        <f aca="false">CHOOSE($C$7,-(1+FY374),-1,-(1-FY374))</f>
        <v>-0.908115475674001</v>
      </c>
      <c r="GA374" s="60" t="n">
        <f aca="false">CHOOSE($C$7,FX374,FX374-FY374-FY374^2,FX374-3*FY374^2-2*FY374)</f>
        <v>0.00867174802160559</v>
      </c>
      <c r="GB374" s="60" t="n">
        <f aca="false">CHOOSE($C$7,-FX374*FY374,-FX374*FY374,-(FX374*FY374-FY374^2-FY374^3))</f>
        <v>-0.0107910842936637</v>
      </c>
      <c r="GC374" s="60" t="n">
        <f aca="false">GA374-FZ374^2/3</f>
        <v>-0.266219491031267</v>
      </c>
      <c r="GD374" s="60" t="n">
        <f aca="false">2*FZ374^3/27-FZ374*GA374/3+GB374</f>
        <v>-0.0636400988362784</v>
      </c>
      <c r="GE374" s="60" t="n">
        <f aca="false">GD374^2/4+GC374^3/27</f>
        <v>0.000313710901361829</v>
      </c>
      <c r="GF374" s="60" t="n">
        <f aca="false">-GD374/2-IF(GD374&gt;=0,1,-1)*SQRT(MAX(GE374,0))</f>
        <v>0.0495319352963236</v>
      </c>
      <c r="GG374" s="60" t="n">
        <f aca="false">SIGN(GF374)*ABS(GF374)^(1/3)</f>
        <v>0.367249967174439</v>
      </c>
      <c r="GH374" s="60" t="n">
        <f aca="false">IF(GG374=0,0,GG374-GC374/(3*GG374))</f>
        <v>0.60888329127384</v>
      </c>
      <c r="GI374" s="60" t="n">
        <f aca="false">2*SQRT(MAX(-GC374,0)/3)</f>
        <v>0.595784626668918</v>
      </c>
      <c r="GJ374" s="60" t="n">
        <f aca="false">ACOS(IF(GI374=0,0,MAX(-1,MIN(1,3*GD374/(GC374*GI374)))))</f>
        <v>0</v>
      </c>
      <c r="GK374" s="60" t="n">
        <f aca="false">GI374*COS(GJ374/3)</f>
        <v>0.595784626668918</v>
      </c>
      <c r="GL374" s="60" t="n">
        <f aca="false">IF(GE374&lt;0,GK374,GH374)-FZ374/3</f>
        <v>0.91158844983184</v>
      </c>
      <c r="GM374" s="60" t="n">
        <f aca="false">IFERROR((((GL374+FZ374)*GL374+GA374)*GL374+GB374)/((3*GL374+2*FZ374)*GL374+GA374),0)</f>
        <v>0</v>
      </c>
      <c r="GN374" s="60" t="n">
        <f aca="false">IF(ABS(GM374)&lt;0.1*ABS(GL374),GL374-GM374,GL374)</f>
        <v>0.91158844983184</v>
      </c>
      <c r="GO374" s="60" t="n">
        <f aca="false">IFERROR((((GN374+FZ374)*GN374+GA374)*GN374+GB374)/((3*GN374+2*FZ374)*GN374+GA374),0)</f>
        <v>0</v>
      </c>
      <c r="GP374" s="60" t="n">
        <f aca="false">IF(ABS(GO374)&lt;0.1*ABS(GN374),GN374-GO374,GN374)</f>
        <v>0.91158844983184</v>
      </c>
      <c r="GQ374" s="60" t="n">
        <f aca="false">-GB374/GP374</f>
        <v>0.0118376711504565</v>
      </c>
      <c r="GR374" s="60" t="n">
        <f aca="false">(GA374-GQ374)/GP374</f>
        <v>-0.00347297415783941</v>
      </c>
      <c r="GS374" s="60" t="n">
        <f aca="false">GR374^2-4*GQ374</f>
        <v>-0.0473386230523248</v>
      </c>
      <c r="GT374" s="60" t="n">
        <f aca="false">IF(GS374&gt;=0,(GR374+IF(GR374&gt;=0,1,-1)*SQRT(GS374))/2,0)</f>
        <v>0</v>
      </c>
      <c r="GU374" s="60" t="n">
        <f aca="false">IF(AND(GS374&gt;=0,GT374&lt;&gt;0),MIN(GT374,GQ374/GT374),-1)</f>
        <v>-1</v>
      </c>
      <c r="GV374" s="60" t="n">
        <f aca="false">AND(GS374&gt;=0,GU374&gt;FY374,ABS(GP374-GU374)&gt;=0.00005*MAX(GP374,GU374))</f>
        <v>0</v>
      </c>
      <c r="GW374" s="60" t="n">
        <f aca="false">IF(GV374,IFERROR((((GU374+FZ374)*GU374+GA374)*GU374+GB374)/((3*GU374+2*FZ374)*GU374+GA374),0),0)</f>
        <v>0</v>
      </c>
      <c r="GX374" s="60" t="n">
        <f aca="false">IF(ABS(GW374)&lt;0.1*ABS(GU374),GU374-GW374,GU374)</f>
        <v>-1</v>
      </c>
      <c r="GY374" s="60" t="n">
        <f aca="false">IF(GV374,IFERROR((((GX374+FZ374)*GX374+GA374)*GX374+GB374)/((3*GX374+2*FZ374)*GX374+GA374),0),0)</f>
        <v>0</v>
      </c>
      <c r="GZ374" s="60" t="n">
        <f aca="false">IF(ABS(GY374)&lt;0.1*ABS(GX374),GX374-GY374,GX374)</f>
        <v>-1</v>
      </c>
      <c r="HA374" s="60" t="n">
        <f aca="false">IF(GV374,MAX(GP374,GZ374),GP374)</f>
        <v>0.91158844983184</v>
      </c>
      <c r="HB374" s="60" t="n">
        <f aca="false">IF(GV374,MIN(GP374,GZ374),-1)</f>
        <v>-1</v>
      </c>
      <c r="HC374" s="60" t="n">
        <f aca="false">CHOOSE($C$7,FX374/HA374,FX374/FY374*LN(1+FY374/HA374),FX374/(2*SQRT(2)*FY374)*LN((HA374+(1+SQRT(2))*FY374)/(HA374+(1-SQRT(2))*FY374)))</f>
        <v>0.218240791233887</v>
      </c>
      <c r="HD374" s="60" t="n">
        <f aca="false">HA374-1-LN(HA374-FY374)-HC374</f>
        <v>-0.107840271021729</v>
      </c>
      <c r="HE374" s="60" t="n">
        <f aca="false">IF(GV374,CHOOSE($C$7,FX374/HB374,FX374/FY374*LN(1+FY374/HB374),FX374/(2*SQRT(2)*FY374)*LN((HB374+(1+SQRT(2))*FY374)/(HB374+(1-SQRT(2))*FY374))),0)</f>
        <v>0</v>
      </c>
      <c r="HF374" s="60" t="n">
        <f aca="false">IF(GV374,HB374-1-LN(HB374-FY374)-HE374,0)</f>
        <v>0</v>
      </c>
      <c r="HG374" s="60" t="n">
        <f aca="false">AND(GV374,HF374&lt;HD374)</f>
        <v>0</v>
      </c>
      <c r="HH374" s="60" t="n">
        <f aca="false">IF(HG374,HB374,HA374)</f>
        <v>0.91158844983184</v>
      </c>
      <c r="HI374" s="60" t="n">
        <f aca="false">IF(HG374,HE374,HC374)</f>
        <v>0.218240791233887</v>
      </c>
      <c r="HJ374" s="60" t="n">
        <f aca="false">LN(HH374-FY374)</f>
        <v>-0.198812070380318</v>
      </c>
      <c r="HK374" s="60" t="n">
        <f aca="false">$E$27/FW374*(HH374-1)-HJ374-HI374*(2*FJ374/FV374-$E$27/FW374)</f>
        <v>-0.107840271021729</v>
      </c>
      <c r="HL374" s="60" t="n">
        <f aca="false">$F$27/FW374*(HH374-1)-HJ374-HI374*(2*FK374/FV374-$F$27/FW374)</f>
        <v>0.198812070380318</v>
      </c>
      <c r="HM374" s="60" t="n">
        <f aca="false">$G$27/FW374*(HH374-1)-HJ374-HI374*(2*FL374/FV374-$G$27/FW374)</f>
        <v>0.198812070380318</v>
      </c>
      <c r="HN374" s="60" t="n">
        <f aca="false">$H$27/FW374*(HH374-1)-HJ374-HI374*(2*FM374/FV374-$H$27/FW374)</f>
        <v>0.198812070380318</v>
      </c>
      <c r="HO374" s="60" t="n">
        <f aca="false">$I$27/FW374*(HH374-1)-HJ374-HI374*(2*FN374/FV374-$I$27/FW374)</f>
        <v>0.198812070380318</v>
      </c>
      <c r="HP374" s="60" t="n">
        <f aca="false">$J$27/FW374*(HH374-1)-HJ374-HI374*(2*FO374/FV374-$J$27/FW374)</f>
        <v>0.198812070380318</v>
      </c>
      <c r="HQ374" s="60" t="n">
        <f aca="false">$K$27/FW374*(HH374-1)-HJ374-HI374*(2*FP374/FV374-$K$27/FW374)</f>
        <v>0.198812070380318</v>
      </c>
      <c r="HR374" s="60" t="n">
        <f aca="false">$L$27/FW374*(HH374-1)-HJ374-HI374*(2*FQ374/FV374-$L$27/FW374)</f>
        <v>0.198812070380318</v>
      </c>
      <c r="HS374" s="60" t="n">
        <f aca="false">$M$27/FW374*(HH374-1)-HJ374-HI374*(2*FR374/FV374-$M$27/FW374)</f>
        <v>0.198812070380318</v>
      </c>
      <c r="HT374" s="60" t="n">
        <f aca="false">$N$27/FW374*(HH374-1)-HJ374-HI374*(2*FS374/FV374-$N$27/FW374)</f>
        <v>0.198812070380318</v>
      </c>
      <c r="HU374" s="60" t="n">
        <f aca="false">$O$27/FW374*(HH374-1)-HJ374-HI374*(2*FT374/FV374-$O$27/FW374)</f>
        <v>0.198812070380318</v>
      </c>
      <c r="HV374" s="60" t="n">
        <f aca="false">$P$27/FW374*(HH374-1)-HJ374-HI374*(2*FU374/FV374-$P$27/FW374)</f>
        <v>0.198812070380318</v>
      </c>
      <c r="HW374" s="60" t="n">
        <f aca="false">FY374/HH374&gt;$C$22</f>
        <v>0</v>
      </c>
      <c r="HX374" s="60" t="n">
        <f aca="false">IF($E$13&gt;0,MAX(-300,MIN(300,EW374-HK374)),0)</f>
        <v>0</v>
      </c>
      <c r="HY374" s="60" t="n">
        <f aca="false">IF($F$13&gt;0,MAX(-300,MIN(300,EX374-HL374)),0)</f>
        <v>0</v>
      </c>
      <c r="HZ374" s="60" t="n">
        <f aca="false">IF($G$13&gt;0,MAX(-300,MIN(300,EY374-HM374)),0)</f>
        <v>0</v>
      </c>
      <c r="IA374" s="60" t="n">
        <f aca="false">IF($H$13&gt;0,MAX(-300,MIN(300,EZ374-HN374)),0)</f>
        <v>0</v>
      </c>
      <c r="IB374" s="60" t="n">
        <f aca="false">IF($I$13&gt;0,MAX(-300,MIN(300,FA374-HO374)),0)</f>
        <v>0</v>
      </c>
      <c r="IC374" s="60" t="n">
        <f aca="false">IF($J$13&gt;0,MAX(-300,MIN(300,FB374-HP374)),0)</f>
        <v>0</v>
      </c>
      <c r="ID374" s="60" t="n">
        <f aca="false">IF($K$13&gt;0,MAX(-300,MIN(300,FC374-HQ374)),0)</f>
        <v>0</v>
      </c>
      <c r="IE374" s="60" t="n">
        <f aca="false">IF($L$13&gt;0,MAX(-300,MIN(300,FD374-HR374)),0)</f>
        <v>0</v>
      </c>
      <c r="IF374" s="60" t="n">
        <f aca="false">IF($M$13&gt;0,MAX(-300,MIN(300,FE374-HS374)),0)</f>
        <v>0</v>
      </c>
      <c r="IG374" s="60" t="n">
        <f aca="false">IF($N$13&gt;0,MAX(-300,MIN(300,FF374-HT374)),0)</f>
        <v>0</v>
      </c>
      <c r="IH374" s="60" t="n">
        <f aca="false">IF($O$13&gt;0,MAX(-300,MIN(300,FG374-HU374)),0)</f>
        <v>0</v>
      </c>
      <c r="II374" s="60" t="n">
        <f aca="false">IF($P$13&gt;0,MAX(-300,MIN(300,FH374-HV374)),0)</f>
        <v>0</v>
      </c>
      <c r="IJ374" s="60" t="n">
        <f aca="false">SUMXMY2(HX374:II374,B374:M374)</f>
        <v>0</v>
      </c>
      <c r="IK374" s="60" t="n">
        <f aca="false">SUMSQ(B374:M374)</f>
        <v>0</v>
      </c>
    </row>
    <row r="375" customFormat="false" ht="15" hidden="false" customHeight="false" outlineLevel="0" collapsed="false">
      <c r="A375" s="59" t="n">
        <v>14</v>
      </c>
      <c r="B375" s="60" t="n">
        <f aca="false">HX374</f>
        <v>0</v>
      </c>
      <c r="C375" s="60" t="n">
        <f aca="false">HY374</f>
        <v>0</v>
      </c>
      <c r="D375" s="60" t="n">
        <f aca="false">HZ374</f>
        <v>0</v>
      </c>
      <c r="E375" s="60" t="n">
        <f aca="false">IA374</f>
        <v>0</v>
      </c>
      <c r="F375" s="60" t="n">
        <f aca="false">IB374</f>
        <v>0</v>
      </c>
      <c r="G375" s="60" t="n">
        <f aca="false">IC374</f>
        <v>0</v>
      </c>
      <c r="H375" s="60" t="n">
        <f aca="false">ID374</f>
        <v>0</v>
      </c>
      <c r="I375" s="60" t="n">
        <f aca="false">IE374</f>
        <v>0</v>
      </c>
      <c r="J375" s="60" t="n">
        <f aca="false">IF374</f>
        <v>0</v>
      </c>
      <c r="K375" s="60" t="n">
        <f aca="false">IG374</f>
        <v>0</v>
      </c>
      <c r="L375" s="60" t="n">
        <f aca="false">IH374</f>
        <v>0</v>
      </c>
      <c r="M375" s="60" t="n">
        <f aca="false">II374</f>
        <v>0</v>
      </c>
      <c r="N375" s="60" t="n">
        <f aca="false">EXP(B375)</f>
        <v>1</v>
      </c>
      <c r="O375" s="60" t="n">
        <f aca="false">EXP(C375)</f>
        <v>1</v>
      </c>
      <c r="P375" s="60" t="n">
        <f aca="false">EXP(D375)</f>
        <v>1</v>
      </c>
      <c r="Q375" s="60" t="n">
        <f aca="false">EXP(E375)</f>
        <v>1</v>
      </c>
      <c r="R375" s="60" t="n">
        <f aca="false">EXP(F375)</f>
        <v>1</v>
      </c>
      <c r="S375" s="60" t="n">
        <f aca="false">EXP(G375)</f>
        <v>1</v>
      </c>
      <c r="T375" s="60" t="n">
        <f aca="false">EXP(H375)</f>
        <v>1</v>
      </c>
      <c r="U375" s="60" t="n">
        <f aca="false">EXP(I375)</f>
        <v>1</v>
      </c>
      <c r="V375" s="60" t="n">
        <f aca="false">EXP(J375)</f>
        <v>1</v>
      </c>
      <c r="W375" s="60" t="n">
        <f aca="false">EXP(K375)</f>
        <v>1</v>
      </c>
      <c r="X375" s="60" t="n">
        <f aca="false">EXP(L375)</f>
        <v>1</v>
      </c>
      <c r="Y375" s="60" t="n">
        <f aca="false">EXP(M375)</f>
        <v>1</v>
      </c>
      <c r="Z375" s="60" t="n">
        <f aca="false">MAX(N375:Y375)</f>
        <v>1</v>
      </c>
      <c r="AA375" s="60" t="n">
        <f aca="false">MIN(N375:Y375)</f>
        <v>1</v>
      </c>
      <c r="AB375" s="60" t="n">
        <f aca="false">AND(Z375&gt;1,AA375&lt;1)</f>
        <v>0</v>
      </c>
      <c r="AC375" s="60" t="n">
        <f aca="false">IF(AB375,1/(1-Z375),0)</f>
        <v>0</v>
      </c>
      <c r="AD375" s="60" t="n">
        <f aca="false">IF(AB375,1/(1-AA375),1)</f>
        <v>1</v>
      </c>
      <c r="AE375" s="60" t="n">
        <f aca="false">IF(AB375,MIN(MAX(BI374,AC375+0.000000001*(AD375-AC375)),AD375-0.000000001*(AD375-AC375)),IF(AA375&gt;=1,1,0))</f>
        <v>1</v>
      </c>
      <c r="AF375" s="60" t="n">
        <f aca="false">SUMPRODUCT($E$13:$P$13*(N375:Y375-1)/(1+AE375*(N375:Y375-1)))</f>
        <v>0</v>
      </c>
      <c r="AG375" s="60" t="n">
        <f aca="false">-SUMPRODUCT($E$13:$P$13*(N375:Y375-1)^2/(1+AE375*(N375:Y375-1))^2)</f>
        <v>-0</v>
      </c>
      <c r="AH375" s="60" t="n">
        <f aca="false">IF(OR(NOT(AB375),AG375=0),AE375,IF(AE375-AF375/AG375&lt;=AC375,(AE375+AC375)/2,IF(AE375-AF375/AG375&gt;=AD375,(AE375+AD375)/2,AE375-AF375/AG375)))</f>
        <v>1</v>
      </c>
      <c r="AI375" s="60" t="n">
        <f aca="false">SUMPRODUCT($E$13:$P$13*(N375:Y375-1)/(1+AH375*(N375:Y375-1)))</f>
        <v>0</v>
      </c>
      <c r="AJ375" s="60" t="n">
        <f aca="false">-SUMPRODUCT($E$13:$P$13*(N375:Y375-1)^2/(1+AH375*(N375:Y375-1))^2)</f>
        <v>-0</v>
      </c>
      <c r="AK375" s="60" t="n">
        <f aca="false">IF(OR(NOT(AB375),AJ375=0),AH375,IF(AH375-AI375/AJ375&lt;=AC375,(AH375+AC375)/2,IF(AH375-AI375/AJ375&gt;=AD375,(AH375+AD375)/2,AH375-AI375/AJ375)))</f>
        <v>1</v>
      </c>
      <c r="AL375" s="60" t="n">
        <f aca="false">SUMPRODUCT($E$13:$P$13*(N375:Y375-1)/(1+AK375*(N375:Y375-1)))</f>
        <v>0</v>
      </c>
      <c r="AM375" s="60" t="n">
        <f aca="false">-SUMPRODUCT($E$13:$P$13*(N375:Y375-1)^2/(1+AK375*(N375:Y375-1))^2)</f>
        <v>-0</v>
      </c>
      <c r="AN375" s="60" t="n">
        <f aca="false">IF(OR(NOT(AB375),AM375=0),AK375,IF(AK375-AL375/AM375&lt;=AC375,(AK375+AC375)/2,IF(AK375-AL375/AM375&gt;=AD375,(AK375+AD375)/2,AK375-AL375/AM375)))</f>
        <v>1</v>
      </c>
      <c r="AO375" s="60" t="n">
        <f aca="false">SUMPRODUCT($E$13:$P$13*(N375:Y375-1)/(1+AN375*(N375:Y375-1)))</f>
        <v>0</v>
      </c>
      <c r="AP375" s="60" t="n">
        <f aca="false">-SUMPRODUCT($E$13:$P$13*(N375:Y375-1)^2/(1+AN375*(N375:Y375-1))^2)</f>
        <v>-0</v>
      </c>
      <c r="AQ375" s="60" t="n">
        <f aca="false">IF(OR(NOT(AB375),AP375=0),AN375,IF(AN375-AO375/AP375&lt;=AC375,(AN375+AC375)/2,IF(AN375-AO375/AP375&gt;=AD375,(AN375+AD375)/2,AN375-AO375/AP375)))</f>
        <v>1</v>
      </c>
      <c r="AR375" s="60" t="n">
        <f aca="false">SUMPRODUCT($E$13:$P$13*(N375:Y375-1)/(1+AQ375*(N375:Y375-1)))</f>
        <v>0</v>
      </c>
      <c r="AS375" s="60" t="n">
        <f aca="false">-SUMPRODUCT($E$13:$P$13*(N375:Y375-1)^2/(1+AQ375*(N375:Y375-1))^2)</f>
        <v>-0</v>
      </c>
      <c r="AT375" s="60" t="n">
        <f aca="false">IF(OR(NOT(AB375),AS375=0),AQ375,IF(AQ375-AR375/AS375&lt;=AC375,(AQ375+AC375)/2,IF(AQ375-AR375/AS375&gt;=AD375,(AQ375+AD375)/2,AQ375-AR375/AS375)))</f>
        <v>1</v>
      </c>
      <c r="AU375" s="60" t="n">
        <f aca="false">SUMPRODUCT($E$13:$P$13*(N375:Y375-1)/(1+AT375*(N375:Y375-1)))</f>
        <v>0</v>
      </c>
      <c r="AV375" s="60" t="n">
        <f aca="false">-SUMPRODUCT($E$13:$P$13*(N375:Y375-1)^2/(1+AT375*(N375:Y375-1))^2)</f>
        <v>-0</v>
      </c>
      <c r="AW375" s="60" t="n">
        <f aca="false">IF(OR(NOT(AB375),AV375=0),AT375,IF(AT375-AU375/AV375&lt;=AC375,(AT375+AC375)/2,IF(AT375-AU375/AV375&gt;=AD375,(AT375+AD375)/2,AT375-AU375/AV375)))</f>
        <v>1</v>
      </c>
      <c r="AX375" s="60" t="n">
        <f aca="false">SUMPRODUCT($E$13:$P$13*(N375:Y375-1)/(1+AW375*(N375:Y375-1)))</f>
        <v>0</v>
      </c>
      <c r="AY375" s="60" t="n">
        <f aca="false">-SUMPRODUCT($E$13:$P$13*(N375:Y375-1)^2/(1+AW375*(N375:Y375-1))^2)</f>
        <v>-0</v>
      </c>
      <c r="AZ375" s="60" t="n">
        <f aca="false">IF(OR(NOT(AB375),AY375=0),AW375,IF(AW375-AX375/AY375&lt;=AC375,(AW375+AC375)/2,IF(AW375-AX375/AY375&gt;=AD375,(AW375+AD375)/2,AW375-AX375/AY375)))</f>
        <v>1</v>
      </c>
      <c r="BA375" s="60" t="n">
        <f aca="false">SUMPRODUCT($E$13:$P$13*(N375:Y375-1)/(1+AZ375*(N375:Y375-1)))</f>
        <v>0</v>
      </c>
      <c r="BB375" s="60" t="n">
        <f aca="false">-SUMPRODUCT($E$13:$P$13*(N375:Y375-1)^2/(1+AZ375*(N375:Y375-1))^2)</f>
        <v>-0</v>
      </c>
      <c r="BC375" s="60" t="n">
        <f aca="false">IF(OR(NOT(AB375),BB375=0),AZ375,IF(AZ375-BA375/BB375&lt;=AC375,(AZ375+AC375)/2,IF(AZ375-BA375/BB375&gt;=AD375,(AZ375+AD375)/2,AZ375-BA375/BB375)))</f>
        <v>1</v>
      </c>
      <c r="BD375" s="60" t="n">
        <f aca="false">SUMPRODUCT($E$13:$P$13*(N375:Y375-1)/(1+BC375*(N375:Y375-1)))</f>
        <v>0</v>
      </c>
      <c r="BE375" s="60" t="n">
        <f aca="false">-SUMPRODUCT($E$13:$P$13*(N375:Y375-1)^2/(1+BC375*(N375:Y375-1))^2)</f>
        <v>-0</v>
      </c>
      <c r="BF375" s="60" t="n">
        <f aca="false">IF(OR(NOT(AB375),BE375=0),BC375,IF(BC375-BD375/BE375&lt;=AC375,(BC375+AC375)/2,IF(BC375-BD375/BE375&gt;=AD375,(BC375+AD375)/2,BC375-BD375/BE375)))</f>
        <v>1</v>
      </c>
      <c r="BG375" s="60" t="n">
        <f aca="false">SUMPRODUCT($E$13:$P$13*(N375:Y375-1)/(1+BF375*(N375:Y375-1)))</f>
        <v>0</v>
      </c>
      <c r="BH375" s="60" t="n">
        <f aca="false">-SUMPRODUCT($E$13:$P$13*(N375:Y375-1)^2/(1+BF375*(N375:Y375-1))^2)</f>
        <v>-0</v>
      </c>
      <c r="BI375" s="60" t="n">
        <f aca="false">IF(OR(NOT(AB375),BH375=0),BF375,IF(BF375-BG375/BH375&lt;=AC375,(BF375+AC375)/2,IF(BF375-BG375/BH375&gt;=AD375,(BF375+AD375)/2,BF375-BG375/BH375)))</f>
        <v>1</v>
      </c>
      <c r="BJ375" s="60" t="n">
        <f aca="false">$E$13/(1+BI375*(N375-1))</f>
        <v>1</v>
      </c>
      <c r="BK375" s="60" t="n">
        <f aca="false">$F$13/(1+BI375*(O375-1))</f>
        <v>0</v>
      </c>
      <c r="BL375" s="60" t="n">
        <f aca="false">$G$13/(1+BI375*(P375-1))</f>
        <v>0</v>
      </c>
      <c r="BM375" s="60" t="n">
        <f aca="false">$H$13/(1+BI375*(Q375-1))</f>
        <v>0</v>
      </c>
      <c r="BN375" s="60" t="n">
        <f aca="false">$I$13/(1+BI375*(R375-1))</f>
        <v>0</v>
      </c>
      <c r="BO375" s="60" t="n">
        <f aca="false">$J$13/(1+BI375*(S375-1))</f>
        <v>0</v>
      </c>
      <c r="BP375" s="60" t="n">
        <f aca="false">$K$13/(1+BI375*(T375-1))</f>
        <v>0</v>
      </c>
      <c r="BQ375" s="60" t="n">
        <f aca="false">$L$13/(1+BI375*(U375-1))</f>
        <v>0</v>
      </c>
      <c r="BR375" s="60" t="n">
        <f aca="false">$M$13/(1+BI375*(V375-1))</f>
        <v>0</v>
      </c>
      <c r="BS375" s="60" t="n">
        <f aca="false">$N$13/(1+BI375*(W375-1))</f>
        <v>0</v>
      </c>
      <c r="BT375" s="60" t="n">
        <f aca="false">$O$13/(1+BI375*(X375-1))</f>
        <v>0</v>
      </c>
      <c r="BU375" s="60" t="n">
        <f aca="false">$P$13/(1+BI375*(Y375-1))</f>
        <v>0</v>
      </c>
      <c r="BV375" s="60" t="n">
        <f aca="false">SUM(BJ375:BU375)</f>
        <v>1</v>
      </c>
      <c r="BW375" s="60" t="n">
        <f aca="false">SUMPRODUCT(N375:Y375,BJ375:BU375)</f>
        <v>1</v>
      </c>
      <c r="BX375" s="60" t="n">
        <f aca="false">BJ375/BV375</f>
        <v>1</v>
      </c>
      <c r="BY375" s="60" t="n">
        <f aca="false">BK375/BV375</f>
        <v>0</v>
      </c>
      <c r="BZ375" s="60" t="n">
        <f aca="false">BL375/BV375</f>
        <v>0</v>
      </c>
      <c r="CA375" s="60" t="n">
        <f aca="false">BM375/BV375</f>
        <v>0</v>
      </c>
      <c r="CB375" s="60" t="n">
        <f aca="false">BN375/BV375</f>
        <v>0</v>
      </c>
      <c r="CC375" s="60" t="n">
        <f aca="false">BO375/BV375</f>
        <v>0</v>
      </c>
      <c r="CD375" s="60" t="n">
        <f aca="false">BP375/BV375</f>
        <v>0</v>
      </c>
      <c r="CE375" s="60" t="n">
        <f aca="false">BQ375/BV375</f>
        <v>0</v>
      </c>
      <c r="CF375" s="60" t="n">
        <f aca="false">BR375/BV375</f>
        <v>0</v>
      </c>
      <c r="CG375" s="60" t="n">
        <f aca="false">BS375/BV375</f>
        <v>0</v>
      </c>
      <c r="CH375" s="60" t="n">
        <f aca="false">BT375/BV375</f>
        <v>0</v>
      </c>
      <c r="CI375" s="60" t="n">
        <f aca="false">BU375/BV375</f>
        <v>0</v>
      </c>
      <c r="CJ375" s="60" t="n">
        <f aca="false">N375*BJ375/BW375</f>
        <v>1</v>
      </c>
      <c r="CK375" s="60" t="n">
        <f aca="false">O375*BK375/BW375</f>
        <v>0</v>
      </c>
      <c r="CL375" s="60" t="n">
        <f aca="false">P375*BL375/BW375</f>
        <v>0</v>
      </c>
      <c r="CM375" s="60" t="n">
        <f aca="false">Q375*BM375/BW375</f>
        <v>0</v>
      </c>
      <c r="CN375" s="60" t="n">
        <f aca="false">R375*BN375/BW375</f>
        <v>0</v>
      </c>
      <c r="CO375" s="60" t="n">
        <f aca="false">S375*BO375/BW375</f>
        <v>0</v>
      </c>
      <c r="CP375" s="60" t="n">
        <f aca="false">T375*BP375/BW375</f>
        <v>0</v>
      </c>
      <c r="CQ375" s="60" t="n">
        <f aca="false">U375*BQ375/BW375</f>
        <v>0</v>
      </c>
      <c r="CR375" s="60" t="n">
        <f aca="false">V375*BR375/BW375</f>
        <v>0</v>
      </c>
      <c r="CS375" s="60" t="n">
        <f aca="false">W375*BS375/BW375</f>
        <v>0</v>
      </c>
      <c r="CT375" s="60" t="n">
        <f aca="false">X375*BT375/BW375</f>
        <v>0</v>
      </c>
      <c r="CU375" s="60" t="n">
        <f aca="false">Y375*BU375/BW375</f>
        <v>0</v>
      </c>
      <c r="CV375" s="60" t="n">
        <f aca="false">$E$28*SUMPRODUCT($E$31:$P$31,BX375:CI375,$E$28:$P$28)</f>
        <v>0.184416866619846</v>
      </c>
      <c r="CW375" s="60" t="n">
        <f aca="false">$F$28*SUMPRODUCT($E$32:$P$32,BX375:CI375,$E$28:$P$28)</f>
        <v>0</v>
      </c>
      <c r="CX375" s="60" t="n">
        <f aca="false">$G$28*SUMPRODUCT($E$33:$P$33,BX375:CI375,$E$28:$P$28)</f>
        <v>0</v>
      </c>
      <c r="CY375" s="60" t="n">
        <f aca="false">$H$28*SUMPRODUCT($E$34:$P$34,BX375:CI375,$E$28:$P$28)</f>
        <v>0</v>
      </c>
      <c r="CZ375" s="60" t="n">
        <f aca="false">$I$28*SUMPRODUCT($E$35:$P$35,BX375:CI375,$E$28:$P$28)</f>
        <v>0</v>
      </c>
      <c r="DA375" s="60" t="n">
        <f aca="false">$J$28*SUMPRODUCT($E$36:$P$36,BX375:CI375,$E$28:$P$28)</f>
        <v>0</v>
      </c>
      <c r="DB375" s="60" t="n">
        <f aca="false">$K$28*SUMPRODUCT($E$37:$P$37,BX375:CI375,$E$28:$P$28)</f>
        <v>0</v>
      </c>
      <c r="DC375" s="60" t="n">
        <f aca="false">$L$28*SUMPRODUCT($E$38:$P$38,BX375:CI375,$E$28:$P$28)</f>
        <v>0</v>
      </c>
      <c r="DD375" s="60" t="n">
        <f aca="false">$M$28*SUMPRODUCT($E$39:$P$39,BX375:CI375,$E$28:$P$28)</f>
        <v>0</v>
      </c>
      <c r="DE375" s="60" t="n">
        <f aca="false">$N$28*SUMPRODUCT($E$40:$P$40,BX375:CI375,$E$28:$P$28)</f>
        <v>0</v>
      </c>
      <c r="DF375" s="60" t="n">
        <f aca="false">$O$28*SUMPRODUCT($E$41:$P$41,BX375:CI375,$E$28:$P$28)</f>
        <v>0</v>
      </c>
      <c r="DG375" s="60" t="n">
        <f aca="false">$P$28*SUMPRODUCT($E$42:$P$42,BX375:CI375,$E$28:$P$28)</f>
        <v>0</v>
      </c>
      <c r="DH375" s="60" t="n">
        <f aca="false">SUMPRODUCT(BX375:CI375,CV375:DG375)</f>
        <v>0.184416866619846</v>
      </c>
      <c r="DI375" s="60" t="n">
        <f aca="false">SUMPRODUCT(BX375:CI375,$E$27:$P$27)</f>
        <v>2.67389635063809E-005</v>
      </c>
      <c r="DJ375" s="60" t="n">
        <f aca="false">DH375*$C$9/($C$10*$C$8)^2</f>
        <v>0.21776909410545</v>
      </c>
      <c r="DK375" s="60" t="n">
        <f aca="false">DI375*$C$9/($C$10*$C$8)</f>
        <v>0.0918845243259994</v>
      </c>
      <c r="DL375" s="60" t="n">
        <f aca="false">CHOOSE($C$7,-(1+DK375),-1,-(1-DK375))</f>
        <v>-0.908115475674001</v>
      </c>
      <c r="DM375" s="60" t="n">
        <f aca="false">CHOOSE($C$7,DJ375,DJ375-DK375-DK375^2,DJ375-3*DK375^2-2*DK375)</f>
        <v>0.00867174802160559</v>
      </c>
      <c r="DN375" s="60" t="n">
        <f aca="false">CHOOSE($C$7,-DJ375*DK375,-DJ375*DK375,-(DJ375*DK375-DK375^2-DK375^3))</f>
        <v>-0.0107910842936637</v>
      </c>
      <c r="DO375" s="60" t="n">
        <f aca="false">DM375-DL375^2/3</f>
        <v>-0.266219491031267</v>
      </c>
      <c r="DP375" s="60" t="n">
        <f aca="false">2*DL375^3/27-DL375*DM375/3+DN375</f>
        <v>-0.0636400988362784</v>
      </c>
      <c r="DQ375" s="60" t="n">
        <f aca="false">DP375^2/4+DO375^3/27</f>
        <v>0.000313710901361829</v>
      </c>
      <c r="DR375" s="60" t="n">
        <f aca="false">-DP375/2-IF(DP375&gt;=0,1,-1)*SQRT(MAX(DQ375,0))</f>
        <v>0.0495319352963236</v>
      </c>
      <c r="DS375" s="60" t="n">
        <f aca="false">SIGN(DR375)*ABS(DR375)^(1/3)</f>
        <v>0.367249967174439</v>
      </c>
      <c r="DT375" s="60" t="n">
        <f aca="false">IF(DS375=0,0,DS375-DO375/(3*DS375))</f>
        <v>0.60888329127384</v>
      </c>
      <c r="DU375" s="60" t="n">
        <f aca="false">2*SQRT(MAX(-DO375,0)/3)</f>
        <v>0.595784626668918</v>
      </c>
      <c r="DV375" s="60" t="n">
        <f aca="false">ACOS(IF(DU375=0,0,MAX(-1,MIN(1,3*DP375/(DO375*DU375)))))</f>
        <v>0</v>
      </c>
      <c r="DW375" s="60" t="n">
        <f aca="false">DU375*COS(DV375/3)</f>
        <v>0.595784626668918</v>
      </c>
      <c r="DX375" s="60" t="n">
        <f aca="false">IF(DQ375&lt;0,DW375,DT375)-DL375/3</f>
        <v>0.91158844983184</v>
      </c>
      <c r="DY375" s="60" t="n">
        <f aca="false">IFERROR((((DX375+DL375)*DX375+DM375)*DX375+DN375)/((3*DX375+2*DL375)*DX375+DM375),0)</f>
        <v>0</v>
      </c>
      <c r="DZ375" s="60" t="n">
        <f aca="false">IF(ABS(DY375)&lt;0.1*ABS(DX375),DX375-DY375,DX375)</f>
        <v>0.91158844983184</v>
      </c>
      <c r="EA375" s="60" t="n">
        <f aca="false">IFERROR((((DZ375+DL375)*DZ375+DM375)*DZ375+DN375)/((3*DZ375+2*DL375)*DZ375+DM375),0)</f>
        <v>0</v>
      </c>
      <c r="EB375" s="60" t="n">
        <f aca="false">IF(ABS(EA375)&lt;0.1*ABS(DZ375),DZ375-EA375,DZ375)</f>
        <v>0.91158844983184</v>
      </c>
      <c r="EC375" s="60" t="n">
        <f aca="false">-DN375/EB375</f>
        <v>0.0118376711504565</v>
      </c>
      <c r="ED375" s="60" t="n">
        <f aca="false">(DM375-EC375)/EB375</f>
        <v>-0.00347297415783941</v>
      </c>
      <c r="EE375" s="60" t="n">
        <f aca="false">ED375^2-4*EC375</f>
        <v>-0.0473386230523248</v>
      </c>
      <c r="EF375" s="60" t="n">
        <f aca="false">IF(EE375&gt;=0,(ED375+IF(ED375&gt;=0,1,-1)*SQRT(EE375))/2,0)</f>
        <v>0</v>
      </c>
      <c r="EG375" s="60" t="n">
        <f aca="false">IF(AND(EE375&gt;=0,EF375&lt;&gt;0),MIN(EF375,EC375/EF375),-1)</f>
        <v>-1</v>
      </c>
      <c r="EH375" s="60" t="n">
        <f aca="false">AND(EE375&gt;=0,EG375&gt;DK375,ABS(EB375-EG375)&gt;=0.00005*MAX(EB375,EG375))</f>
        <v>0</v>
      </c>
      <c r="EI375" s="60" t="n">
        <f aca="false">IF(EH375,IFERROR((((EG375+DL375)*EG375+DM375)*EG375+DN375)/((3*EG375+2*DL375)*EG375+DM375),0),0)</f>
        <v>0</v>
      </c>
      <c r="EJ375" s="60" t="n">
        <f aca="false">IF(ABS(EI375)&lt;0.1*ABS(EG375),EG375-EI375,EG375)</f>
        <v>-1</v>
      </c>
      <c r="EK375" s="60" t="n">
        <f aca="false">IF(EH375,IFERROR((((EJ375+DL375)*EJ375+DM375)*EJ375+DN375)/((3*EJ375+2*DL375)*EJ375+DM375),0),0)</f>
        <v>0</v>
      </c>
      <c r="EL375" s="60" t="n">
        <f aca="false">IF(ABS(EK375)&lt;0.1*ABS(EJ375),EJ375-EK375,EJ375)</f>
        <v>-1</v>
      </c>
      <c r="EM375" s="60" t="n">
        <f aca="false">IF(EH375,MAX(EB375,EL375),EB375)</f>
        <v>0.91158844983184</v>
      </c>
      <c r="EN375" s="60" t="n">
        <f aca="false">IF(EH375,MIN(EB375,EL375),-1)</f>
        <v>-1</v>
      </c>
      <c r="EO375" s="60" t="n">
        <f aca="false">CHOOSE($C$7,DJ375/EM375,DJ375/DK375*LN(1+DK375/EM375),DJ375/(2*SQRT(2)*DK375)*LN((EM375+(1+SQRT(2))*DK375)/(EM375+(1-SQRT(2))*DK375)))</f>
        <v>0.218240791233887</v>
      </c>
      <c r="EP375" s="60" t="n">
        <f aca="false">EM375-1-LN(EM375-DK375)-EO375</f>
        <v>-0.107840271021729</v>
      </c>
      <c r="EQ375" s="60" t="n">
        <f aca="false">IF(EH375,CHOOSE($C$7,DJ375/EN375,DJ375/DK375*LN(1+DK375/EN375),DJ375/(2*SQRT(2)*DK375)*LN((EN375+(1+SQRT(2))*DK375)/(EN375+(1-SQRT(2))*DK375))),0)</f>
        <v>0</v>
      </c>
      <c r="ER375" s="60" t="n">
        <f aca="false">IF(EH375,EN375-1-LN(EN375-DK375)-EQ375,0)</f>
        <v>0</v>
      </c>
      <c r="ES375" s="60" t="n">
        <f aca="false">AND(EH375,ER375&lt;EP375)</f>
        <v>0</v>
      </c>
      <c r="ET375" s="60" t="n">
        <f aca="false">IF(ES375,EN375,EM375)</f>
        <v>0.91158844983184</v>
      </c>
      <c r="EU375" s="60" t="n">
        <f aca="false">IF(ES375,EQ375,EO375)</f>
        <v>0.218240791233887</v>
      </c>
      <c r="EV375" s="60" t="n">
        <f aca="false">LN(ET375-DK375)</f>
        <v>-0.198812070380318</v>
      </c>
      <c r="EW375" s="60" t="n">
        <f aca="false">$E$27/DI375*(ET375-1)-EV375-EU375*(2*CV375/DH375-$E$27/DI375)</f>
        <v>-0.107840271021729</v>
      </c>
      <c r="EX375" s="60" t="n">
        <f aca="false">$F$27/DI375*(ET375-1)-EV375-EU375*(2*CW375/DH375-$F$27/DI375)</f>
        <v>0.198812070380318</v>
      </c>
      <c r="EY375" s="60" t="n">
        <f aca="false">$G$27/DI375*(ET375-1)-EV375-EU375*(2*CX375/DH375-$G$27/DI375)</f>
        <v>0.198812070380318</v>
      </c>
      <c r="EZ375" s="60" t="n">
        <f aca="false">$H$27/DI375*(ET375-1)-EV375-EU375*(2*CY375/DH375-$H$27/DI375)</f>
        <v>0.198812070380318</v>
      </c>
      <c r="FA375" s="60" t="n">
        <f aca="false">$I$27/DI375*(ET375-1)-EV375-EU375*(2*CZ375/DH375-$I$27/DI375)</f>
        <v>0.198812070380318</v>
      </c>
      <c r="FB375" s="60" t="n">
        <f aca="false">$J$27/DI375*(ET375-1)-EV375-EU375*(2*DA375/DH375-$J$27/DI375)</f>
        <v>0.198812070380318</v>
      </c>
      <c r="FC375" s="60" t="n">
        <f aca="false">$K$27/DI375*(ET375-1)-EV375-EU375*(2*DB375/DH375-$K$27/DI375)</f>
        <v>0.198812070380318</v>
      </c>
      <c r="FD375" s="60" t="n">
        <f aca="false">$L$27/DI375*(ET375-1)-EV375-EU375*(2*DC375/DH375-$L$27/DI375)</f>
        <v>0.198812070380318</v>
      </c>
      <c r="FE375" s="60" t="n">
        <f aca="false">$M$27/DI375*(ET375-1)-EV375-EU375*(2*DD375/DH375-$M$27/DI375)</f>
        <v>0.198812070380318</v>
      </c>
      <c r="FF375" s="60" t="n">
        <f aca="false">$N$27/DI375*(ET375-1)-EV375-EU375*(2*DE375/DH375-$N$27/DI375)</f>
        <v>0.198812070380318</v>
      </c>
      <c r="FG375" s="60" t="n">
        <f aca="false">$O$27/DI375*(ET375-1)-EV375-EU375*(2*DF375/DH375-$O$27/DI375)</f>
        <v>0.198812070380318</v>
      </c>
      <c r="FH375" s="60" t="n">
        <f aca="false">$P$27/DI375*(ET375-1)-EV375-EU375*(2*DG375/DH375-$P$27/DI375)</f>
        <v>0.198812070380318</v>
      </c>
      <c r="FI375" s="60" t="n">
        <f aca="false">DK375/ET375&gt;$C$22</f>
        <v>0</v>
      </c>
      <c r="FJ375" s="60" t="n">
        <f aca="false">$E$28*SUMPRODUCT($E$31:$P$31,CJ375:CU375,$E$28:$P$28)</f>
        <v>0.184416866619846</v>
      </c>
      <c r="FK375" s="60" t="n">
        <f aca="false">$F$28*SUMPRODUCT($E$32:$P$32,CJ375:CU375,$E$28:$P$28)</f>
        <v>0</v>
      </c>
      <c r="FL375" s="60" t="n">
        <f aca="false">$G$28*SUMPRODUCT($E$33:$P$33,CJ375:CU375,$E$28:$P$28)</f>
        <v>0</v>
      </c>
      <c r="FM375" s="60" t="n">
        <f aca="false">$H$28*SUMPRODUCT($E$34:$P$34,CJ375:CU375,$E$28:$P$28)</f>
        <v>0</v>
      </c>
      <c r="FN375" s="60" t="n">
        <f aca="false">$I$28*SUMPRODUCT($E$35:$P$35,CJ375:CU375,$E$28:$P$28)</f>
        <v>0</v>
      </c>
      <c r="FO375" s="60" t="n">
        <f aca="false">$J$28*SUMPRODUCT($E$36:$P$36,CJ375:CU375,$E$28:$P$28)</f>
        <v>0</v>
      </c>
      <c r="FP375" s="60" t="n">
        <f aca="false">$K$28*SUMPRODUCT($E$37:$P$37,CJ375:CU375,$E$28:$P$28)</f>
        <v>0</v>
      </c>
      <c r="FQ375" s="60" t="n">
        <f aca="false">$L$28*SUMPRODUCT($E$38:$P$38,CJ375:CU375,$E$28:$P$28)</f>
        <v>0</v>
      </c>
      <c r="FR375" s="60" t="n">
        <f aca="false">$M$28*SUMPRODUCT($E$39:$P$39,CJ375:CU375,$E$28:$P$28)</f>
        <v>0</v>
      </c>
      <c r="FS375" s="60" t="n">
        <f aca="false">$N$28*SUMPRODUCT($E$40:$P$40,CJ375:CU375,$E$28:$P$28)</f>
        <v>0</v>
      </c>
      <c r="FT375" s="60" t="n">
        <f aca="false">$O$28*SUMPRODUCT($E$41:$P$41,CJ375:CU375,$E$28:$P$28)</f>
        <v>0</v>
      </c>
      <c r="FU375" s="60" t="n">
        <f aca="false">$P$28*SUMPRODUCT($E$42:$P$42,CJ375:CU375,$E$28:$P$28)</f>
        <v>0</v>
      </c>
      <c r="FV375" s="60" t="n">
        <f aca="false">SUMPRODUCT(CJ375:CU375,FJ375:FU375)</f>
        <v>0.184416866619846</v>
      </c>
      <c r="FW375" s="60" t="n">
        <f aca="false">SUMPRODUCT(CJ375:CU375,$E$27:$P$27)</f>
        <v>2.67389635063809E-005</v>
      </c>
      <c r="FX375" s="60" t="n">
        <f aca="false">FV375*$C$9/($C$10*$C$8)^2</f>
        <v>0.21776909410545</v>
      </c>
      <c r="FY375" s="60" t="n">
        <f aca="false">FW375*$C$9/($C$10*$C$8)</f>
        <v>0.0918845243259994</v>
      </c>
      <c r="FZ375" s="60" t="n">
        <f aca="false">CHOOSE($C$7,-(1+FY375),-1,-(1-FY375))</f>
        <v>-0.908115475674001</v>
      </c>
      <c r="GA375" s="60" t="n">
        <f aca="false">CHOOSE($C$7,FX375,FX375-FY375-FY375^2,FX375-3*FY375^2-2*FY375)</f>
        <v>0.00867174802160559</v>
      </c>
      <c r="GB375" s="60" t="n">
        <f aca="false">CHOOSE($C$7,-FX375*FY375,-FX375*FY375,-(FX375*FY375-FY375^2-FY375^3))</f>
        <v>-0.0107910842936637</v>
      </c>
      <c r="GC375" s="60" t="n">
        <f aca="false">GA375-FZ375^2/3</f>
        <v>-0.266219491031267</v>
      </c>
      <c r="GD375" s="60" t="n">
        <f aca="false">2*FZ375^3/27-FZ375*GA375/3+GB375</f>
        <v>-0.0636400988362784</v>
      </c>
      <c r="GE375" s="60" t="n">
        <f aca="false">GD375^2/4+GC375^3/27</f>
        <v>0.000313710901361829</v>
      </c>
      <c r="GF375" s="60" t="n">
        <f aca="false">-GD375/2-IF(GD375&gt;=0,1,-1)*SQRT(MAX(GE375,0))</f>
        <v>0.0495319352963236</v>
      </c>
      <c r="GG375" s="60" t="n">
        <f aca="false">SIGN(GF375)*ABS(GF375)^(1/3)</f>
        <v>0.367249967174439</v>
      </c>
      <c r="GH375" s="60" t="n">
        <f aca="false">IF(GG375=0,0,GG375-GC375/(3*GG375))</f>
        <v>0.60888329127384</v>
      </c>
      <c r="GI375" s="60" t="n">
        <f aca="false">2*SQRT(MAX(-GC375,0)/3)</f>
        <v>0.595784626668918</v>
      </c>
      <c r="GJ375" s="60" t="n">
        <f aca="false">ACOS(IF(GI375=0,0,MAX(-1,MIN(1,3*GD375/(GC375*GI375)))))</f>
        <v>0</v>
      </c>
      <c r="GK375" s="60" t="n">
        <f aca="false">GI375*COS(GJ375/3)</f>
        <v>0.595784626668918</v>
      </c>
      <c r="GL375" s="60" t="n">
        <f aca="false">IF(GE375&lt;0,GK375,GH375)-FZ375/3</f>
        <v>0.91158844983184</v>
      </c>
      <c r="GM375" s="60" t="n">
        <f aca="false">IFERROR((((GL375+FZ375)*GL375+GA375)*GL375+GB375)/((3*GL375+2*FZ375)*GL375+GA375),0)</f>
        <v>0</v>
      </c>
      <c r="GN375" s="60" t="n">
        <f aca="false">IF(ABS(GM375)&lt;0.1*ABS(GL375),GL375-GM375,GL375)</f>
        <v>0.91158844983184</v>
      </c>
      <c r="GO375" s="60" t="n">
        <f aca="false">IFERROR((((GN375+FZ375)*GN375+GA375)*GN375+GB375)/((3*GN375+2*FZ375)*GN375+GA375),0)</f>
        <v>0</v>
      </c>
      <c r="GP375" s="60" t="n">
        <f aca="false">IF(ABS(GO375)&lt;0.1*ABS(GN375),GN375-GO375,GN375)</f>
        <v>0.91158844983184</v>
      </c>
      <c r="GQ375" s="60" t="n">
        <f aca="false">-GB375/GP375</f>
        <v>0.0118376711504565</v>
      </c>
      <c r="GR375" s="60" t="n">
        <f aca="false">(GA375-GQ375)/GP375</f>
        <v>-0.00347297415783941</v>
      </c>
      <c r="GS375" s="60" t="n">
        <f aca="false">GR375^2-4*GQ375</f>
        <v>-0.0473386230523248</v>
      </c>
      <c r="GT375" s="60" t="n">
        <f aca="false">IF(GS375&gt;=0,(GR375+IF(GR375&gt;=0,1,-1)*SQRT(GS375))/2,0)</f>
        <v>0</v>
      </c>
      <c r="GU375" s="60" t="n">
        <f aca="false">IF(AND(GS375&gt;=0,GT375&lt;&gt;0),MIN(GT375,GQ375/GT375),-1)</f>
        <v>-1</v>
      </c>
      <c r="GV375" s="60" t="n">
        <f aca="false">AND(GS375&gt;=0,GU375&gt;FY375,ABS(GP375-GU375)&gt;=0.00005*MAX(GP375,GU375))</f>
        <v>0</v>
      </c>
      <c r="GW375" s="60" t="n">
        <f aca="false">IF(GV375,IFERROR((((GU375+FZ375)*GU375+GA375)*GU375+GB375)/((3*GU375+2*FZ375)*GU375+GA375),0),0)</f>
        <v>0</v>
      </c>
      <c r="GX375" s="60" t="n">
        <f aca="false">IF(ABS(GW375)&lt;0.1*ABS(GU375),GU375-GW375,GU375)</f>
        <v>-1</v>
      </c>
      <c r="GY375" s="60" t="n">
        <f aca="false">IF(GV375,IFERROR((((GX375+FZ375)*GX375+GA375)*GX375+GB375)/((3*GX375+2*FZ375)*GX375+GA375),0),0)</f>
        <v>0</v>
      </c>
      <c r="GZ375" s="60" t="n">
        <f aca="false">IF(ABS(GY375)&lt;0.1*ABS(GX375),GX375-GY375,GX375)</f>
        <v>-1</v>
      </c>
      <c r="HA375" s="60" t="n">
        <f aca="false">IF(GV375,MAX(GP375,GZ375),GP375)</f>
        <v>0.91158844983184</v>
      </c>
      <c r="HB375" s="60" t="n">
        <f aca="false">IF(GV375,MIN(GP375,GZ375),-1)</f>
        <v>-1</v>
      </c>
      <c r="HC375" s="60" t="n">
        <f aca="false">CHOOSE($C$7,FX375/HA375,FX375/FY375*LN(1+FY375/HA375),FX375/(2*SQRT(2)*FY375)*LN((HA375+(1+SQRT(2))*FY375)/(HA375+(1-SQRT(2))*FY375)))</f>
        <v>0.218240791233887</v>
      </c>
      <c r="HD375" s="60" t="n">
        <f aca="false">HA375-1-LN(HA375-FY375)-HC375</f>
        <v>-0.107840271021729</v>
      </c>
      <c r="HE375" s="60" t="n">
        <f aca="false">IF(GV375,CHOOSE($C$7,FX375/HB375,FX375/FY375*LN(1+FY375/HB375),FX375/(2*SQRT(2)*FY375)*LN((HB375+(1+SQRT(2))*FY375)/(HB375+(1-SQRT(2))*FY375))),0)</f>
        <v>0</v>
      </c>
      <c r="HF375" s="60" t="n">
        <f aca="false">IF(GV375,HB375-1-LN(HB375-FY375)-HE375,0)</f>
        <v>0</v>
      </c>
      <c r="HG375" s="60" t="n">
        <f aca="false">AND(GV375,HF375&lt;HD375)</f>
        <v>0</v>
      </c>
      <c r="HH375" s="60" t="n">
        <f aca="false">IF(HG375,HB375,HA375)</f>
        <v>0.91158844983184</v>
      </c>
      <c r="HI375" s="60" t="n">
        <f aca="false">IF(HG375,HE375,HC375)</f>
        <v>0.218240791233887</v>
      </c>
      <c r="HJ375" s="60" t="n">
        <f aca="false">LN(HH375-FY375)</f>
        <v>-0.198812070380318</v>
      </c>
      <c r="HK375" s="60" t="n">
        <f aca="false">$E$27/FW375*(HH375-1)-HJ375-HI375*(2*FJ375/FV375-$E$27/FW375)</f>
        <v>-0.107840271021729</v>
      </c>
      <c r="HL375" s="60" t="n">
        <f aca="false">$F$27/FW375*(HH375-1)-HJ375-HI375*(2*FK375/FV375-$F$27/FW375)</f>
        <v>0.198812070380318</v>
      </c>
      <c r="HM375" s="60" t="n">
        <f aca="false">$G$27/FW375*(HH375-1)-HJ375-HI375*(2*FL375/FV375-$G$27/FW375)</f>
        <v>0.198812070380318</v>
      </c>
      <c r="HN375" s="60" t="n">
        <f aca="false">$H$27/FW375*(HH375-1)-HJ375-HI375*(2*FM375/FV375-$H$27/FW375)</f>
        <v>0.198812070380318</v>
      </c>
      <c r="HO375" s="60" t="n">
        <f aca="false">$I$27/FW375*(HH375-1)-HJ375-HI375*(2*FN375/FV375-$I$27/FW375)</f>
        <v>0.198812070380318</v>
      </c>
      <c r="HP375" s="60" t="n">
        <f aca="false">$J$27/FW375*(HH375-1)-HJ375-HI375*(2*FO375/FV375-$J$27/FW375)</f>
        <v>0.198812070380318</v>
      </c>
      <c r="HQ375" s="60" t="n">
        <f aca="false">$K$27/FW375*(HH375-1)-HJ375-HI375*(2*FP375/FV375-$K$27/FW375)</f>
        <v>0.198812070380318</v>
      </c>
      <c r="HR375" s="60" t="n">
        <f aca="false">$L$27/FW375*(HH375-1)-HJ375-HI375*(2*FQ375/FV375-$L$27/FW375)</f>
        <v>0.198812070380318</v>
      </c>
      <c r="HS375" s="60" t="n">
        <f aca="false">$M$27/FW375*(HH375-1)-HJ375-HI375*(2*FR375/FV375-$M$27/FW375)</f>
        <v>0.198812070380318</v>
      </c>
      <c r="HT375" s="60" t="n">
        <f aca="false">$N$27/FW375*(HH375-1)-HJ375-HI375*(2*FS375/FV375-$N$27/FW375)</f>
        <v>0.198812070380318</v>
      </c>
      <c r="HU375" s="60" t="n">
        <f aca="false">$O$27/FW375*(HH375-1)-HJ375-HI375*(2*FT375/FV375-$O$27/FW375)</f>
        <v>0.198812070380318</v>
      </c>
      <c r="HV375" s="60" t="n">
        <f aca="false">$P$27/FW375*(HH375-1)-HJ375-HI375*(2*FU375/FV375-$P$27/FW375)</f>
        <v>0.198812070380318</v>
      </c>
      <c r="HW375" s="60" t="n">
        <f aca="false">FY375/HH375&gt;$C$22</f>
        <v>0</v>
      </c>
      <c r="HX375" s="60" t="n">
        <f aca="false">IF($E$13&gt;0,MAX(-300,MIN(300,EW375-HK375)),0)</f>
        <v>0</v>
      </c>
      <c r="HY375" s="60" t="n">
        <f aca="false">IF($F$13&gt;0,MAX(-300,MIN(300,EX375-HL375)),0)</f>
        <v>0</v>
      </c>
      <c r="HZ375" s="60" t="n">
        <f aca="false">IF($G$13&gt;0,MAX(-300,MIN(300,EY375-HM375)),0)</f>
        <v>0</v>
      </c>
      <c r="IA375" s="60" t="n">
        <f aca="false">IF($H$13&gt;0,MAX(-300,MIN(300,EZ375-HN375)),0)</f>
        <v>0</v>
      </c>
      <c r="IB375" s="60" t="n">
        <f aca="false">IF($I$13&gt;0,MAX(-300,MIN(300,FA375-HO375)),0)</f>
        <v>0</v>
      </c>
      <c r="IC375" s="60" t="n">
        <f aca="false">IF($J$13&gt;0,MAX(-300,MIN(300,FB375-HP375)),0)</f>
        <v>0</v>
      </c>
      <c r="ID375" s="60" t="n">
        <f aca="false">IF($K$13&gt;0,MAX(-300,MIN(300,FC375-HQ375)),0)</f>
        <v>0</v>
      </c>
      <c r="IE375" s="60" t="n">
        <f aca="false">IF($L$13&gt;0,MAX(-300,MIN(300,FD375-HR375)),0)</f>
        <v>0</v>
      </c>
      <c r="IF375" s="60" t="n">
        <f aca="false">IF($M$13&gt;0,MAX(-300,MIN(300,FE375-HS375)),0)</f>
        <v>0</v>
      </c>
      <c r="IG375" s="60" t="n">
        <f aca="false">IF($N$13&gt;0,MAX(-300,MIN(300,FF375-HT375)),0)</f>
        <v>0</v>
      </c>
      <c r="IH375" s="60" t="n">
        <f aca="false">IF($O$13&gt;0,MAX(-300,MIN(300,FG375-HU375)),0)</f>
        <v>0</v>
      </c>
      <c r="II375" s="60" t="n">
        <f aca="false">IF($P$13&gt;0,MAX(-300,MIN(300,FH375-HV375)),0)</f>
        <v>0</v>
      </c>
      <c r="IJ375" s="60" t="n">
        <f aca="false">SUMXMY2(HX375:II375,B375:M375)</f>
        <v>0</v>
      </c>
      <c r="IK375" s="60" t="n">
        <f aca="false">SUMSQ(B375:M375)</f>
        <v>0</v>
      </c>
    </row>
    <row r="376" customFormat="false" ht="15" hidden="false" customHeight="false" outlineLevel="0" collapsed="false">
      <c r="A376" s="59" t="n">
        <v>15</v>
      </c>
      <c r="B376" s="60" t="n">
        <f aca="false">HX375</f>
        <v>0</v>
      </c>
      <c r="C376" s="60" t="n">
        <f aca="false">HY375</f>
        <v>0</v>
      </c>
      <c r="D376" s="60" t="n">
        <f aca="false">HZ375</f>
        <v>0</v>
      </c>
      <c r="E376" s="60" t="n">
        <f aca="false">IA375</f>
        <v>0</v>
      </c>
      <c r="F376" s="60" t="n">
        <f aca="false">IB375</f>
        <v>0</v>
      </c>
      <c r="G376" s="60" t="n">
        <f aca="false">IC375</f>
        <v>0</v>
      </c>
      <c r="H376" s="60" t="n">
        <f aca="false">ID375</f>
        <v>0</v>
      </c>
      <c r="I376" s="60" t="n">
        <f aca="false">IE375</f>
        <v>0</v>
      </c>
      <c r="J376" s="60" t="n">
        <f aca="false">IF375</f>
        <v>0</v>
      </c>
      <c r="K376" s="60" t="n">
        <f aca="false">IG375</f>
        <v>0</v>
      </c>
      <c r="L376" s="60" t="n">
        <f aca="false">IH375</f>
        <v>0</v>
      </c>
      <c r="M376" s="60" t="n">
        <f aca="false">II375</f>
        <v>0</v>
      </c>
      <c r="N376" s="60" t="n">
        <f aca="false">EXP(B376)</f>
        <v>1</v>
      </c>
      <c r="O376" s="60" t="n">
        <f aca="false">EXP(C376)</f>
        <v>1</v>
      </c>
      <c r="P376" s="60" t="n">
        <f aca="false">EXP(D376)</f>
        <v>1</v>
      </c>
      <c r="Q376" s="60" t="n">
        <f aca="false">EXP(E376)</f>
        <v>1</v>
      </c>
      <c r="R376" s="60" t="n">
        <f aca="false">EXP(F376)</f>
        <v>1</v>
      </c>
      <c r="S376" s="60" t="n">
        <f aca="false">EXP(G376)</f>
        <v>1</v>
      </c>
      <c r="T376" s="60" t="n">
        <f aca="false">EXP(H376)</f>
        <v>1</v>
      </c>
      <c r="U376" s="60" t="n">
        <f aca="false">EXP(I376)</f>
        <v>1</v>
      </c>
      <c r="V376" s="60" t="n">
        <f aca="false">EXP(J376)</f>
        <v>1</v>
      </c>
      <c r="W376" s="60" t="n">
        <f aca="false">EXP(K376)</f>
        <v>1</v>
      </c>
      <c r="X376" s="60" t="n">
        <f aca="false">EXP(L376)</f>
        <v>1</v>
      </c>
      <c r="Y376" s="60" t="n">
        <f aca="false">EXP(M376)</f>
        <v>1</v>
      </c>
      <c r="Z376" s="60" t="n">
        <f aca="false">MAX(N376:Y376)</f>
        <v>1</v>
      </c>
      <c r="AA376" s="60" t="n">
        <f aca="false">MIN(N376:Y376)</f>
        <v>1</v>
      </c>
      <c r="AB376" s="60" t="n">
        <f aca="false">AND(Z376&gt;1,AA376&lt;1)</f>
        <v>0</v>
      </c>
      <c r="AC376" s="60" t="n">
        <f aca="false">IF(AB376,1/(1-Z376),0)</f>
        <v>0</v>
      </c>
      <c r="AD376" s="60" t="n">
        <f aca="false">IF(AB376,1/(1-AA376),1)</f>
        <v>1</v>
      </c>
      <c r="AE376" s="60" t="n">
        <f aca="false">IF(AB376,MIN(MAX(BI375,AC376+0.000000001*(AD376-AC376)),AD376-0.000000001*(AD376-AC376)),IF(AA376&gt;=1,1,0))</f>
        <v>1</v>
      </c>
      <c r="AF376" s="60" t="n">
        <f aca="false">SUMPRODUCT($E$13:$P$13*(N376:Y376-1)/(1+AE376*(N376:Y376-1)))</f>
        <v>0</v>
      </c>
      <c r="AG376" s="60" t="n">
        <f aca="false">-SUMPRODUCT($E$13:$P$13*(N376:Y376-1)^2/(1+AE376*(N376:Y376-1))^2)</f>
        <v>-0</v>
      </c>
      <c r="AH376" s="60" t="n">
        <f aca="false">IF(OR(NOT(AB376),AG376=0),AE376,IF(AE376-AF376/AG376&lt;=AC376,(AE376+AC376)/2,IF(AE376-AF376/AG376&gt;=AD376,(AE376+AD376)/2,AE376-AF376/AG376)))</f>
        <v>1</v>
      </c>
      <c r="AI376" s="60" t="n">
        <f aca="false">SUMPRODUCT($E$13:$P$13*(N376:Y376-1)/(1+AH376*(N376:Y376-1)))</f>
        <v>0</v>
      </c>
      <c r="AJ376" s="60" t="n">
        <f aca="false">-SUMPRODUCT($E$13:$P$13*(N376:Y376-1)^2/(1+AH376*(N376:Y376-1))^2)</f>
        <v>-0</v>
      </c>
      <c r="AK376" s="60" t="n">
        <f aca="false">IF(OR(NOT(AB376),AJ376=0),AH376,IF(AH376-AI376/AJ376&lt;=AC376,(AH376+AC376)/2,IF(AH376-AI376/AJ376&gt;=AD376,(AH376+AD376)/2,AH376-AI376/AJ376)))</f>
        <v>1</v>
      </c>
      <c r="AL376" s="60" t="n">
        <f aca="false">SUMPRODUCT($E$13:$P$13*(N376:Y376-1)/(1+AK376*(N376:Y376-1)))</f>
        <v>0</v>
      </c>
      <c r="AM376" s="60" t="n">
        <f aca="false">-SUMPRODUCT($E$13:$P$13*(N376:Y376-1)^2/(1+AK376*(N376:Y376-1))^2)</f>
        <v>-0</v>
      </c>
      <c r="AN376" s="60" t="n">
        <f aca="false">IF(OR(NOT(AB376),AM376=0),AK376,IF(AK376-AL376/AM376&lt;=AC376,(AK376+AC376)/2,IF(AK376-AL376/AM376&gt;=AD376,(AK376+AD376)/2,AK376-AL376/AM376)))</f>
        <v>1</v>
      </c>
      <c r="AO376" s="60" t="n">
        <f aca="false">SUMPRODUCT($E$13:$P$13*(N376:Y376-1)/(1+AN376*(N376:Y376-1)))</f>
        <v>0</v>
      </c>
      <c r="AP376" s="60" t="n">
        <f aca="false">-SUMPRODUCT($E$13:$P$13*(N376:Y376-1)^2/(1+AN376*(N376:Y376-1))^2)</f>
        <v>-0</v>
      </c>
      <c r="AQ376" s="60" t="n">
        <f aca="false">IF(OR(NOT(AB376),AP376=0),AN376,IF(AN376-AO376/AP376&lt;=AC376,(AN376+AC376)/2,IF(AN376-AO376/AP376&gt;=AD376,(AN376+AD376)/2,AN376-AO376/AP376)))</f>
        <v>1</v>
      </c>
      <c r="AR376" s="60" t="n">
        <f aca="false">SUMPRODUCT($E$13:$P$13*(N376:Y376-1)/(1+AQ376*(N376:Y376-1)))</f>
        <v>0</v>
      </c>
      <c r="AS376" s="60" t="n">
        <f aca="false">-SUMPRODUCT($E$13:$P$13*(N376:Y376-1)^2/(1+AQ376*(N376:Y376-1))^2)</f>
        <v>-0</v>
      </c>
      <c r="AT376" s="60" t="n">
        <f aca="false">IF(OR(NOT(AB376),AS376=0),AQ376,IF(AQ376-AR376/AS376&lt;=AC376,(AQ376+AC376)/2,IF(AQ376-AR376/AS376&gt;=AD376,(AQ376+AD376)/2,AQ376-AR376/AS376)))</f>
        <v>1</v>
      </c>
      <c r="AU376" s="60" t="n">
        <f aca="false">SUMPRODUCT($E$13:$P$13*(N376:Y376-1)/(1+AT376*(N376:Y376-1)))</f>
        <v>0</v>
      </c>
      <c r="AV376" s="60" t="n">
        <f aca="false">-SUMPRODUCT($E$13:$P$13*(N376:Y376-1)^2/(1+AT376*(N376:Y376-1))^2)</f>
        <v>-0</v>
      </c>
      <c r="AW376" s="60" t="n">
        <f aca="false">IF(OR(NOT(AB376),AV376=0),AT376,IF(AT376-AU376/AV376&lt;=AC376,(AT376+AC376)/2,IF(AT376-AU376/AV376&gt;=AD376,(AT376+AD376)/2,AT376-AU376/AV376)))</f>
        <v>1</v>
      </c>
      <c r="AX376" s="60" t="n">
        <f aca="false">SUMPRODUCT($E$13:$P$13*(N376:Y376-1)/(1+AW376*(N376:Y376-1)))</f>
        <v>0</v>
      </c>
      <c r="AY376" s="60" t="n">
        <f aca="false">-SUMPRODUCT($E$13:$P$13*(N376:Y376-1)^2/(1+AW376*(N376:Y376-1))^2)</f>
        <v>-0</v>
      </c>
      <c r="AZ376" s="60" t="n">
        <f aca="false">IF(OR(NOT(AB376),AY376=0),AW376,IF(AW376-AX376/AY376&lt;=AC376,(AW376+AC376)/2,IF(AW376-AX376/AY376&gt;=AD376,(AW376+AD376)/2,AW376-AX376/AY376)))</f>
        <v>1</v>
      </c>
      <c r="BA376" s="60" t="n">
        <f aca="false">SUMPRODUCT($E$13:$P$13*(N376:Y376-1)/(1+AZ376*(N376:Y376-1)))</f>
        <v>0</v>
      </c>
      <c r="BB376" s="60" t="n">
        <f aca="false">-SUMPRODUCT($E$13:$P$13*(N376:Y376-1)^2/(1+AZ376*(N376:Y376-1))^2)</f>
        <v>-0</v>
      </c>
      <c r="BC376" s="60" t="n">
        <f aca="false">IF(OR(NOT(AB376),BB376=0),AZ376,IF(AZ376-BA376/BB376&lt;=AC376,(AZ376+AC376)/2,IF(AZ376-BA376/BB376&gt;=AD376,(AZ376+AD376)/2,AZ376-BA376/BB376)))</f>
        <v>1</v>
      </c>
      <c r="BD376" s="60" t="n">
        <f aca="false">SUMPRODUCT($E$13:$P$13*(N376:Y376-1)/(1+BC376*(N376:Y376-1)))</f>
        <v>0</v>
      </c>
      <c r="BE376" s="60" t="n">
        <f aca="false">-SUMPRODUCT($E$13:$P$13*(N376:Y376-1)^2/(1+BC376*(N376:Y376-1))^2)</f>
        <v>-0</v>
      </c>
      <c r="BF376" s="60" t="n">
        <f aca="false">IF(OR(NOT(AB376),BE376=0),BC376,IF(BC376-BD376/BE376&lt;=AC376,(BC376+AC376)/2,IF(BC376-BD376/BE376&gt;=AD376,(BC376+AD376)/2,BC376-BD376/BE376)))</f>
        <v>1</v>
      </c>
      <c r="BG376" s="60" t="n">
        <f aca="false">SUMPRODUCT($E$13:$P$13*(N376:Y376-1)/(1+BF376*(N376:Y376-1)))</f>
        <v>0</v>
      </c>
      <c r="BH376" s="60" t="n">
        <f aca="false">-SUMPRODUCT($E$13:$P$13*(N376:Y376-1)^2/(1+BF376*(N376:Y376-1))^2)</f>
        <v>-0</v>
      </c>
      <c r="BI376" s="60" t="n">
        <f aca="false">IF(OR(NOT(AB376),BH376=0),BF376,IF(BF376-BG376/BH376&lt;=AC376,(BF376+AC376)/2,IF(BF376-BG376/BH376&gt;=AD376,(BF376+AD376)/2,BF376-BG376/BH376)))</f>
        <v>1</v>
      </c>
      <c r="BJ376" s="60" t="n">
        <f aca="false">$E$13/(1+BI376*(N376-1))</f>
        <v>1</v>
      </c>
      <c r="BK376" s="60" t="n">
        <f aca="false">$F$13/(1+BI376*(O376-1))</f>
        <v>0</v>
      </c>
      <c r="BL376" s="60" t="n">
        <f aca="false">$G$13/(1+BI376*(P376-1))</f>
        <v>0</v>
      </c>
      <c r="BM376" s="60" t="n">
        <f aca="false">$H$13/(1+BI376*(Q376-1))</f>
        <v>0</v>
      </c>
      <c r="BN376" s="60" t="n">
        <f aca="false">$I$13/(1+BI376*(R376-1))</f>
        <v>0</v>
      </c>
      <c r="BO376" s="60" t="n">
        <f aca="false">$J$13/(1+BI376*(S376-1))</f>
        <v>0</v>
      </c>
      <c r="BP376" s="60" t="n">
        <f aca="false">$K$13/(1+BI376*(T376-1))</f>
        <v>0</v>
      </c>
      <c r="BQ376" s="60" t="n">
        <f aca="false">$L$13/(1+BI376*(U376-1))</f>
        <v>0</v>
      </c>
      <c r="BR376" s="60" t="n">
        <f aca="false">$M$13/(1+BI376*(V376-1))</f>
        <v>0</v>
      </c>
      <c r="BS376" s="60" t="n">
        <f aca="false">$N$13/(1+BI376*(W376-1))</f>
        <v>0</v>
      </c>
      <c r="BT376" s="60" t="n">
        <f aca="false">$O$13/(1+BI376*(X376-1))</f>
        <v>0</v>
      </c>
      <c r="BU376" s="60" t="n">
        <f aca="false">$P$13/(1+BI376*(Y376-1))</f>
        <v>0</v>
      </c>
      <c r="BV376" s="60" t="n">
        <f aca="false">SUM(BJ376:BU376)</f>
        <v>1</v>
      </c>
      <c r="BW376" s="60" t="n">
        <f aca="false">SUMPRODUCT(N376:Y376,BJ376:BU376)</f>
        <v>1</v>
      </c>
      <c r="BX376" s="60" t="n">
        <f aca="false">BJ376/BV376</f>
        <v>1</v>
      </c>
      <c r="BY376" s="60" t="n">
        <f aca="false">BK376/BV376</f>
        <v>0</v>
      </c>
      <c r="BZ376" s="60" t="n">
        <f aca="false">BL376/BV376</f>
        <v>0</v>
      </c>
      <c r="CA376" s="60" t="n">
        <f aca="false">BM376/BV376</f>
        <v>0</v>
      </c>
      <c r="CB376" s="60" t="n">
        <f aca="false">BN376/BV376</f>
        <v>0</v>
      </c>
      <c r="CC376" s="60" t="n">
        <f aca="false">BO376/BV376</f>
        <v>0</v>
      </c>
      <c r="CD376" s="60" t="n">
        <f aca="false">BP376/BV376</f>
        <v>0</v>
      </c>
      <c r="CE376" s="60" t="n">
        <f aca="false">BQ376/BV376</f>
        <v>0</v>
      </c>
      <c r="CF376" s="60" t="n">
        <f aca="false">BR376/BV376</f>
        <v>0</v>
      </c>
      <c r="CG376" s="60" t="n">
        <f aca="false">BS376/BV376</f>
        <v>0</v>
      </c>
      <c r="CH376" s="60" t="n">
        <f aca="false">BT376/BV376</f>
        <v>0</v>
      </c>
      <c r="CI376" s="60" t="n">
        <f aca="false">BU376/BV376</f>
        <v>0</v>
      </c>
      <c r="CJ376" s="60" t="n">
        <f aca="false">N376*BJ376/BW376</f>
        <v>1</v>
      </c>
      <c r="CK376" s="60" t="n">
        <f aca="false">O376*BK376/BW376</f>
        <v>0</v>
      </c>
      <c r="CL376" s="60" t="n">
        <f aca="false">P376*BL376/BW376</f>
        <v>0</v>
      </c>
      <c r="CM376" s="60" t="n">
        <f aca="false">Q376*BM376/BW376</f>
        <v>0</v>
      </c>
      <c r="CN376" s="60" t="n">
        <f aca="false">R376*BN376/BW376</f>
        <v>0</v>
      </c>
      <c r="CO376" s="60" t="n">
        <f aca="false">S376*BO376/BW376</f>
        <v>0</v>
      </c>
      <c r="CP376" s="60" t="n">
        <f aca="false">T376*BP376/BW376</f>
        <v>0</v>
      </c>
      <c r="CQ376" s="60" t="n">
        <f aca="false">U376*BQ376/BW376</f>
        <v>0</v>
      </c>
      <c r="CR376" s="60" t="n">
        <f aca="false">V376*BR376/BW376</f>
        <v>0</v>
      </c>
      <c r="CS376" s="60" t="n">
        <f aca="false">W376*BS376/BW376</f>
        <v>0</v>
      </c>
      <c r="CT376" s="60" t="n">
        <f aca="false">X376*BT376/BW376</f>
        <v>0</v>
      </c>
      <c r="CU376" s="60" t="n">
        <f aca="false">Y376*BU376/BW376</f>
        <v>0</v>
      </c>
      <c r="CV376" s="60" t="n">
        <f aca="false">$E$28*SUMPRODUCT($E$31:$P$31,BX376:CI376,$E$28:$P$28)</f>
        <v>0.184416866619846</v>
      </c>
      <c r="CW376" s="60" t="n">
        <f aca="false">$F$28*SUMPRODUCT($E$32:$P$32,BX376:CI376,$E$28:$P$28)</f>
        <v>0</v>
      </c>
      <c r="CX376" s="60" t="n">
        <f aca="false">$G$28*SUMPRODUCT($E$33:$P$33,BX376:CI376,$E$28:$P$28)</f>
        <v>0</v>
      </c>
      <c r="CY376" s="60" t="n">
        <f aca="false">$H$28*SUMPRODUCT($E$34:$P$34,BX376:CI376,$E$28:$P$28)</f>
        <v>0</v>
      </c>
      <c r="CZ376" s="60" t="n">
        <f aca="false">$I$28*SUMPRODUCT($E$35:$P$35,BX376:CI376,$E$28:$P$28)</f>
        <v>0</v>
      </c>
      <c r="DA376" s="60" t="n">
        <f aca="false">$J$28*SUMPRODUCT($E$36:$P$36,BX376:CI376,$E$28:$P$28)</f>
        <v>0</v>
      </c>
      <c r="DB376" s="60" t="n">
        <f aca="false">$K$28*SUMPRODUCT($E$37:$P$37,BX376:CI376,$E$28:$P$28)</f>
        <v>0</v>
      </c>
      <c r="DC376" s="60" t="n">
        <f aca="false">$L$28*SUMPRODUCT($E$38:$P$38,BX376:CI376,$E$28:$P$28)</f>
        <v>0</v>
      </c>
      <c r="DD376" s="60" t="n">
        <f aca="false">$M$28*SUMPRODUCT($E$39:$P$39,BX376:CI376,$E$28:$P$28)</f>
        <v>0</v>
      </c>
      <c r="DE376" s="60" t="n">
        <f aca="false">$N$28*SUMPRODUCT($E$40:$P$40,BX376:CI376,$E$28:$P$28)</f>
        <v>0</v>
      </c>
      <c r="DF376" s="60" t="n">
        <f aca="false">$O$28*SUMPRODUCT($E$41:$P$41,BX376:CI376,$E$28:$P$28)</f>
        <v>0</v>
      </c>
      <c r="DG376" s="60" t="n">
        <f aca="false">$P$28*SUMPRODUCT($E$42:$P$42,BX376:CI376,$E$28:$P$28)</f>
        <v>0</v>
      </c>
      <c r="DH376" s="60" t="n">
        <f aca="false">SUMPRODUCT(BX376:CI376,CV376:DG376)</f>
        <v>0.184416866619846</v>
      </c>
      <c r="DI376" s="60" t="n">
        <f aca="false">SUMPRODUCT(BX376:CI376,$E$27:$P$27)</f>
        <v>2.67389635063809E-005</v>
      </c>
      <c r="DJ376" s="60" t="n">
        <f aca="false">DH376*$C$9/($C$10*$C$8)^2</f>
        <v>0.21776909410545</v>
      </c>
      <c r="DK376" s="60" t="n">
        <f aca="false">DI376*$C$9/($C$10*$C$8)</f>
        <v>0.0918845243259994</v>
      </c>
      <c r="DL376" s="60" t="n">
        <f aca="false">CHOOSE($C$7,-(1+DK376),-1,-(1-DK376))</f>
        <v>-0.908115475674001</v>
      </c>
      <c r="DM376" s="60" t="n">
        <f aca="false">CHOOSE($C$7,DJ376,DJ376-DK376-DK376^2,DJ376-3*DK376^2-2*DK376)</f>
        <v>0.00867174802160559</v>
      </c>
      <c r="DN376" s="60" t="n">
        <f aca="false">CHOOSE($C$7,-DJ376*DK376,-DJ376*DK376,-(DJ376*DK376-DK376^2-DK376^3))</f>
        <v>-0.0107910842936637</v>
      </c>
      <c r="DO376" s="60" t="n">
        <f aca="false">DM376-DL376^2/3</f>
        <v>-0.266219491031267</v>
      </c>
      <c r="DP376" s="60" t="n">
        <f aca="false">2*DL376^3/27-DL376*DM376/3+DN376</f>
        <v>-0.0636400988362784</v>
      </c>
      <c r="DQ376" s="60" t="n">
        <f aca="false">DP376^2/4+DO376^3/27</f>
        <v>0.000313710901361829</v>
      </c>
      <c r="DR376" s="60" t="n">
        <f aca="false">-DP376/2-IF(DP376&gt;=0,1,-1)*SQRT(MAX(DQ376,0))</f>
        <v>0.0495319352963236</v>
      </c>
      <c r="DS376" s="60" t="n">
        <f aca="false">SIGN(DR376)*ABS(DR376)^(1/3)</f>
        <v>0.367249967174439</v>
      </c>
      <c r="DT376" s="60" t="n">
        <f aca="false">IF(DS376=0,0,DS376-DO376/(3*DS376))</f>
        <v>0.60888329127384</v>
      </c>
      <c r="DU376" s="60" t="n">
        <f aca="false">2*SQRT(MAX(-DO376,0)/3)</f>
        <v>0.595784626668918</v>
      </c>
      <c r="DV376" s="60" t="n">
        <f aca="false">ACOS(IF(DU376=0,0,MAX(-1,MIN(1,3*DP376/(DO376*DU376)))))</f>
        <v>0</v>
      </c>
      <c r="DW376" s="60" t="n">
        <f aca="false">DU376*COS(DV376/3)</f>
        <v>0.595784626668918</v>
      </c>
      <c r="DX376" s="60" t="n">
        <f aca="false">IF(DQ376&lt;0,DW376,DT376)-DL376/3</f>
        <v>0.91158844983184</v>
      </c>
      <c r="DY376" s="60" t="n">
        <f aca="false">IFERROR((((DX376+DL376)*DX376+DM376)*DX376+DN376)/((3*DX376+2*DL376)*DX376+DM376),0)</f>
        <v>0</v>
      </c>
      <c r="DZ376" s="60" t="n">
        <f aca="false">IF(ABS(DY376)&lt;0.1*ABS(DX376),DX376-DY376,DX376)</f>
        <v>0.91158844983184</v>
      </c>
      <c r="EA376" s="60" t="n">
        <f aca="false">IFERROR((((DZ376+DL376)*DZ376+DM376)*DZ376+DN376)/((3*DZ376+2*DL376)*DZ376+DM376),0)</f>
        <v>0</v>
      </c>
      <c r="EB376" s="60" t="n">
        <f aca="false">IF(ABS(EA376)&lt;0.1*ABS(DZ376),DZ376-EA376,DZ376)</f>
        <v>0.91158844983184</v>
      </c>
      <c r="EC376" s="60" t="n">
        <f aca="false">-DN376/EB376</f>
        <v>0.0118376711504565</v>
      </c>
      <c r="ED376" s="60" t="n">
        <f aca="false">(DM376-EC376)/EB376</f>
        <v>-0.00347297415783941</v>
      </c>
      <c r="EE376" s="60" t="n">
        <f aca="false">ED376^2-4*EC376</f>
        <v>-0.0473386230523248</v>
      </c>
      <c r="EF376" s="60" t="n">
        <f aca="false">IF(EE376&gt;=0,(ED376+IF(ED376&gt;=0,1,-1)*SQRT(EE376))/2,0)</f>
        <v>0</v>
      </c>
      <c r="EG376" s="60" t="n">
        <f aca="false">IF(AND(EE376&gt;=0,EF376&lt;&gt;0),MIN(EF376,EC376/EF376),-1)</f>
        <v>-1</v>
      </c>
      <c r="EH376" s="60" t="n">
        <f aca="false">AND(EE376&gt;=0,EG376&gt;DK376,ABS(EB376-EG376)&gt;=0.00005*MAX(EB376,EG376))</f>
        <v>0</v>
      </c>
      <c r="EI376" s="60" t="n">
        <f aca="false">IF(EH376,IFERROR((((EG376+DL376)*EG376+DM376)*EG376+DN376)/((3*EG376+2*DL376)*EG376+DM376),0),0)</f>
        <v>0</v>
      </c>
      <c r="EJ376" s="60" t="n">
        <f aca="false">IF(ABS(EI376)&lt;0.1*ABS(EG376),EG376-EI376,EG376)</f>
        <v>-1</v>
      </c>
      <c r="EK376" s="60" t="n">
        <f aca="false">IF(EH376,IFERROR((((EJ376+DL376)*EJ376+DM376)*EJ376+DN376)/((3*EJ376+2*DL376)*EJ376+DM376),0),0)</f>
        <v>0</v>
      </c>
      <c r="EL376" s="60" t="n">
        <f aca="false">IF(ABS(EK376)&lt;0.1*ABS(EJ376),EJ376-EK376,EJ376)</f>
        <v>-1</v>
      </c>
      <c r="EM376" s="60" t="n">
        <f aca="false">IF(EH376,MAX(EB376,EL376),EB376)</f>
        <v>0.91158844983184</v>
      </c>
      <c r="EN376" s="60" t="n">
        <f aca="false">IF(EH376,MIN(EB376,EL376),-1)</f>
        <v>-1</v>
      </c>
      <c r="EO376" s="60" t="n">
        <f aca="false">CHOOSE($C$7,DJ376/EM376,DJ376/DK376*LN(1+DK376/EM376),DJ376/(2*SQRT(2)*DK376)*LN((EM376+(1+SQRT(2))*DK376)/(EM376+(1-SQRT(2))*DK376)))</f>
        <v>0.218240791233887</v>
      </c>
      <c r="EP376" s="60" t="n">
        <f aca="false">EM376-1-LN(EM376-DK376)-EO376</f>
        <v>-0.107840271021729</v>
      </c>
      <c r="EQ376" s="60" t="n">
        <f aca="false">IF(EH376,CHOOSE($C$7,DJ376/EN376,DJ376/DK376*LN(1+DK376/EN376),DJ376/(2*SQRT(2)*DK376)*LN((EN376+(1+SQRT(2))*DK376)/(EN376+(1-SQRT(2))*DK376))),0)</f>
        <v>0</v>
      </c>
      <c r="ER376" s="60" t="n">
        <f aca="false">IF(EH376,EN376-1-LN(EN376-DK376)-EQ376,0)</f>
        <v>0</v>
      </c>
      <c r="ES376" s="60" t="n">
        <f aca="false">AND(EH376,ER376&lt;EP376)</f>
        <v>0</v>
      </c>
      <c r="ET376" s="60" t="n">
        <f aca="false">IF(ES376,EN376,EM376)</f>
        <v>0.91158844983184</v>
      </c>
      <c r="EU376" s="60" t="n">
        <f aca="false">IF(ES376,EQ376,EO376)</f>
        <v>0.218240791233887</v>
      </c>
      <c r="EV376" s="60" t="n">
        <f aca="false">LN(ET376-DK376)</f>
        <v>-0.198812070380318</v>
      </c>
      <c r="EW376" s="60" t="n">
        <f aca="false">$E$27/DI376*(ET376-1)-EV376-EU376*(2*CV376/DH376-$E$27/DI376)</f>
        <v>-0.107840271021729</v>
      </c>
      <c r="EX376" s="60" t="n">
        <f aca="false">$F$27/DI376*(ET376-1)-EV376-EU376*(2*CW376/DH376-$F$27/DI376)</f>
        <v>0.198812070380318</v>
      </c>
      <c r="EY376" s="60" t="n">
        <f aca="false">$G$27/DI376*(ET376-1)-EV376-EU376*(2*CX376/DH376-$G$27/DI376)</f>
        <v>0.198812070380318</v>
      </c>
      <c r="EZ376" s="60" t="n">
        <f aca="false">$H$27/DI376*(ET376-1)-EV376-EU376*(2*CY376/DH376-$H$27/DI376)</f>
        <v>0.198812070380318</v>
      </c>
      <c r="FA376" s="60" t="n">
        <f aca="false">$I$27/DI376*(ET376-1)-EV376-EU376*(2*CZ376/DH376-$I$27/DI376)</f>
        <v>0.198812070380318</v>
      </c>
      <c r="FB376" s="60" t="n">
        <f aca="false">$J$27/DI376*(ET376-1)-EV376-EU376*(2*DA376/DH376-$J$27/DI376)</f>
        <v>0.198812070380318</v>
      </c>
      <c r="FC376" s="60" t="n">
        <f aca="false">$K$27/DI376*(ET376-1)-EV376-EU376*(2*DB376/DH376-$K$27/DI376)</f>
        <v>0.198812070380318</v>
      </c>
      <c r="FD376" s="60" t="n">
        <f aca="false">$L$27/DI376*(ET376-1)-EV376-EU376*(2*DC376/DH376-$L$27/DI376)</f>
        <v>0.198812070380318</v>
      </c>
      <c r="FE376" s="60" t="n">
        <f aca="false">$M$27/DI376*(ET376-1)-EV376-EU376*(2*DD376/DH376-$M$27/DI376)</f>
        <v>0.198812070380318</v>
      </c>
      <c r="FF376" s="60" t="n">
        <f aca="false">$N$27/DI376*(ET376-1)-EV376-EU376*(2*DE376/DH376-$N$27/DI376)</f>
        <v>0.198812070380318</v>
      </c>
      <c r="FG376" s="60" t="n">
        <f aca="false">$O$27/DI376*(ET376-1)-EV376-EU376*(2*DF376/DH376-$O$27/DI376)</f>
        <v>0.198812070380318</v>
      </c>
      <c r="FH376" s="60" t="n">
        <f aca="false">$P$27/DI376*(ET376-1)-EV376-EU376*(2*DG376/DH376-$P$27/DI376)</f>
        <v>0.198812070380318</v>
      </c>
      <c r="FI376" s="60" t="n">
        <f aca="false">DK376/ET376&gt;$C$22</f>
        <v>0</v>
      </c>
      <c r="FJ376" s="60" t="n">
        <f aca="false">$E$28*SUMPRODUCT($E$31:$P$31,CJ376:CU376,$E$28:$P$28)</f>
        <v>0.184416866619846</v>
      </c>
      <c r="FK376" s="60" t="n">
        <f aca="false">$F$28*SUMPRODUCT($E$32:$P$32,CJ376:CU376,$E$28:$P$28)</f>
        <v>0</v>
      </c>
      <c r="FL376" s="60" t="n">
        <f aca="false">$G$28*SUMPRODUCT($E$33:$P$33,CJ376:CU376,$E$28:$P$28)</f>
        <v>0</v>
      </c>
      <c r="FM376" s="60" t="n">
        <f aca="false">$H$28*SUMPRODUCT($E$34:$P$34,CJ376:CU376,$E$28:$P$28)</f>
        <v>0</v>
      </c>
      <c r="FN376" s="60" t="n">
        <f aca="false">$I$28*SUMPRODUCT($E$35:$P$35,CJ376:CU376,$E$28:$P$28)</f>
        <v>0</v>
      </c>
      <c r="FO376" s="60" t="n">
        <f aca="false">$J$28*SUMPRODUCT($E$36:$P$36,CJ376:CU376,$E$28:$P$28)</f>
        <v>0</v>
      </c>
      <c r="FP376" s="60" t="n">
        <f aca="false">$K$28*SUMPRODUCT($E$37:$P$37,CJ376:CU376,$E$28:$P$28)</f>
        <v>0</v>
      </c>
      <c r="FQ376" s="60" t="n">
        <f aca="false">$L$28*SUMPRODUCT($E$38:$P$38,CJ376:CU376,$E$28:$P$28)</f>
        <v>0</v>
      </c>
      <c r="FR376" s="60" t="n">
        <f aca="false">$M$28*SUMPRODUCT($E$39:$P$39,CJ376:CU376,$E$28:$P$28)</f>
        <v>0</v>
      </c>
      <c r="FS376" s="60" t="n">
        <f aca="false">$N$28*SUMPRODUCT($E$40:$P$40,CJ376:CU376,$E$28:$P$28)</f>
        <v>0</v>
      </c>
      <c r="FT376" s="60" t="n">
        <f aca="false">$O$28*SUMPRODUCT($E$41:$P$41,CJ376:CU376,$E$28:$P$28)</f>
        <v>0</v>
      </c>
      <c r="FU376" s="60" t="n">
        <f aca="false">$P$28*SUMPRODUCT($E$42:$P$42,CJ376:CU376,$E$28:$P$28)</f>
        <v>0</v>
      </c>
      <c r="FV376" s="60" t="n">
        <f aca="false">SUMPRODUCT(CJ376:CU376,FJ376:FU376)</f>
        <v>0.184416866619846</v>
      </c>
      <c r="FW376" s="60" t="n">
        <f aca="false">SUMPRODUCT(CJ376:CU376,$E$27:$P$27)</f>
        <v>2.67389635063809E-005</v>
      </c>
      <c r="FX376" s="60" t="n">
        <f aca="false">FV376*$C$9/($C$10*$C$8)^2</f>
        <v>0.21776909410545</v>
      </c>
      <c r="FY376" s="60" t="n">
        <f aca="false">FW376*$C$9/($C$10*$C$8)</f>
        <v>0.0918845243259994</v>
      </c>
      <c r="FZ376" s="60" t="n">
        <f aca="false">CHOOSE($C$7,-(1+FY376),-1,-(1-FY376))</f>
        <v>-0.908115475674001</v>
      </c>
      <c r="GA376" s="60" t="n">
        <f aca="false">CHOOSE($C$7,FX376,FX376-FY376-FY376^2,FX376-3*FY376^2-2*FY376)</f>
        <v>0.00867174802160559</v>
      </c>
      <c r="GB376" s="60" t="n">
        <f aca="false">CHOOSE($C$7,-FX376*FY376,-FX376*FY376,-(FX376*FY376-FY376^2-FY376^3))</f>
        <v>-0.0107910842936637</v>
      </c>
      <c r="GC376" s="60" t="n">
        <f aca="false">GA376-FZ376^2/3</f>
        <v>-0.266219491031267</v>
      </c>
      <c r="GD376" s="60" t="n">
        <f aca="false">2*FZ376^3/27-FZ376*GA376/3+GB376</f>
        <v>-0.0636400988362784</v>
      </c>
      <c r="GE376" s="60" t="n">
        <f aca="false">GD376^2/4+GC376^3/27</f>
        <v>0.000313710901361829</v>
      </c>
      <c r="GF376" s="60" t="n">
        <f aca="false">-GD376/2-IF(GD376&gt;=0,1,-1)*SQRT(MAX(GE376,0))</f>
        <v>0.0495319352963236</v>
      </c>
      <c r="GG376" s="60" t="n">
        <f aca="false">SIGN(GF376)*ABS(GF376)^(1/3)</f>
        <v>0.367249967174439</v>
      </c>
      <c r="GH376" s="60" t="n">
        <f aca="false">IF(GG376=0,0,GG376-GC376/(3*GG376))</f>
        <v>0.60888329127384</v>
      </c>
      <c r="GI376" s="60" t="n">
        <f aca="false">2*SQRT(MAX(-GC376,0)/3)</f>
        <v>0.595784626668918</v>
      </c>
      <c r="GJ376" s="60" t="n">
        <f aca="false">ACOS(IF(GI376=0,0,MAX(-1,MIN(1,3*GD376/(GC376*GI376)))))</f>
        <v>0</v>
      </c>
      <c r="GK376" s="60" t="n">
        <f aca="false">GI376*COS(GJ376/3)</f>
        <v>0.595784626668918</v>
      </c>
      <c r="GL376" s="60" t="n">
        <f aca="false">IF(GE376&lt;0,GK376,GH376)-FZ376/3</f>
        <v>0.91158844983184</v>
      </c>
      <c r="GM376" s="60" t="n">
        <f aca="false">IFERROR((((GL376+FZ376)*GL376+GA376)*GL376+GB376)/((3*GL376+2*FZ376)*GL376+GA376),0)</f>
        <v>0</v>
      </c>
      <c r="GN376" s="60" t="n">
        <f aca="false">IF(ABS(GM376)&lt;0.1*ABS(GL376),GL376-GM376,GL376)</f>
        <v>0.91158844983184</v>
      </c>
      <c r="GO376" s="60" t="n">
        <f aca="false">IFERROR((((GN376+FZ376)*GN376+GA376)*GN376+GB376)/((3*GN376+2*FZ376)*GN376+GA376),0)</f>
        <v>0</v>
      </c>
      <c r="GP376" s="60" t="n">
        <f aca="false">IF(ABS(GO376)&lt;0.1*ABS(GN376),GN376-GO376,GN376)</f>
        <v>0.91158844983184</v>
      </c>
      <c r="GQ376" s="60" t="n">
        <f aca="false">-GB376/GP376</f>
        <v>0.0118376711504565</v>
      </c>
      <c r="GR376" s="60" t="n">
        <f aca="false">(GA376-GQ376)/GP376</f>
        <v>-0.00347297415783941</v>
      </c>
      <c r="GS376" s="60" t="n">
        <f aca="false">GR376^2-4*GQ376</f>
        <v>-0.0473386230523248</v>
      </c>
      <c r="GT376" s="60" t="n">
        <f aca="false">IF(GS376&gt;=0,(GR376+IF(GR376&gt;=0,1,-1)*SQRT(GS376))/2,0)</f>
        <v>0</v>
      </c>
      <c r="GU376" s="60" t="n">
        <f aca="false">IF(AND(GS376&gt;=0,GT376&lt;&gt;0),MIN(GT376,GQ376/GT376),-1)</f>
        <v>-1</v>
      </c>
      <c r="GV376" s="60" t="n">
        <f aca="false">AND(GS376&gt;=0,GU376&gt;FY376,ABS(GP376-GU376)&gt;=0.00005*MAX(GP376,GU376))</f>
        <v>0</v>
      </c>
      <c r="GW376" s="60" t="n">
        <f aca="false">IF(GV376,IFERROR((((GU376+FZ376)*GU376+GA376)*GU376+GB376)/((3*GU376+2*FZ376)*GU376+GA376),0),0)</f>
        <v>0</v>
      </c>
      <c r="GX376" s="60" t="n">
        <f aca="false">IF(ABS(GW376)&lt;0.1*ABS(GU376),GU376-GW376,GU376)</f>
        <v>-1</v>
      </c>
      <c r="GY376" s="60" t="n">
        <f aca="false">IF(GV376,IFERROR((((GX376+FZ376)*GX376+GA376)*GX376+GB376)/((3*GX376+2*FZ376)*GX376+GA376),0),0)</f>
        <v>0</v>
      </c>
      <c r="GZ376" s="60" t="n">
        <f aca="false">IF(ABS(GY376)&lt;0.1*ABS(GX376),GX376-GY376,GX376)</f>
        <v>-1</v>
      </c>
      <c r="HA376" s="60" t="n">
        <f aca="false">IF(GV376,MAX(GP376,GZ376),GP376)</f>
        <v>0.91158844983184</v>
      </c>
      <c r="HB376" s="60" t="n">
        <f aca="false">IF(GV376,MIN(GP376,GZ376),-1)</f>
        <v>-1</v>
      </c>
      <c r="HC376" s="60" t="n">
        <f aca="false">CHOOSE($C$7,FX376/HA376,FX376/FY376*LN(1+FY376/HA376),FX376/(2*SQRT(2)*FY376)*LN((HA376+(1+SQRT(2))*FY376)/(HA376+(1-SQRT(2))*FY376)))</f>
        <v>0.218240791233887</v>
      </c>
      <c r="HD376" s="60" t="n">
        <f aca="false">HA376-1-LN(HA376-FY376)-HC376</f>
        <v>-0.107840271021729</v>
      </c>
      <c r="HE376" s="60" t="n">
        <f aca="false">IF(GV376,CHOOSE($C$7,FX376/HB376,FX376/FY376*LN(1+FY376/HB376),FX376/(2*SQRT(2)*FY376)*LN((HB376+(1+SQRT(2))*FY376)/(HB376+(1-SQRT(2))*FY376))),0)</f>
        <v>0</v>
      </c>
      <c r="HF376" s="60" t="n">
        <f aca="false">IF(GV376,HB376-1-LN(HB376-FY376)-HE376,0)</f>
        <v>0</v>
      </c>
      <c r="HG376" s="60" t="n">
        <f aca="false">AND(GV376,HF376&lt;HD376)</f>
        <v>0</v>
      </c>
      <c r="HH376" s="60" t="n">
        <f aca="false">IF(HG376,HB376,HA376)</f>
        <v>0.91158844983184</v>
      </c>
      <c r="HI376" s="60" t="n">
        <f aca="false">IF(HG376,HE376,HC376)</f>
        <v>0.218240791233887</v>
      </c>
      <c r="HJ376" s="60" t="n">
        <f aca="false">LN(HH376-FY376)</f>
        <v>-0.198812070380318</v>
      </c>
      <c r="HK376" s="60" t="n">
        <f aca="false">$E$27/FW376*(HH376-1)-HJ376-HI376*(2*FJ376/FV376-$E$27/FW376)</f>
        <v>-0.107840271021729</v>
      </c>
      <c r="HL376" s="60" t="n">
        <f aca="false">$F$27/FW376*(HH376-1)-HJ376-HI376*(2*FK376/FV376-$F$27/FW376)</f>
        <v>0.198812070380318</v>
      </c>
      <c r="HM376" s="60" t="n">
        <f aca="false">$G$27/FW376*(HH376-1)-HJ376-HI376*(2*FL376/FV376-$G$27/FW376)</f>
        <v>0.198812070380318</v>
      </c>
      <c r="HN376" s="60" t="n">
        <f aca="false">$H$27/FW376*(HH376-1)-HJ376-HI376*(2*FM376/FV376-$H$27/FW376)</f>
        <v>0.198812070380318</v>
      </c>
      <c r="HO376" s="60" t="n">
        <f aca="false">$I$27/FW376*(HH376-1)-HJ376-HI376*(2*FN376/FV376-$I$27/FW376)</f>
        <v>0.198812070380318</v>
      </c>
      <c r="HP376" s="60" t="n">
        <f aca="false">$J$27/FW376*(HH376-1)-HJ376-HI376*(2*FO376/FV376-$J$27/FW376)</f>
        <v>0.198812070380318</v>
      </c>
      <c r="HQ376" s="60" t="n">
        <f aca="false">$K$27/FW376*(HH376-1)-HJ376-HI376*(2*FP376/FV376-$K$27/FW376)</f>
        <v>0.198812070380318</v>
      </c>
      <c r="HR376" s="60" t="n">
        <f aca="false">$L$27/FW376*(HH376-1)-HJ376-HI376*(2*FQ376/FV376-$L$27/FW376)</f>
        <v>0.198812070380318</v>
      </c>
      <c r="HS376" s="60" t="n">
        <f aca="false">$M$27/FW376*(HH376-1)-HJ376-HI376*(2*FR376/FV376-$M$27/FW376)</f>
        <v>0.198812070380318</v>
      </c>
      <c r="HT376" s="60" t="n">
        <f aca="false">$N$27/FW376*(HH376-1)-HJ376-HI376*(2*FS376/FV376-$N$27/FW376)</f>
        <v>0.198812070380318</v>
      </c>
      <c r="HU376" s="60" t="n">
        <f aca="false">$O$27/FW376*(HH376-1)-HJ376-HI376*(2*FT376/FV376-$O$27/FW376)</f>
        <v>0.198812070380318</v>
      </c>
      <c r="HV376" s="60" t="n">
        <f aca="false">$P$27/FW376*(HH376-1)-HJ376-HI376*(2*FU376/FV376-$P$27/FW376)</f>
        <v>0.198812070380318</v>
      </c>
      <c r="HW376" s="60" t="n">
        <f aca="false">FY376/HH376&gt;$C$22</f>
        <v>0</v>
      </c>
      <c r="HX376" s="60" t="n">
        <f aca="false">IF($E$13&gt;0,MAX(-300,MIN(300,EW376-HK376)),0)</f>
        <v>0</v>
      </c>
      <c r="HY376" s="60" t="n">
        <f aca="false">IF($F$13&gt;0,MAX(-300,MIN(300,EX376-HL376)),0)</f>
        <v>0</v>
      </c>
      <c r="HZ376" s="60" t="n">
        <f aca="false">IF($G$13&gt;0,MAX(-300,MIN(300,EY376-HM376)),0)</f>
        <v>0</v>
      </c>
      <c r="IA376" s="60" t="n">
        <f aca="false">IF($H$13&gt;0,MAX(-300,MIN(300,EZ376-HN376)),0)</f>
        <v>0</v>
      </c>
      <c r="IB376" s="60" t="n">
        <f aca="false">IF($I$13&gt;0,MAX(-300,MIN(300,FA376-HO376)),0)</f>
        <v>0</v>
      </c>
      <c r="IC376" s="60" t="n">
        <f aca="false">IF($J$13&gt;0,MAX(-300,MIN(300,FB376-HP376)),0)</f>
        <v>0</v>
      </c>
      <c r="ID376" s="60" t="n">
        <f aca="false">IF($K$13&gt;0,MAX(-300,MIN(300,FC376-HQ376)),0)</f>
        <v>0</v>
      </c>
      <c r="IE376" s="60" t="n">
        <f aca="false">IF($L$13&gt;0,MAX(-300,MIN(300,FD376-HR376)),0)</f>
        <v>0</v>
      </c>
      <c r="IF376" s="60" t="n">
        <f aca="false">IF($M$13&gt;0,MAX(-300,MIN(300,FE376-HS376)),0)</f>
        <v>0</v>
      </c>
      <c r="IG376" s="60" t="n">
        <f aca="false">IF($N$13&gt;0,MAX(-300,MIN(300,FF376-HT376)),0)</f>
        <v>0</v>
      </c>
      <c r="IH376" s="60" t="n">
        <f aca="false">IF($O$13&gt;0,MAX(-300,MIN(300,FG376-HU376)),0)</f>
        <v>0</v>
      </c>
      <c r="II376" s="60" t="n">
        <f aca="false">IF($P$13&gt;0,MAX(-300,MIN(300,FH376-HV376)),0)</f>
        <v>0</v>
      </c>
      <c r="IJ376" s="60" t="n">
        <f aca="false">SUMXMY2(HX376:II376,B376:M376)</f>
        <v>0</v>
      </c>
      <c r="IK376" s="60" t="n">
        <f aca="false">SUMSQ(B376:M376)</f>
        <v>0</v>
      </c>
    </row>
    <row r="377" customFormat="false" ht="15" hidden="false" customHeight="false" outlineLevel="0" collapsed="false">
      <c r="A377" s="59" t="n">
        <v>16</v>
      </c>
      <c r="B377" s="60" t="n">
        <f aca="false">HX376</f>
        <v>0</v>
      </c>
      <c r="C377" s="60" t="n">
        <f aca="false">HY376</f>
        <v>0</v>
      </c>
      <c r="D377" s="60" t="n">
        <f aca="false">HZ376</f>
        <v>0</v>
      </c>
      <c r="E377" s="60" t="n">
        <f aca="false">IA376</f>
        <v>0</v>
      </c>
      <c r="F377" s="60" t="n">
        <f aca="false">IB376</f>
        <v>0</v>
      </c>
      <c r="G377" s="60" t="n">
        <f aca="false">IC376</f>
        <v>0</v>
      </c>
      <c r="H377" s="60" t="n">
        <f aca="false">ID376</f>
        <v>0</v>
      </c>
      <c r="I377" s="60" t="n">
        <f aca="false">IE376</f>
        <v>0</v>
      </c>
      <c r="J377" s="60" t="n">
        <f aca="false">IF376</f>
        <v>0</v>
      </c>
      <c r="K377" s="60" t="n">
        <f aca="false">IG376</f>
        <v>0</v>
      </c>
      <c r="L377" s="60" t="n">
        <f aca="false">IH376</f>
        <v>0</v>
      </c>
      <c r="M377" s="60" t="n">
        <f aca="false">II376</f>
        <v>0</v>
      </c>
      <c r="N377" s="60" t="n">
        <f aca="false">EXP(B377)</f>
        <v>1</v>
      </c>
      <c r="O377" s="60" t="n">
        <f aca="false">EXP(C377)</f>
        <v>1</v>
      </c>
      <c r="P377" s="60" t="n">
        <f aca="false">EXP(D377)</f>
        <v>1</v>
      </c>
      <c r="Q377" s="60" t="n">
        <f aca="false">EXP(E377)</f>
        <v>1</v>
      </c>
      <c r="R377" s="60" t="n">
        <f aca="false">EXP(F377)</f>
        <v>1</v>
      </c>
      <c r="S377" s="60" t="n">
        <f aca="false">EXP(G377)</f>
        <v>1</v>
      </c>
      <c r="T377" s="60" t="n">
        <f aca="false">EXP(H377)</f>
        <v>1</v>
      </c>
      <c r="U377" s="60" t="n">
        <f aca="false">EXP(I377)</f>
        <v>1</v>
      </c>
      <c r="V377" s="60" t="n">
        <f aca="false">EXP(J377)</f>
        <v>1</v>
      </c>
      <c r="W377" s="60" t="n">
        <f aca="false">EXP(K377)</f>
        <v>1</v>
      </c>
      <c r="X377" s="60" t="n">
        <f aca="false">EXP(L377)</f>
        <v>1</v>
      </c>
      <c r="Y377" s="60" t="n">
        <f aca="false">EXP(M377)</f>
        <v>1</v>
      </c>
      <c r="Z377" s="60" t="n">
        <f aca="false">MAX(N377:Y377)</f>
        <v>1</v>
      </c>
      <c r="AA377" s="60" t="n">
        <f aca="false">MIN(N377:Y377)</f>
        <v>1</v>
      </c>
      <c r="AB377" s="60" t="n">
        <f aca="false">AND(Z377&gt;1,AA377&lt;1)</f>
        <v>0</v>
      </c>
      <c r="AC377" s="60" t="n">
        <f aca="false">IF(AB377,1/(1-Z377),0)</f>
        <v>0</v>
      </c>
      <c r="AD377" s="60" t="n">
        <f aca="false">IF(AB377,1/(1-AA377),1)</f>
        <v>1</v>
      </c>
      <c r="AE377" s="60" t="n">
        <f aca="false">IF(AB377,MIN(MAX(BI376,AC377+0.000000001*(AD377-AC377)),AD377-0.000000001*(AD377-AC377)),IF(AA377&gt;=1,1,0))</f>
        <v>1</v>
      </c>
      <c r="AF377" s="60" t="n">
        <f aca="false">SUMPRODUCT($E$13:$P$13*(N377:Y377-1)/(1+AE377*(N377:Y377-1)))</f>
        <v>0</v>
      </c>
      <c r="AG377" s="60" t="n">
        <f aca="false">-SUMPRODUCT($E$13:$P$13*(N377:Y377-1)^2/(1+AE377*(N377:Y377-1))^2)</f>
        <v>-0</v>
      </c>
      <c r="AH377" s="60" t="n">
        <f aca="false">IF(OR(NOT(AB377),AG377=0),AE377,IF(AE377-AF377/AG377&lt;=AC377,(AE377+AC377)/2,IF(AE377-AF377/AG377&gt;=AD377,(AE377+AD377)/2,AE377-AF377/AG377)))</f>
        <v>1</v>
      </c>
      <c r="AI377" s="60" t="n">
        <f aca="false">SUMPRODUCT($E$13:$P$13*(N377:Y377-1)/(1+AH377*(N377:Y377-1)))</f>
        <v>0</v>
      </c>
      <c r="AJ377" s="60" t="n">
        <f aca="false">-SUMPRODUCT($E$13:$P$13*(N377:Y377-1)^2/(1+AH377*(N377:Y377-1))^2)</f>
        <v>-0</v>
      </c>
      <c r="AK377" s="60" t="n">
        <f aca="false">IF(OR(NOT(AB377),AJ377=0),AH377,IF(AH377-AI377/AJ377&lt;=AC377,(AH377+AC377)/2,IF(AH377-AI377/AJ377&gt;=AD377,(AH377+AD377)/2,AH377-AI377/AJ377)))</f>
        <v>1</v>
      </c>
      <c r="AL377" s="60" t="n">
        <f aca="false">SUMPRODUCT($E$13:$P$13*(N377:Y377-1)/(1+AK377*(N377:Y377-1)))</f>
        <v>0</v>
      </c>
      <c r="AM377" s="60" t="n">
        <f aca="false">-SUMPRODUCT($E$13:$P$13*(N377:Y377-1)^2/(1+AK377*(N377:Y377-1))^2)</f>
        <v>-0</v>
      </c>
      <c r="AN377" s="60" t="n">
        <f aca="false">IF(OR(NOT(AB377),AM377=0),AK377,IF(AK377-AL377/AM377&lt;=AC377,(AK377+AC377)/2,IF(AK377-AL377/AM377&gt;=AD377,(AK377+AD377)/2,AK377-AL377/AM377)))</f>
        <v>1</v>
      </c>
      <c r="AO377" s="60" t="n">
        <f aca="false">SUMPRODUCT($E$13:$P$13*(N377:Y377-1)/(1+AN377*(N377:Y377-1)))</f>
        <v>0</v>
      </c>
      <c r="AP377" s="60" t="n">
        <f aca="false">-SUMPRODUCT($E$13:$P$13*(N377:Y377-1)^2/(1+AN377*(N377:Y377-1))^2)</f>
        <v>-0</v>
      </c>
      <c r="AQ377" s="60" t="n">
        <f aca="false">IF(OR(NOT(AB377),AP377=0),AN377,IF(AN377-AO377/AP377&lt;=AC377,(AN377+AC377)/2,IF(AN377-AO377/AP377&gt;=AD377,(AN377+AD377)/2,AN377-AO377/AP377)))</f>
        <v>1</v>
      </c>
      <c r="AR377" s="60" t="n">
        <f aca="false">SUMPRODUCT($E$13:$P$13*(N377:Y377-1)/(1+AQ377*(N377:Y377-1)))</f>
        <v>0</v>
      </c>
      <c r="AS377" s="60" t="n">
        <f aca="false">-SUMPRODUCT($E$13:$P$13*(N377:Y377-1)^2/(1+AQ377*(N377:Y377-1))^2)</f>
        <v>-0</v>
      </c>
      <c r="AT377" s="60" t="n">
        <f aca="false">IF(OR(NOT(AB377),AS377=0),AQ377,IF(AQ377-AR377/AS377&lt;=AC377,(AQ377+AC377)/2,IF(AQ377-AR377/AS377&gt;=AD377,(AQ377+AD377)/2,AQ377-AR377/AS377)))</f>
        <v>1</v>
      </c>
      <c r="AU377" s="60" t="n">
        <f aca="false">SUMPRODUCT($E$13:$P$13*(N377:Y377-1)/(1+AT377*(N377:Y377-1)))</f>
        <v>0</v>
      </c>
      <c r="AV377" s="60" t="n">
        <f aca="false">-SUMPRODUCT($E$13:$P$13*(N377:Y377-1)^2/(1+AT377*(N377:Y377-1))^2)</f>
        <v>-0</v>
      </c>
      <c r="AW377" s="60" t="n">
        <f aca="false">IF(OR(NOT(AB377),AV377=0),AT377,IF(AT377-AU377/AV377&lt;=AC377,(AT377+AC377)/2,IF(AT377-AU377/AV377&gt;=AD377,(AT377+AD377)/2,AT377-AU377/AV377)))</f>
        <v>1</v>
      </c>
      <c r="AX377" s="60" t="n">
        <f aca="false">SUMPRODUCT($E$13:$P$13*(N377:Y377-1)/(1+AW377*(N377:Y377-1)))</f>
        <v>0</v>
      </c>
      <c r="AY377" s="60" t="n">
        <f aca="false">-SUMPRODUCT($E$13:$P$13*(N377:Y377-1)^2/(1+AW377*(N377:Y377-1))^2)</f>
        <v>-0</v>
      </c>
      <c r="AZ377" s="60" t="n">
        <f aca="false">IF(OR(NOT(AB377),AY377=0),AW377,IF(AW377-AX377/AY377&lt;=AC377,(AW377+AC377)/2,IF(AW377-AX377/AY377&gt;=AD377,(AW377+AD377)/2,AW377-AX377/AY377)))</f>
        <v>1</v>
      </c>
      <c r="BA377" s="60" t="n">
        <f aca="false">SUMPRODUCT($E$13:$P$13*(N377:Y377-1)/(1+AZ377*(N377:Y377-1)))</f>
        <v>0</v>
      </c>
      <c r="BB377" s="60" t="n">
        <f aca="false">-SUMPRODUCT($E$13:$P$13*(N377:Y377-1)^2/(1+AZ377*(N377:Y377-1))^2)</f>
        <v>-0</v>
      </c>
      <c r="BC377" s="60" t="n">
        <f aca="false">IF(OR(NOT(AB377),BB377=0),AZ377,IF(AZ377-BA377/BB377&lt;=AC377,(AZ377+AC377)/2,IF(AZ377-BA377/BB377&gt;=AD377,(AZ377+AD377)/2,AZ377-BA377/BB377)))</f>
        <v>1</v>
      </c>
      <c r="BD377" s="60" t="n">
        <f aca="false">SUMPRODUCT($E$13:$P$13*(N377:Y377-1)/(1+BC377*(N377:Y377-1)))</f>
        <v>0</v>
      </c>
      <c r="BE377" s="60" t="n">
        <f aca="false">-SUMPRODUCT($E$13:$P$13*(N377:Y377-1)^2/(1+BC377*(N377:Y377-1))^2)</f>
        <v>-0</v>
      </c>
      <c r="BF377" s="60" t="n">
        <f aca="false">IF(OR(NOT(AB377),BE377=0),BC377,IF(BC377-BD377/BE377&lt;=AC377,(BC377+AC377)/2,IF(BC377-BD377/BE377&gt;=AD377,(BC377+AD377)/2,BC377-BD377/BE377)))</f>
        <v>1</v>
      </c>
      <c r="BG377" s="60" t="n">
        <f aca="false">SUMPRODUCT($E$13:$P$13*(N377:Y377-1)/(1+BF377*(N377:Y377-1)))</f>
        <v>0</v>
      </c>
      <c r="BH377" s="60" t="n">
        <f aca="false">-SUMPRODUCT($E$13:$P$13*(N377:Y377-1)^2/(1+BF377*(N377:Y377-1))^2)</f>
        <v>-0</v>
      </c>
      <c r="BI377" s="60" t="n">
        <f aca="false">IF(OR(NOT(AB377),BH377=0),BF377,IF(BF377-BG377/BH377&lt;=AC377,(BF377+AC377)/2,IF(BF377-BG377/BH377&gt;=AD377,(BF377+AD377)/2,BF377-BG377/BH377)))</f>
        <v>1</v>
      </c>
      <c r="BJ377" s="60" t="n">
        <f aca="false">$E$13/(1+BI377*(N377-1))</f>
        <v>1</v>
      </c>
      <c r="BK377" s="60" t="n">
        <f aca="false">$F$13/(1+BI377*(O377-1))</f>
        <v>0</v>
      </c>
      <c r="BL377" s="60" t="n">
        <f aca="false">$G$13/(1+BI377*(P377-1))</f>
        <v>0</v>
      </c>
      <c r="BM377" s="60" t="n">
        <f aca="false">$H$13/(1+BI377*(Q377-1))</f>
        <v>0</v>
      </c>
      <c r="BN377" s="60" t="n">
        <f aca="false">$I$13/(1+BI377*(R377-1))</f>
        <v>0</v>
      </c>
      <c r="BO377" s="60" t="n">
        <f aca="false">$J$13/(1+BI377*(S377-1))</f>
        <v>0</v>
      </c>
      <c r="BP377" s="60" t="n">
        <f aca="false">$K$13/(1+BI377*(T377-1))</f>
        <v>0</v>
      </c>
      <c r="BQ377" s="60" t="n">
        <f aca="false">$L$13/(1+BI377*(U377-1))</f>
        <v>0</v>
      </c>
      <c r="BR377" s="60" t="n">
        <f aca="false">$M$13/(1+BI377*(V377-1))</f>
        <v>0</v>
      </c>
      <c r="BS377" s="60" t="n">
        <f aca="false">$N$13/(1+BI377*(W377-1))</f>
        <v>0</v>
      </c>
      <c r="BT377" s="60" t="n">
        <f aca="false">$O$13/(1+BI377*(X377-1))</f>
        <v>0</v>
      </c>
      <c r="BU377" s="60" t="n">
        <f aca="false">$P$13/(1+BI377*(Y377-1))</f>
        <v>0</v>
      </c>
      <c r="BV377" s="60" t="n">
        <f aca="false">SUM(BJ377:BU377)</f>
        <v>1</v>
      </c>
      <c r="BW377" s="60" t="n">
        <f aca="false">SUMPRODUCT(N377:Y377,BJ377:BU377)</f>
        <v>1</v>
      </c>
      <c r="BX377" s="60" t="n">
        <f aca="false">BJ377/BV377</f>
        <v>1</v>
      </c>
      <c r="BY377" s="60" t="n">
        <f aca="false">BK377/BV377</f>
        <v>0</v>
      </c>
      <c r="BZ377" s="60" t="n">
        <f aca="false">BL377/BV377</f>
        <v>0</v>
      </c>
      <c r="CA377" s="60" t="n">
        <f aca="false">BM377/BV377</f>
        <v>0</v>
      </c>
      <c r="CB377" s="60" t="n">
        <f aca="false">BN377/BV377</f>
        <v>0</v>
      </c>
      <c r="CC377" s="60" t="n">
        <f aca="false">BO377/BV377</f>
        <v>0</v>
      </c>
      <c r="CD377" s="60" t="n">
        <f aca="false">BP377/BV377</f>
        <v>0</v>
      </c>
      <c r="CE377" s="60" t="n">
        <f aca="false">BQ377/BV377</f>
        <v>0</v>
      </c>
      <c r="CF377" s="60" t="n">
        <f aca="false">BR377/BV377</f>
        <v>0</v>
      </c>
      <c r="CG377" s="60" t="n">
        <f aca="false">BS377/BV377</f>
        <v>0</v>
      </c>
      <c r="CH377" s="60" t="n">
        <f aca="false">BT377/BV377</f>
        <v>0</v>
      </c>
      <c r="CI377" s="60" t="n">
        <f aca="false">BU377/BV377</f>
        <v>0</v>
      </c>
      <c r="CJ377" s="60" t="n">
        <f aca="false">N377*BJ377/BW377</f>
        <v>1</v>
      </c>
      <c r="CK377" s="60" t="n">
        <f aca="false">O377*BK377/BW377</f>
        <v>0</v>
      </c>
      <c r="CL377" s="60" t="n">
        <f aca="false">P377*BL377/BW377</f>
        <v>0</v>
      </c>
      <c r="CM377" s="60" t="n">
        <f aca="false">Q377*BM377/BW377</f>
        <v>0</v>
      </c>
      <c r="CN377" s="60" t="n">
        <f aca="false">R377*BN377/BW377</f>
        <v>0</v>
      </c>
      <c r="CO377" s="60" t="n">
        <f aca="false">S377*BO377/BW377</f>
        <v>0</v>
      </c>
      <c r="CP377" s="60" t="n">
        <f aca="false">T377*BP377/BW377</f>
        <v>0</v>
      </c>
      <c r="CQ377" s="60" t="n">
        <f aca="false">U377*BQ377/BW377</f>
        <v>0</v>
      </c>
      <c r="CR377" s="60" t="n">
        <f aca="false">V377*BR377/BW377</f>
        <v>0</v>
      </c>
      <c r="CS377" s="60" t="n">
        <f aca="false">W377*BS377/BW377</f>
        <v>0</v>
      </c>
      <c r="CT377" s="60" t="n">
        <f aca="false">X377*BT377/BW377</f>
        <v>0</v>
      </c>
      <c r="CU377" s="60" t="n">
        <f aca="false">Y377*BU377/BW377</f>
        <v>0</v>
      </c>
      <c r="CV377" s="60" t="n">
        <f aca="false">$E$28*SUMPRODUCT($E$31:$P$31,BX377:CI377,$E$28:$P$28)</f>
        <v>0.184416866619846</v>
      </c>
      <c r="CW377" s="60" t="n">
        <f aca="false">$F$28*SUMPRODUCT($E$32:$P$32,BX377:CI377,$E$28:$P$28)</f>
        <v>0</v>
      </c>
      <c r="CX377" s="60" t="n">
        <f aca="false">$G$28*SUMPRODUCT($E$33:$P$33,BX377:CI377,$E$28:$P$28)</f>
        <v>0</v>
      </c>
      <c r="CY377" s="60" t="n">
        <f aca="false">$H$28*SUMPRODUCT($E$34:$P$34,BX377:CI377,$E$28:$P$28)</f>
        <v>0</v>
      </c>
      <c r="CZ377" s="60" t="n">
        <f aca="false">$I$28*SUMPRODUCT($E$35:$P$35,BX377:CI377,$E$28:$P$28)</f>
        <v>0</v>
      </c>
      <c r="DA377" s="60" t="n">
        <f aca="false">$J$28*SUMPRODUCT($E$36:$P$36,BX377:CI377,$E$28:$P$28)</f>
        <v>0</v>
      </c>
      <c r="DB377" s="60" t="n">
        <f aca="false">$K$28*SUMPRODUCT($E$37:$P$37,BX377:CI377,$E$28:$P$28)</f>
        <v>0</v>
      </c>
      <c r="DC377" s="60" t="n">
        <f aca="false">$L$28*SUMPRODUCT($E$38:$P$38,BX377:CI377,$E$28:$P$28)</f>
        <v>0</v>
      </c>
      <c r="DD377" s="60" t="n">
        <f aca="false">$M$28*SUMPRODUCT($E$39:$P$39,BX377:CI377,$E$28:$P$28)</f>
        <v>0</v>
      </c>
      <c r="DE377" s="60" t="n">
        <f aca="false">$N$28*SUMPRODUCT($E$40:$P$40,BX377:CI377,$E$28:$P$28)</f>
        <v>0</v>
      </c>
      <c r="DF377" s="60" t="n">
        <f aca="false">$O$28*SUMPRODUCT($E$41:$P$41,BX377:CI377,$E$28:$P$28)</f>
        <v>0</v>
      </c>
      <c r="DG377" s="60" t="n">
        <f aca="false">$P$28*SUMPRODUCT($E$42:$P$42,BX377:CI377,$E$28:$P$28)</f>
        <v>0</v>
      </c>
      <c r="DH377" s="60" t="n">
        <f aca="false">SUMPRODUCT(BX377:CI377,CV377:DG377)</f>
        <v>0.184416866619846</v>
      </c>
      <c r="DI377" s="60" t="n">
        <f aca="false">SUMPRODUCT(BX377:CI377,$E$27:$P$27)</f>
        <v>2.67389635063809E-005</v>
      </c>
      <c r="DJ377" s="60" t="n">
        <f aca="false">DH377*$C$9/($C$10*$C$8)^2</f>
        <v>0.21776909410545</v>
      </c>
      <c r="DK377" s="60" t="n">
        <f aca="false">DI377*$C$9/($C$10*$C$8)</f>
        <v>0.0918845243259994</v>
      </c>
      <c r="DL377" s="60" t="n">
        <f aca="false">CHOOSE($C$7,-(1+DK377),-1,-(1-DK377))</f>
        <v>-0.908115475674001</v>
      </c>
      <c r="DM377" s="60" t="n">
        <f aca="false">CHOOSE($C$7,DJ377,DJ377-DK377-DK377^2,DJ377-3*DK377^2-2*DK377)</f>
        <v>0.00867174802160559</v>
      </c>
      <c r="DN377" s="60" t="n">
        <f aca="false">CHOOSE($C$7,-DJ377*DK377,-DJ377*DK377,-(DJ377*DK377-DK377^2-DK377^3))</f>
        <v>-0.0107910842936637</v>
      </c>
      <c r="DO377" s="60" t="n">
        <f aca="false">DM377-DL377^2/3</f>
        <v>-0.266219491031267</v>
      </c>
      <c r="DP377" s="60" t="n">
        <f aca="false">2*DL377^3/27-DL377*DM377/3+DN377</f>
        <v>-0.0636400988362784</v>
      </c>
      <c r="DQ377" s="60" t="n">
        <f aca="false">DP377^2/4+DO377^3/27</f>
        <v>0.000313710901361829</v>
      </c>
      <c r="DR377" s="60" t="n">
        <f aca="false">-DP377/2-IF(DP377&gt;=0,1,-1)*SQRT(MAX(DQ377,0))</f>
        <v>0.0495319352963236</v>
      </c>
      <c r="DS377" s="60" t="n">
        <f aca="false">SIGN(DR377)*ABS(DR377)^(1/3)</f>
        <v>0.367249967174439</v>
      </c>
      <c r="DT377" s="60" t="n">
        <f aca="false">IF(DS377=0,0,DS377-DO377/(3*DS377))</f>
        <v>0.60888329127384</v>
      </c>
      <c r="DU377" s="60" t="n">
        <f aca="false">2*SQRT(MAX(-DO377,0)/3)</f>
        <v>0.595784626668918</v>
      </c>
      <c r="DV377" s="60" t="n">
        <f aca="false">ACOS(IF(DU377=0,0,MAX(-1,MIN(1,3*DP377/(DO377*DU377)))))</f>
        <v>0</v>
      </c>
      <c r="DW377" s="60" t="n">
        <f aca="false">DU377*COS(DV377/3)</f>
        <v>0.595784626668918</v>
      </c>
      <c r="DX377" s="60" t="n">
        <f aca="false">IF(DQ377&lt;0,DW377,DT377)-DL377/3</f>
        <v>0.91158844983184</v>
      </c>
      <c r="DY377" s="60" t="n">
        <f aca="false">IFERROR((((DX377+DL377)*DX377+DM377)*DX377+DN377)/((3*DX377+2*DL377)*DX377+DM377),0)</f>
        <v>0</v>
      </c>
      <c r="DZ377" s="60" t="n">
        <f aca="false">IF(ABS(DY377)&lt;0.1*ABS(DX377),DX377-DY377,DX377)</f>
        <v>0.91158844983184</v>
      </c>
      <c r="EA377" s="60" t="n">
        <f aca="false">IFERROR((((DZ377+DL377)*DZ377+DM377)*DZ377+DN377)/((3*DZ377+2*DL377)*DZ377+DM377),0)</f>
        <v>0</v>
      </c>
      <c r="EB377" s="60" t="n">
        <f aca="false">IF(ABS(EA377)&lt;0.1*ABS(DZ377),DZ377-EA377,DZ377)</f>
        <v>0.91158844983184</v>
      </c>
      <c r="EC377" s="60" t="n">
        <f aca="false">-DN377/EB377</f>
        <v>0.0118376711504565</v>
      </c>
      <c r="ED377" s="60" t="n">
        <f aca="false">(DM377-EC377)/EB377</f>
        <v>-0.00347297415783941</v>
      </c>
      <c r="EE377" s="60" t="n">
        <f aca="false">ED377^2-4*EC377</f>
        <v>-0.0473386230523248</v>
      </c>
      <c r="EF377" s="60" t="n">
        <f aca="false">IF(EE377&gt;=0,(ED377+IF(ED377&gt;=0,1,-1)*SQRT(EE377))/2,0)</f>
        <v>0</v>
      </c>
      <c r="EG377" s="60" t="n">
        <f aca="false">IF(AND(EE377&gt;=0,EF377&lt;&gt;0),MIN(EF377,EC377/EF377),-1)</f>
        <v>-1</v>
      </c>
      <c r="EH377" s="60" t="n">
        <f aca="false">AND(EE377&gt;=0,EG377&gt;DK377,ABS(EB377-EG377)&gt;=0.00005*MAX(EB377,EG377))</f>
        <v>0</v>
      </c>
      <c r="EI377" s="60" t="n">
        <f aca="false">IF(EH377,IFERROR((((EG377+DL377)*EG377+DM377)*EG377+DN377)/((3*EG377+2*DL377)*EG377+DM377),0),0)</f>
        <v>0</v>
      </c>
      <c r="EJ377" s="60" t="n">
        <f aca="false">IF(ABS(EI377)&lt;0.1*ABS(EG377),EG377-EI377,EG377)</f>
        <v>-1</v>
      </c>
      <c r="EK377" s="60" t="n">
        <f aca="false">IF(EH377,IFERROR((((EJ377+DL377)*EJ377+DM377)*EJ377+DN377)/((3*EJ377+2*DL377)*EJ377+DM377),0),0)</f>
        <v>0</v>
      </c>
      <c r="EL377" s="60" t="n">
        <f aca="false">IF(ABS(EK377)&lt;0.1*ABS(EJ377),EJ377-EK377,EJ377)</f>
        <v>-1</v>
      </c>
      <c r="EM377" s="60" t="n">
        <f aca="false">IF(EH377,MAX(EB377,EL377),EB377)</f>
        <v>0.91158844983184</v>
      </c>
      <c r="EN377" s="60" t="n">
        <f aca="false">IF(EH377,MIN(EB377,EL377),-1)</f>
        <v>-1</v>
      </c>
      <c r="EO377" s="60" t="n">
        <f aca="false">CHOOSE($C$7,DJ377/EM377,DJ377/DK377*LN(1+DK377/EM377),DJ377/(2*SQRT(2)*DK377)*LN((EM377+(1+SQRT(2))*DK377)/(EM377+(1-SQRT(2))*DK377)))</f>
        <v>0.218240791233887</v>
      </c>
      <c r="EP377" s="60" t="n">
        <f aca="false">EM377-1-LN(EM377-DK377)-EO377</f>
        <v>-0.107840271021729</v>
      </c>
      <c r="EQ377" s="60" t="n">
        <f aca="false">IF(EH377,CHOOSE($C$7,DJ377/EN377,DJ377/DK377*LN(1+DK377/EN377),DJ377/(2*SQRT(2)*DK377)*LN((EN377+(1+SQRT(2))*DK377)/(EN377+(1-SQRT(2))*DK377))),0)</f>
        <v>0</v>
      </c>
      <c r="ER377" s="60" t="n">
        <f aca="false">IF(EH377,EN377-1-LN(EN377-DK377)-EQ377,0)</f>
        <v>0</v>
      </c>
      <c r="ES377" s="60" t="n">
        <f aca="false">AND(EH377,ER377&lt;EP377)</f>
        <v>0</v>
      </c>
      <c r="ET377" s="60" t="n">
        <f aca="false">IF(ES377,EN377,EM377)</f>
        <v>0.91158844983184</v>
      </c>
      <c r="EU377" s="60" t="n">
        <f aca="false">IF(ES377,EQ377,EO377)</f>
        <v>0.218240791233887</v>
      </c>
      <c r="EV377" s="60" t="n">
        <f aca="false">LN(ET377-DK377)</f>
        <v>-0.198812070380318</v>
      </c>
      <c r="EW377" s="60" t="n">
        <f aca="false">$E$27/DI377*(ET377-1)-EV377-EU377*(2*CV377/DH377-$E$27/DI377)</f>
        <v>-0.107840271021729</v>
      </c>
      <c r="EX377" s="60" t="n">
        <f aca="false">$F$27/DI377*(ET377-1)-EV377-EU377*(2*CW377/DH377-$F$27/DI377)</f>
        <v>0.198812070380318</v>
      </c>
      <c r="EY377" s="60" t="n">
        <f aca="false">$G$27/DI377*(ET377-1)-EV377-EU377*(2*CX377/DH377-$G$27/DI377)</f>
        <v>0.198812070380318</v>
      </c>
      <c r="EZ377" s="60" t="n">
        <f aca="false">$H$27/DI377*(ET377-1)-EV377-EU377*(2*CY377/DH377-$H$27/DI377)</f>
        <v>0.198812070380318</v>
      </c>
      <c r="FA377" s="60" t="n">
        <f aca="false">$I$27/DI377*(ET377-1)-EV377-EU377*(2*CZ377/DH377-$I$27/DI377)</f>
        <v>0.198812070380318</v>
      </c>
      <c r="FB377" s="60" t="n">
        <f aca="false">$J$27/DI377*(ET377-1)-EV377-EU377*(2*DA377/DH377-$J$27/DI377)</f>
        <v>0.198812070380318</v>
      </c>
      <c r="FC377" s="60" t="n">
        <f aca="false">$K$27/DI377*(ET377-1)-EV377-EU377*(2*DB377/DH377-$K$27/DI377)</f>
        <v>0.198812070380318</v>
      </c>
      <c r="FD377" s="60" t="n">
        <f aca="false">$L$27/DI377*(ET377-1)-EV377-EU377*(2*DC377/DH377-$L$27/DI377)</f>
        <v>0.198812070380318</v>
      </c>
      <c r="FE377" s="60" t="n">
        <f aca="false">$M$27/DI377*(ET377-1)-EV377-EU377*(2*DD377/DH377-$M$27/DI377)</f>
        <v>0.198812070380318</v>
      </c>
      <c r="FF377" s="60" t="n">
        <f aca="false">$N$27/DI377*(ET377-1)-EV377-EU377*(2*DE377/DH377-$N$27/DI377)</f>
        <v>0.198812070380318</v>
      </c>
      <c r="FG377" s="60" t="n">
        <f aca="false">$O$27/DI377*(ET377-1)-EV377-EU377*(2*DF377/DH377-$O$27/DI377)</f>
        <v>0.198812070380318</v>
      </c>
      <c r="FH377" s="60" t="n">
        <f aca="false">$P$27/DI377*(ET377-1)-EV377-EU377*(2*DG377/DH377-$P$27/DI377)</f>
        <v>0.198812070380318</v>
      </c>
      <c r="FI377" s="60" t="n">
        <f aca="false">DK377/ET377&gt;$C$22</f>
        <v>0</v>
      </c>
      <c r="FJ377" s="60" t="n">
        <f aca="false">$E$28*SUMPRODUCT($E$31:$P$31,CJ377:CU377,$E$28:$P$28)</f>
        <v>0.184416866619846</v>
      </c>
      <c r="FK377" s="60" t="n">
        <f aca="false">$F$28*SUMPRODUCT($E$32:$P$32,CJ377:CU377,$E$28:$P$28)</f>
        <v>0</v>
      </c>
      <c r="FL377" s="60" t="n">
        <f aca="false">$G$28*SUMPRODUCT($E$33:$P$33,CJ377:CU377,$E$28:$P$28)</f>
        <v>0</v>
      </c>
      <c r="FM377" s="60" t="n">
        <f aca="false">$H$28*SUMPRODUCT($E$34:$P$34,CJ377:CU377,$E$28:$P$28)</f>
        <v>0</v>
      </c>
      <c r="FN377" s="60" t="n">
        <f aca="false">$I$28*SUMPRODUCT($E$35:$P$35,CJ377:CU377,$E$28:$P$28)</f>
        <v>0</v>
      </c>
      <c r="FO377" s="60" t="n">
        <f aca="false">$J$28*SUMPRODUCT($E$36:$P$36,CJ377:CU377,$E$28:$P$28)</f>
        <v>0</v>
      </c>
      <c r="FP377" s="60" t="n">
        <f aca="false">$K$28*SUMPRODUCT($E$37:$P$37,CJ377:CU377,$E$28:$P$28)</f>
        <v>0</v>
      </c>
      <c r="FQ377" s="60" t="n">
        <f aca="false">$L$28*SUMPRODUCT($E$38:$P$38,CJ377:CU377,$E$28:$P$28)</f>
        <v>0</v>
      </c>
      <c r="FR377" s="60" t="n">
        <f aca="false">$M$28*SUMPRODUCT($E$39:$P$39,CJ377:CU377,$E$28:$P$28)</f>
        <v>0</v>
      </c>
      <c r="FS377" s="60" t="n">
        <f aca="false">$N$28*SUMPRODUCT($E$40:$P$40,CJ377:CU377,$E$28:$P$28)</f>
        <v>0</v>
      </c>
      <c r="FT377" s="60" t="n">
        <f aca="false">$O$28*SUMPRODUCT($E$41:$P$41,CJ377:CU377,$E$28:$P$28)</f>
        <v>0</v>
      </c>
      <c r="FU377" s="60" t="n">
        <f aca="false">$P$28*SUMPRODUCT($E$42:$P$42,CJ377:CU377,$E$28:$P$28)</f>
        <v>0</v>
      </c>
      <c r="FV377" s="60" t="n">
        <f aca="false">SUMPRODUCT(CJ377:CU377,FJ377:FU377)</f>
        <v>0.184416866619846</v>
      </c>
      <c r="FW377" s="60" t="n">
        <f aca="false">SUMPRODUCT(CJ377:CU377,$E$27:$P$27)</f>
        <v>2.67389635063809E-005</v>
      </c>
      <c r="FX377" s="60" t="n">
        <f aca="false">FV377*$C$9/($C$10*$C$8)^2</f>
        <v>0.21776909410545</v>
      </c>
      <c r="FY377" s="60" t="n">
        <f aca="false">FW377*$C$9/($C$10*$C$8)</f>
        <v>0.0918845243259994</v>
      </c>
      <c r="FZ377" s="60" t="n">
        <f aca="false">CHOOSE($C$7,-(1+FY377),-1,-(1-FY377))</f>
        <v>-0.908115475674001</v>
      </c>
      <c r="GA377" s="60" t="n">
        <f aca="false">CHOOSE($C$7,FX377,FX377-FY377-FY377^2,FX377-3*FY377^2-2*FY377)</f>
        <v>0.00867174802160559</v>
      </c>
      <c r="GB377" s="60" t="n">
        <f aca="false">CHOOSE($C$7,-FX377*FY377,-FX377*FY377,-(FX377*FY377-FY377^2-FY377^3))</f>
        <v>-0.0107910842936637</v>
      </c>
      <c r="GC377" s="60" t="n">
        <f aca="false">GA377-FZ377^2/3</f>
        <v>-0.266219491031267</v>
      </c>
      <c r="GD377" s="60" t="n">
        <f aca="false">2*FZ377^3/27-FZ377*GA377/3+GB377</f>
        <v>-0.0636400988362784</v>
      </c>
      <c r="GE377" s="60" t="n">
        <f aca="false">GD377^2/4+GC377^3/27</f>
        <v>0.000313710901361829</v>
      </c>
      <c r="GF377" s="60" t="n">
        <f aca="false">-GD377/2-IF(GD377&gt;=0,1,-1)*SQRT(MAX(GE377,0))</f>
        <v>0.0495319352963236</v>
      </c>
      <c r="GG377" s="60" t="n">
        <f aca="false">SIGN(GF377)*ABS(GF377)^(1/3)</f>
        <v>0.367249967174439</v>
      </c>
      <c r="GH377" s="60" t="n">
        <f aca="false">IF(GG377=0,0,GG377-GC377/(3*GG377))</f>
        <v>0.60888329127384</v>
      </c>
      <c r="GI377" s="60" t="n">
        <f aca="false">2*SQRT(MAX(-GC377,0)/3)</f>
        <v>0.595784626668918</v>
      </c>
      <c r="GJ377" s="60" t="n">
        <f aca="false">ACOS(IF(GI377=0,0,MAX(-1,MIN(1,3*GD377/(GC377*GI377)))))</f>
        <v>0</v>
      </c>
      <c r="GK377" s="60" t="n">
        <f aca="false">GI377*COS(GJ377/3)</f>
        <v>0.595784626668918</v>
      </c>
      <c r="GL377" s="60" t="n">
        <f aca="false">IF(GE377&lt;0,GK377,GH377)-FZ377/3</f>
        <v>0.91158844983184</v>
      </c>
      <c r="GM377" s="60" t="n">
        <f aca="false">IFERROR((((GL377+FZ377)*GL377+GA377)*GL377+GB377)/((3*GL377+2*FZ377)*GL377+GA377),0)</f>
        <v>0</v>
      </c>
      <c r="GN377" s="60" t="n">
        <f aca="false">IF(ABS(GM377)&lt;0.1*ABS(GL377),GL377-GM377,GL377)</f>
        <v>0.91158844983184</v>
      </c>
      <c r="GO377" s="60" t="n">
        <f aca="false">IFERROR((((GN377+FZ377)*GN377+GA377)*GN377+GB377)/((3*GN377+2*FZ377)*GN377+GA377),0)</f>
        <v>0</v>
      </c>
      <c r="GP377" s="60" t="n">
        <f aca="false">IF(ABS(GO377)&lt;0.1*ABS(GN377),GN377-GO377,GN377)</f>
        <v>0.91158844983184</v>
      </c>
      <c r="GQ377" s="60" t="n">
        <f aca="false">-GB377/GP377</f>
        <v>0.0118376711504565</v>
      </c>
      <c r="GR377" s="60" t="n">
        <f aca="false">(GA377-GQ377)/GP377</f>
        <v>-0.00347297415783941</v>
      </c>
      <c r="GS377" s="60" t="n">
        <f aca="false">GR377^2-4*GQ377</f>
        <v>-0.0473386230523248</v>
      </c>
      <c r="GT377" s="60" t="n">
        <f aca="false">IF(GS377&gt;=0,(GR377+IF(GR377&gt;=0,1,-1)*SQRT(GS377))/2,0)</f>
        <v>0</v>
      </c>
      <c r="GU377" s="60" t="n">
        <f aca="false">IF(AND(GS377&gt;=0,GT377&lt;&gt;0),MIN(GT377,GQ377/GT377),-1)</f>
        <v>-1</v>
      </c>
      <c r="GV377" s="60" t="n">
        <f aca="false">AND(GS377&gt;=0,GU377&gt;FY377,ABS(GP377-GU377)&gt;=0.00005*MAX(GP377,GU377))</f>
        <v>0</v>
      </c>
      <c r="GW377" s="60" t="n">
        <f aca="false">IF(GV377,IFERROR((((GU377+FZ377)*GU377+GA377)*GU377+GB377)/((3*GU377+2*FZ377)*GU377+GA377),0),0)</f>
        <v>0</v>
      </c>
      <c r="GX377" s="60" t="n">
        <f aca="false">IF(ABS(GW377)&lt;0.1*ABS(GU377),GU377-GW377,GU377)</f>
        <v>-1</v>
      </c>
      <c r="GY377" s="60" t="n">
        <f aca="false">IF(GV377,IFERROR((((GX377+FZ377)*GX377+GA377)*GX377+GB377)/((3*GX377+2*FZ377)*GX377+GA377),0),0)</f>
        <v>0</v>
      </c>
      <c r="GZ377" s="60" t="n">
        <f aca="false">IF(ABS(GY377)&lt;0.1*ABS(GX377),GX377-GY377,GX377)</f>
        <v>-1</v>
      </c>
      <c r="HA377" s="60" t="n">
        <f aca="false">IF(GV377,MAX(GP377,GZ377),GP377)</f>
        <v>0.91158844983184</v>
      </c>
      <c r="HB377" s="60" t="n">
        <f aca="false">IF(GV377,MIN(GP377,GZ377),-1)</f>
        <v>-1</v>
      </c>
      <c r="HC377" s="60" t="n">
        <f aca="false">CHOOSE($C$7,FX377/HA377,FX377/FY377*LN(1+FY377/HA377),FX377/(2*SQRT(2)*FY377)*LN((HA377+(1+SQRT(2))*FY377)/(HA377+(1-SQRT(2))*FY377)))</f>
        <v>0.218240791233887</v>
      </c>
      <c r="HD377" s="60" t="n">
        <f aca="false">HA377-1-LN(HA377-FY377)-HC377</f>
        <v>-0.107840271021729</v>
      </c>
      <c r="HE377" s="60" t="n">
        <f aca="false">IF(GV377,CHOOSE($C$7,FX377/HB377,FX377/FY377*LN(1+FY377/HB377),FX377/(2*SQRT(2)*FY377)*LN((HB377+(1+SQRT(2))*FY377)/(HB377+(1-SQRT(2))*FY377))),0)</f>
        <v>0</v>
      </c>
      <c r="HF377" s="60" t="n">
        <f aca="false">IF(GV377,HB377-1-LN(HB377-FY377)-HE377,0)</f>
        <v>0</v>
      </c>
      <c r="HG377" s="60" t="n">
        <f aca="false">AND(GV377,HF377&lt;HD377)</f>
        <v>0</v>
      </c>
      <c r="HH377" s="60" t="n">
        <f aca="false">IF(HG377,HB377,HA377)</f>
        <v>0.91158844983184</v>
      </c>
      <c r="HI377" s="60" t="n">
        <f aca="false">IF(HG377,HE377,HC377)</f>
        <v>0.218240791233887</v>
      </c>
      <c r="HJ377" s="60" t="n">
        <f aca="false">LN(HH377-FY377)</f>
        <v>-0.198812070380318</v>
      </c>
      <c r="HK377" s="60" t="n">
        <f aca="false">$E$27/FW377*(HH377-1)-HJ377-HI377*(2*FJ377/FV377-$E$27/FW377)</f>
        <v>-0.107840271021729</v>
      </c>
      <c r="HL377" s="60" t="n">
        <f aca="false">$F$27/FW377*(HH377-1)-HJ377-HI377*(2*FK377/FV377-$F$27/FW377)</f>
        <v>0.198812070380318</v>
      </c>
      <c r="HM377" s="60" t="n">
        <f aca="false">$G$27/FW377*(HH377-1)-HJ377-HI377*(2*FL377/FV377-$G$27/FW377)</f>
        <v>0.198812070380318</v>
      </c>
      <c r="HN377" s="60" t="n">
        <f aca="false">$H$27/FW377*(HH377-1)-HJ377-HI377*(2*FM377/FV377-$H$27/FW377)</f>
        <v>0.198812070380318</v>
      </c>
      <c r="HO377" s="60" t="n">
        <f aca="false">$I$27/FW377*(HH377-1)-HJ377-HI377*(2*FN377/FV377-$I$27/FW377)</f>
        <v>0.198812070380318</v>
      </c>
      <c r="HP377" s="60" t="n">
        <f aca="false">$J$27/FW377*(HH377-1)-HJ377-HI377*(2*FO377/FV377-$J$27/FW377)</f>
        <v>0.198812070380318</v>
      </c>
      <c r="HQ377" s="60" t="n">
        <f aca="false">$K$27/FW377*(HH377-1)-HJ377-HI377*(2*FP377/FV377-$K$27/FW377)</f>
        <v>0.198812070380318</v>
      </c>
      <c r="HR377" s="60" t="n">
        <f aca="false">$L$27/FW377*(HH377-1)-HJ377-HI377*(2*FQ377/FV377-$L$27/FW377)</f>
        <v>0.198812070380318</v>
      </c>
      <c r="HS377" s="60" t="n">
        <f aca="false">$M$27/FW377*(HH377-1)-HJ377-HI377*(2*FR377/FV377-$M$27/FW377)</f>
        <v>0.198812070380318</v>
      </c>
      <c r="HT377" s="60" t="n">
        <f aca="false">$N$27/FW377*(HH377-1)-HJ377-HI377*(2*FS377/FV377-$N$27/FW377)</f>
        <v>0.198812070380318</v>
      </c>
      <c r="HU377" s="60" t="n">
        <f aca="false">$O$27/FW377*(HH377-1)-HJ377-HI377*(2*FT377/FV377-$O$27/FW377)</f>
        <v>0.198812070380318</v>
      </c>
      <c r="HV377" s="60" t="n">
        <f aca="false">$P$27/FW377*(HH377-1)-HJ377-HI377*(2*FU377/FV377-$P$27/FW377)</f>
        <v>0.198812070380318</v>
      </c>
      <c r="HW377" s="60" t="n">
        <f aca="false">FY377/HH377&gt;$C$22</f>
        <v>0</v>
      </c>
      <c r="HX377" s="60" t="n">
        <f aca="false">IF($E$13&gt;0,MAX(-300,MIN(300,EW377-HK377)),0)</f>
        <v>0</v>
      </c>
      <c r="HY377" s="60" t="n">
        <f aca="false">IF($F$13&gt;0,MAX(-300,MIN(300,EX377-HL377)),0)</f>
        <v>0</v>
      </c>
      <c r="HZ377" s="60" t="n">
        <f aca="false">IF($G$13&gt;0,MAX(-300,MIN(300,EY377-HM377)),0)</f>
        <v>0</v>
      </c>
      <c r="IA377" s="60" t="n">
        <f aca="false">IF($H$13&gt;0,MAX(-300,MIN(300,EZ377-HN377)),0)</f>
        <v>0</v>
      </c>
      <c r="IB377" s="60" t="n">
        <f aca="false">IF($I$13&gt;0,MAX(-300,MIN(300,FA377-HO377)),0)</f>
        <v>0</v>
      </c>
      <c r="IC377" s="60" t="n">
        <f aca="false">IF($J$13&gt;0,MAX(-300,MIN(300,FB377-HP377)),0)</f>
        <v>0</v>
      </c>
      <c r="ID377" s="60" t="n">
        <f aca="false">IF($K$13&gt;0,MAX(-300,MIN(300,FC377-HQ377)),0)</f>
        <v>0</v>
      </c>
      <c r="IE377" s="60" t="n">
        <f aca="false">IF($L$13&gt;0,MAX(-300,MIN(300,FD377-HR377)),0)</f>
        <v>0</v>
      </c>
      <c r="IF377" s="60" t="n">
        <f aca="false">IF($M$13&gt;0,MAX(-300,MIN(300,FE377-HS377)),0)</f>
        <v>0</v>
      </c>
      <c r="IG377" s="60" t="n">
        <f aca="false">IF($N$13&gt;0,MAX(-300,MIN(300,FF377-HT377)),0)</f>
        <v>0</v>
      </c>
      <c r="IH377" s="60" t="n">
        <f aca="false">IF($O$13&gt;0,MAX(-300,MIN(300,FG377-HU377)),0)</f>
        <v>0</v>
      </c>
      <c r="II377" s="60" t="n">
        <f aca="false">IF($P$13&gt;0,MAX(-300,MIN(300,FH377-HV377)),0)</f>
        <v>0</v>
      </c>
      <c r="IJ377" s="60" t="n">
        <f aca="false">SUMXMY2(HX377:II377,B377:M377)</f>
        <v>0</v>
      </c>
      <c r="IK377" s="60" t="n">
        <f aca="false">SUMSQ(B377:M377)</f>
        <v>0</v>
      </c>
    </row>
    <row r="378" customFormat="false" ht="15" hidden="false" customHeight="false" outlineLevel="0" collapsed="false">
      <c r="A378" s="59" t="n">
        <v>17</v>
      </c>
      <c r="B378" s="60" t="n">
        <f aca="false">HX377</f>
        <v>0</v>
      </c>
      <c r="C378" s="60" t="n">
        <f aca="false">HY377</f>
        <v>0</v>
      </c>
      <c r="D378" s="60" t="n">
        <f aca="false">HZ377</f>
        <v>0</v>
      </c>
      <c r="E378" s="60" t="n">
        <f aca="false">IA377</f>
        <v>0</v>
      </c>
      <c r="F378" s="60" t="n">
        <f aca="false">IB377</f>
        <v>0</v>
      </c>
      <c r="G378" s="60" t="n">
        <f aca="false">IC377</f>
        <v>0</v>
      </c>
      <c r="H378" s="60" t="n">
        <f aca="false">ID377</f>
        <v>0</v>
      </c>
      <c r="I378" s="60" t="n">
        <f aca="false">IE377</f>
        <v>0</v>
      </c>
      <c r="J378" s="60" t="n">
        <f aca="false">IF377</f>
        <v>0</v>
      </c>
      <c r="K378" s="60" t="n">
        <f aca="false">IG377</f>
        <v>0</v>
      </c>
      <c r="L378" s="60" t="n">
        <f aca="false">IH377</f>
        <v>0</v>
      </c>
      <c r="M378" s="60" t="n">
        <f aca="false">II377</f>
        <v>0</v>
      </c>
      <c r="N378" s="60" t="n">
        <f aca="false">EXP(B378)</f>
        <v>1</v>
      </c>
      <c r="O378" s="60" t="n">
        <f aca="false">EXP(C378)</f>
        <v>1</v>
      </c>
      <c r="P378" s="60" t="n">
        <f aca="false">EXP(D378)</f>
        <v>1</v>
      </c>
      <c r="Q378" s="60" t="n">
        <f aca="false">EXP(E378)</f>
        <v>1</v>
      </c>
      <c r="R378" s="60" t="n">
        <f aca="false">EXP(F378)</f>
        <v>1</v>
      </c>
      <c r="S378" s="60" t="n">
        <f aca="false">EXP(G378)</f>
        <v>1</v>
      </c>
      <c r="T378" s="60" t="n">
        <f aca="false">EXP(H378)</f>
        <v>1</v>
      </c>
      <c r="U378" s="60" t="n">
        <f aca="false">EXP(I378)</f>
        <v>1</v>
      </c>
      <c r="V378" s="60" t="n">
        <f aca="false">EXP(J378)</f>
        <v>1</v>
      </c>
      <c r="W378" s="60" t="n">
        <f aca="false">EXP(K378)</f>
        <v>1</v>
      </c>
      <c r="X378" s="60" t="n">
        <f aca="false">EXP(L378)</f>
        <v>1</v>
      </c>
      <c r="Y378" s="60" t="n">
        <f aca="false">EXP(M378)</f>
        <v>1</v>
      </c>
      <c r="Z378" s="60" t="n">
        <f aca="false">MAX(N378:Y378)</f>
        <v>1</v>
      </c>
      <c r="AA378" s="60" t="n">
        <f aca="false">MIN(N378:Y378)</f>
        <v>1</v>
      </c>
      <c r="AB378" s="60" t="n">
        <f aca="false">AND(Z378&gt;1,AA378&lt;1)</f>
        <v>0</v>
      </c>
      <c r="AC378" s="60" t="n">
        <f aca="false">IF(AB378,1/(1-Z378),0)</f>
        <v>0</v>
      </c>
      <c r="AD378" s="60" t="n">
        <f aca="false">IF(AB378,1/(1-AA378),1)</f>
        <v>1</v>
      </c>
      <c r="AE378" s="60" t="n">
        <f aca="false">IF(AB378,MIN(MAX(BI377,AC378+0.000000001*(AD378-AC378)),AD378-0.000000001*(AD378-AC378)),IF(AA378&gt;=1,1,0))</f>
        <v>1</v>
      </c>
      <c r="AF378" s="60" t="n">
        <f aca="false">SUMPRODUCT($E$13:$P$13*(N378:Y378-1)/(1+AE378*(N378:Y378-1)))</f>
        <v>0</v>
      </c>
      <c r="AG378" s="60" t="n">
        <f aca="false">-SUMPRODUCT($E$13:$P$13*(N378:Y378-1)^2/(1+AE378*(N378:Y378-1))^2)</f>
        <v>-0</v>
      </c>
      <c r="AH378" s="60" t="n">
        <f aca="false">IF(OR(NOT(AB378),AG378=0),AE378,IF(AE378-AF378/AG378&lt;=AC378,(AE378+AC378)/2,IF(AE378-AF378/AG378&gt;=AD378,(AE378+AD378)/2,AE378-AF378/AG378)))</f>
        <v>1</v>
      </c>
      <c r="AI378" s="60" t="n">
        <f aca="false">SUMPRODUCT($E$13:$P$13*(N378:Y378-1)/(1+AH378*(N378:Y378-1)))</f>
        <v>0</v>
      </c>
      <c r="AJ378" s="60" t="n">
        <f aca="false">-SUMPRODUCT($E$13:$P$13*(N378:Y378-1)^2/(1+AH378*(N378:Y378-1))^2)</f>
        <v>-0</v>
      </c>
      <c r="AK378" s="60" t="n">
        <f aca="false">IF(OR(NOT(AB378),AJ378=0),AH378,IF(AH378-AI378/AJ378&lt;=AC378,(AH378+AC378)/2,IF(AH378-AI378/AJ378&gt;=AD378,(AH378+AD378)/2,AH378-AI378/AJ378)))</f>
        <v>1</v>
      </c>
      <c r="AL378" s="60" t="n">
        <f aca="false">SUMPRODUCT($E$13:$P$13*(N378:Y378-1)/(1+AK378*(N378:Y378-1)))</f>
        <v>0</v>
      </c>
      <c r="AM378" s="60" t="n">
        <f aca="false">-SUMPRODUCT($E$13:$P$13*(N378:Y378-1)^2/(1+AK378*(N378:Y378-1))^2)</f>
        <v>-0</v>
      </c>
      <c r="AN378" s="60" t="n">
        <f aca="false">IF(OR(NOT(AB378),AM378=0),AK378,IF(AK378-AL378/AM378&lt;=AC378,(AK378+AC378)/2,IF(AK378-AL378/AM378&gt;=AD378,(AK378+AD378)/2,AK378-AL378/AM378)))</f>
        <v>1</v>
      </c>
      <c r="AO378" s="60" t="n">
        <f aca="false">SUMPRODUCT($E$13:$P$13*(N378:Y378-1)/(1+AN378*(N378:Y378-1)))</f>
        <v>0</v>
      </c>
      <c r="AP378" s="60" t="n">
        <f aca="false">-SUMPRODUCT($E$13:$P$13*(N378:Y378-1)^2/(1+AN378*(N378:Y378-1))^2)</f>
        <v>-0</v>
      </c>
      <c r="AQ378" s="60" t="n">
        <f aca="false">IF(OR(NOT(AB378),AP378=0),AN378,IF(AN378-AO378/AP378&lt;=AC378,(AN378+AC378)/2,IF(AN378-AO378/AP378&gt;=AD378,(AN378+AD378)/2,AN378-AO378/AP378)))</f>
        <v>1</v>
      </c>
      <c r="AR378" s="60" t="n">
        <f aca="false">SUMPRODUCT($E$13:$P$13*(N378:Y378-1)/(1+AQ378*(N378:Y378-1)))</f>
        <v>0</v>
      </c>
      <c r="AS378" s="60" t="n">
        <f aca="false">-SUMPRODUCT($E$13:$P$13*(N378:Y378-1)^2/(1+AQ378*(N378:Y378-1))^2)</f>
        <v>-0</v>
      </c>
      <c r="AT378" s="60" t="n">
        <f aca="false">IF(OR(NOT(AB378),AS378=0),AQ378,IF(AQ378-AR378/AS378&lt;=AC378,(AQ378+AC378)/2,IF(AQ378-AR378/AS378&gt;=AD378,(AQ378+AD378)/2,AQ378-AR378/AS378)))</f>
        <v>1</v>
      </c>
      <c r="AU378" s="60" t="n">
        <f aca="false">SUMPRODUCT($E$13:$P$13*(N378:Y378-1)/(1+AT378*(N378:Y378-1)))</f>
        <v>0</v>
      </c>
      <c r="AV378" s="60" t="n">
        <f aca="false">-SUMPRODUCT($E$13:$P$13*(N378:Y378-1)^2/(1+AT378*(N378:Y378-1))^2)</f>
        <v>-0</v>
      </c>
      <c r="AW378" s="60" t="n">
        <f aca="false">IF(OR(NOT(AB378),AV378=0),AT378,IF(AT378-AU378/AV378&lt;=AC378,(AT378+AC378)/2,IF(AT378-AU378/AV378&gt;=AD378,(AT378+AD378)/2,AT378-AU378/AV378)))</f>
        <v>1</v>
      </c>
      <c r="AX378" s="60" t="n">
        <f aca="false">SUMPRODUCT($E$13:$P$13*(N378:Y378-1)/(1+AW378*(N378:Y378-1)))</f>
        <v>0</v>
      </c>
      <c r="AY378" s="60" t="n">
        <f aca="false">-SUMPRODUCT($E$13:$P$13*(N378:Y378-1)^2/(1+AW378*(N378:Y378-1))^2)</f>
        <v>-0</v>
      </c>
      <c r="AZ378" s="60" t="n">
        <f aca="false">IF(OR(NOT(AB378),AY378=0),AW378,IF(AW378-AX378/AY378&lt;=AC378,(AW378+AC378)/2,IF(AW378-AX378/AY378&gt;=AD378,(AW378+AD378)/2,AW378-AX378/AY378)))</f>
        <v>1</v>
      </c>
      <c r="BA378" s="60" t="n">
        <f aca="false">SUMPRODUCT($E$13:$P$13*(N378:Y378-1)/(1+AZ378*(N378:Y378-1)))</f>
        <v>0</v>
      </c>
      <c r="BB378" s="60" t="n">
        <f aca="false">-SUMPRODUCT($E$13:$P$13*(N378:Y378-1)^2/(1+AZ378*(N378:Y378-1))^2)</f>
        <v>-0</v>
      </c>
      <c r="BC378" s="60" t="n">
        <f aca="false">IF(OR(NOT(AB378),BB378=0),AZ378,IF(AZ378-BA378/BB378&lt;=AC378,(AZ378+AC378)/2,IF(AZ378-BA378/BB378&gt;=AD378,(AZ378+AD378)/2,AZ378-BA378/BB378)))</f>
        <v>1</v>
      </c>
      <c r="BD378" s="60" t="n">
        <f aca="false">SUMPRODUCT($E$13:$P$13*(N378:Y378-1)/(1+BC378*(N378:Y378-1)))</f>
        <v>0</v>
      </c>
      <c r="BE378" s="60" t="n">
        <f aca="false">-SUMPRODUCT($E$13:$P$13*(N378:Y378-1)^2/(1+BC378*(N378:Y378-1))^2)</f>
        <v>-0</v>
      </c>
      <c r="BF378" s="60" t="n">
        <f aca="false">IF(OR(NOT(AB378),BE378=0),BC378,IF(BC378-BD378/BE378&lt;=AC378,(BC378+AC378)/2,IF(BC378-BD378/BE378&gt;=AD378,(BC378+AD378)/2,BC378-BD378/BE378)))</f>
        <v>1</v>
      </c>
      <c r="BG378" s="60" t="n">
        <f aca="false">SUMPRODUCT($E$13:$P$13*(N378:Y378-1)/(1+BF378*(N378:Y378-1)))</f>
        <v>0</v>
      </c>
      <c r="BH378" s="60" t="n">
        <f aca="false">-SUMPRODUCT($E$13:$P$13*(N378:Y378-1)^2/(1+BF378*(N378:Y378-1))^2)</f>
        <v>-0</v>
      </c>
      <c r="BI378" s="60" t="n">
        <f aca="false">IF(OR(NOT(AB378),BH378=0),BF378,IF(BF378-BG378/BH378&lt;=AC378,(BF378+AC378)/2,IF(BF378-BG378/BH378&gt;=AD378,(BF378+AD378)/2,BF378-BG378/BH378)))</f>
        <v>1</v>
      </c>
      <c r="BJ378" s="60" t="n">
        <f aca="false">$E$13/(1+BI378*(N378-1))</f>
        <v>1</v>
      </c>
      <c r="BK378" s="60" t="n">
        <f aca="false">$F$13/(1+BI378*(O378-1))</f>
        <v>0</v>
      </c>
      <c r="BL378" s="60" t="n">
        <f aca="false">$G$13/(1+BI378*(P378-1))</f>
        <v>0</v>
      </c>
      <c r="BM378" s="60" t="n">
        <f aca="false">$H$13/(1+BI378*(Q378-1))</f>
        <v>0</v>
      </c>
      <c r="BN378" s="60" t="n">
        <f aca="false">$I$13/(1+BI378*(R378-1))</f>
        <v>0</v>
      </c>
      <c r="BO378" s="60" t="n">
        <f aca="false">$J$13/(1+BI378*(S378-1))</f>
        <v>0</v>
      </c>
      <c r="BP378" s="60" t="n">
        <f aca="false">$K$13/(1+BI378*(T378-1))</f>
        <v>0</v>
      </c>
      <c r="BQ378" s="60" t="n">
        <f aca="false">$L$13/(1+BI378*(U378-1))</f>
        <v>0</v>
      </c>
      <c r="BR378" s="60" t="n">
        <f aca="false">$M$13/(1+BI378*(V378-1))</f>
        <v>0</v>
      </c>
      <c r="BS378" s="60" t="n">
        <f aca="false">$N$13/(1+BI378*(W378-1))</f>
        <v>0</v>
      </c>
      <c r="BT378" s="60" t="n">
        <f aca="false">$O$13/(1+BI378*(X378-1))</f>
        <v>0</v>
      </c>
      <c r="BU378" s="60" t="n">
        <f aca="false">$P$13/(1+BI378*(Y378-1))</f>
        <v>0</v>
      </c>
      <c r="BV378" s="60" t="n">
        <f aca="false">SUM(BJ378:BU378)</f>
        <v>1</v>
      </c>
      <c r="BW378" s="60" t="n">
        <f aca="false">SUMPRODUCT(N378:Y378,BJ378:BU378)</f>
        <v>1</v>
      </c>
      <c r="BX378" s="60" t="n">
        <f aca="false">BJ378/BV378</f>
        <v>1</v>
      </c>
      <c r="BY378" s="60" t="n">
        <f aca="false">BK378/BV378</f>
        <v>0</v>
      </c>
      <c r="BZ378" s="60" t="n">
        <f aca="false">BL378/BV378</f>
        <v>0</v>
      </c>
      <c r="CA378" s="60" t="n">
        <f aca="false">BM378/BV378</f>
        <v>0</v>
      </c>
      <c r="CB378" s="60" t="n">
        <f aca="false">BN378/BV378</f>
        <v>0</v>
      </c>
      <c r="CC378" s="60" t="n">
        <f aca="false">BO378/BV378</f>
        <v>0</v>
      </c>
      <c r="CD378" s="60" t="n">
        <f aca="false">BP378/BV378</f>
        <v>0</v>
      </c>
      <c r="CE378" s="60" t="n">
        <f aca="false">BQ378/BV378</f>
        <v>0</v>
      </c>
      <c r="CF378" s="60" t="n">
        <f aca="false">BR378/BV378</f>
        <v>0</v>
      </c>
      <c r="CG378" s="60" t="n">
        <f aca="false">BS378/BV378</f>
        <v>0</v>
      </c>
      <c r="CH378" s="60" t="n">
        <f aca="false">BT378/BV378</f>
        <v>0</v>
      </c>
      <c r="CI378" s="60" t="n">
        <f aca="false">BU378/BV378</f>
        <v>0</v>
      </c>
      <c r="CJ378" s="60" t="n">
        <f aca="false">N378*BJ378/BW378</f>
        <v>1</v>
      </c>
      <c r="CK378" s="60" t="n">
        <f aca="false">O378*BK378/BW378</f>
        <v>0</v>
      </c>
      <c r="CL378" s="60" t="n">
        <f aca="false">P378*BL378/BW378</f>
        <v>0</v>
      </c>
      <c r="CM378" s="60" t="n">
        <f aca="false">Q378*BM378/BW378</f>
        <v>0</v>
      </c>
      <c r="CN378" s="60" t="n">
        <f aca="false">R378*BN378/BW378</f>
        <v>0</v>
      </c>
      <c r="CO378" s="60" t="n">
        <f aca="false">S378*BO378/BW378</f>
        <v>0</v>
      </c>
      <c r="CP378" s="60" t="n">
        <f aca="false">T378*BP378/BW378</f>
        <v>0</v>
      </c>
      <c r="CQ378" s="60" t="n">
        <f aca="false">U378*BQ378/BW378</f>
        <v>0</v>
      </c>
      <c r="CR378" s="60" t="n">
        <f aca="false">V378*BR378/BW378</f>
        <v>0</v>
      </c>
      <c r="CS378" s="60" t="n">
        <f aca="false">W378*BS378/BW378</f>
        <v>0</v>
      </c>
      <c r="CT378" s="60" t="n">
        <f aca="false">X378*BT378/BW378</f>
        <v>0</v>
      </c>
      <c r="CU378" s="60" t="n">
        <f aca="false">Y378*BU378/BW378</f>
        <v>0</v>
      </c>
      <c r="CV378" s="60" t="n">
        <f aca="false">$E$28*SUMPRODUCT($E$31:$P$31,BX378:CI378,$E$28:$P$28)</f>
        <v>0.184416866619846</v>
      </c>
      <c r="CW378" s="60" t="n">
        <f aca="false">$F$28*SUMPRODUCT($E$32:$P$32,BX378:CI378,$E$28:$P$28)</f>
        <v>0</v>
      </c>
      <c r="CX378" s="60" t="n">
        <f aca="false">$G$28*SUMPRODUCT($E$33:$P$33,BX378:CI378,$E$28:$P$28)</f>
        <v>0</v>
      </c>
      <c r="CY378" s="60" t="n">
        <f aca="false">$H$28*SUMPRODUCT($E$34:$P$34,BX378:CI378,$E$28:$P$28)</f>
        <v>0</v>
      </c>
      <c r="CZ378" s="60" t="n">
        <f aca="false">$I$28*SUMPRODUCT($E$35:$P$35,BX378:CI378,$E$28:$P$28)</f>
        <v>0</v>
      </c>
      <c r="DA378" s="60" t="n">
        <f aca="false">$J$28*SUMPRODUCT($E$36:$P$36,BX378:CI378,$E$28:$P$28)</f>
        <v>0</v>
      </c>
      <c r="DB378" s="60" t="n">
        <f aca="false">$K$28*SUMPRODUCT($E$37:$P$37,BX378:CI378,$E$28:$P$28)</f>
        <v>0</v>
      </c>
      <c r="DC378" s="60" t="n">
        <f aca="false">$L$28*SUMPRODUCT($E$38:$P$38,BX378:CI378,$E$28:$P$28)</f>
        <v>0</v>
      </c>
      <c r="DD378" s="60" t="n">
        <f aca="false">$M$28*SUMPRODUCT($E$39:$P$39,BX378:CI378,$E$28:$P$28)</f>
        <v>0</v>
      </c>
      <c r="DE378" s="60" t="n">
        <f aca="false">$N$28*SUMPRODUCT($E$40:$P$40,BX378:CI378,$E$28:$P$28)</f>
        <v>0</v>
      </c>
      <c r="DF378" s="60" t="n">
        <f aca="false">$O$28*SUMPRODUCT($E$41:$P$41,BX378:CI378,$E$28:$P$28)</f>
        <v>0</v>
      </c>
      <c r="DG378" s="60" t="n">
        <f aca="false">$P$28*SUMPRODUCT($E$42:$P$42,BX378:CI378,$E$28:$P$28)</f>
        <v>0</v>
      </c>
      <c r="DH378" s="60" t="n">
        <f aca="false">SUMPRODUCT(BX378:CI378,CV378:DG378)</f>
        <v>0.184416866619846</v>
      </c>
      <c r="DI378" s="60" t="n">
        <f aca="false">SUMPRODUCT(BX378:CI378,$E$27:$P$27)</f>
        <v>2.67389635063809E-005</v>
      </c>
      <c r="DJ378" s="60" t="n">
        <f aca="false">DH378*$C$9/($C$10*$C$8)^2</f>
        <v>0.21776909410545</v>
      </c>
      <c r="DK378" s="60" t="n">
        <f aca="false">DI378*$C$9/($C$10*$C$8)</f>
        <v>0.0918845243259994</v>
      </c>
      <c r="DL378" s="60" t="n">
        <f aca="false">CHOOSE($C$7,-(1+DK378),-1,-(1-DK378))</f>
        <v>-0.908115475674001</v>
      </c>
      <c r="DM378" s="60" t="n">
        <f aca="false">CHOOSE($C$7,DJ378,DJ378-DK378-DK378^2,DJ378-3*DK378^2-2*DK378)</f>
        <v>0.00867174802160559</v>
      </c>
      <c r="DN378" s="60" t="n">
        <f aca="false">CHOOSE($C$7,-DJ378*DK378,-DJ378*DK378,-(DJ378*DK378-DK378^2-DK378^3))</f>
        <v>-0.0107910842936637</v>
      </c>
      <c r="DO378" s="60" t="n">
        <f aca="false">DM378-DL378^2/3</f>
        <v>-0.266219491031267</v>
      </c>
      <c r="DP378" s="60" t="n">
        <f aca="false">2*DL378^3/27-DL378*DM378/3+DN378</f>
        <v>-0.0636400988362784</v>
      </c>
      <c r="DQ378" s="60" t="n">
        <f aca="false">DP378^2/4+DO378^3/27</f>
        <v>0.000313710901361829</v>
      </c>
      <c r="DR378" s="60" t="n">
        <f aca="false">-DP378/2-IF(DP378&gt;=0,1,-1)*SQRT(MAX(DQ378,0))</f>
        <v>0.0495319352963236</v>
      </c>
      <c r="DS378" s="60" t="n">
        <f aca="false">SIGN(DR378)*ABS(DR378)^(1/3)</f>
        <v>0.367249967174439</v>
      </c>
      <c r="DT378" s="60" t="n">
        <f aca="false">IF(DS378=0,0,DS378-DO378/(3*DS378))</f>
        <v>0.60888329127384</v>
      </c>
      <c r="DU378" s="60" t="n">
        <f aca="false">2*SQRT(MAX(-DO378,0)/3)</f>
        <v>0.595784626668918</v>
      </c>
      <c r="DV378" s="60" t="n">
        <f aca="false">ACOS(IF(DU378=0,0,MAX(-1,MIN(1,3*DP378/(DO378*DU378)))))</f>
        <v>0</v>
      </c>
      <c r="DW378" s="60" t="n">
        <f aca="false">DU378*COS(DV378/3)</f>
        <v>0.595784626668918</v>
      </c>
      <c r="DX378" s="60" t="n">
        <f aca="false">IF(DQ378&lt;0,DW378,DT378)-DL378/3</f>
        <v>0.91158844983184</v>
      </c>
      <c r="DY378" s="60" t="n">
        <f aca="false">IFERROR((((DX378+DL378)*DX378+DM378)*DX378+DN378)/((3*DX378+2*DL378)*DX378+DM378),0)</f>
        <v>0</v>
      </c>
      <c r="DZ378" s="60" t="n">
        <f aca="false">IF(ABS(DY378)&lt;0.1*ABS(DX378),DX378-DY378,DX378)</f>
        <v>0.91158844983184</v>
      </c>
      <c r="EA378" s="60" t="n">
        <f aca="false">IFERROR((((DZ378+DL378)*DZ378+DM378)*DZ378+DN378)/((3*DZ378+2*DL378)*DZ378+DM378),0)</f>
        <v>0</v>
      </c>
      <c r="EB378" s="60" t="n">
        <f aca="false">IF(ABS(EA378)&lt;0.1*ABS(DZ378),DZ378-EA378,DZ378)</f>
        <v>0.91158844983184</v>
      </c>
      <c r="EC378" s="60" t="n">
        <f aca="false">-DN378/EB378</f>
        <v>0.0118376711504565</v>
      </c>
      <c r="ED378" s="60" t="n">
        <f aca="false">(DM378-EC378)/EB378</f>
        <v>-0.00347297415783941</v>
      </c>
      <c r="EE378" s="60" t="n">
        <f aca="false">ED378^2-4*EC378</f>
        <v>-0.0473386230523248</v>
      </c>
      <c r="EF378" s="60" t="n">
        <f aca="false">IF(EE378&gt;=0,(ED378+IF(ED378&gt;=0,1,-1)*SQRT(EE378))/2,0)</f>
        <v>0</v>
      </c>
      <c r="EG378" s="60" t="n">
        <f aca="false">IF(AND(EE378&gt;=0,EF378&lt;&gt;0),MIN(EF378,EC378/EF378),-1)</f>
        <v>-1</v>
      </c>
      <c r="EH378" s="60" t="n">
        <f aca="false">AND(EE378&gt;=0,EG378&gt;DK378,ABS(EB378-EG378)&gt;=0.00005*MAX(EB378,EG378))</f>
        <v>0</v>
      </c>
      <c r="EI378" s="60" t="n">
        <f aca="false">IF(EH378,IFERROR((((EG378+DL378)*EG378+DM378)*EG378+DN378)/((3*EG378+2*DL378)*EG378+DM378),0),0)</f>
        <v>0</v>
      </c>
      <c r="EJ378" s="60" t="n">
        <f aca="false">IF(ABS(EI378)&lt;0.1*ABS(EG378),EG378-EI378,EG378)</f>
        <v>-1</v>
      </c>
      <c r="EK378" s="60" t="n">
        <f aca="false">IF(EH378,IFERROR((((EJ378+DL378)*EJ378+DM378)*EJ378+DN378)/((3*EJ378+2*DL378)*EJ378+DM378),0),0)</f>
        <v>0</v>
      </c>
      <c r="EL378" s="60" t="n">
        <f aca="false">IF(ABS(EK378)&lt;0.1*ABS(EJ378),EJ378-EK378,EJ378)</f>
        <v>-1</v>
      </c>
      <c r="EM378" s="60" t="n">
        <f aca="false">IF(EH378,MAX(EB378,EL378),EB378)</f>
        <v>0.91158844983184</v>
      </c>
      <c r="EN378" s="60" t="n">
        <f aca="false">IF(EH378,MIN(EB378,EL378),-1)</f>
        <v>-1</v>
      </c>
      <c r="EO378" s="60" t="n">
        <f aca="false">CHOOSE($C$7,DJ378/EM378,DJ378/DK378*LN(1+DK378/EM378),DJ378/(2*SQRT(2)*DK378)*LN((EM378+(1+SQRT(2))*DK378)/(EM378+(1-SQRT(2))*DK378)))</f>
        <v>0.218240791233887</v>
      </c>
      <c r="EP378" s="60" t="n">
        <f aca="false">EM378-1-LN(EM378-DK378)-EO378</f>
        <v>-0.107840271021729</v>
      </c>
      <c r="EQ378" s="60" t="n">
        <f aca="false">IF(EH378,CHOOSE($C$7,DJ378/EN378,DJ378/DK378*LN(1+DK378/EN378),DJ378/(2*SQRT(2)*DK378)*LN((EN378+(1+SQRT(2))*DK378)/(EN378+(1-SQRT(2))*DK378))),0)</f>
        <v>0</v>
      </c>
      <c r="ER378" s="60" t="n">
        <f aca="false">IF(EH378,EN378-1-LN(EN378-DK378)-EQ378,0)</f>
        <v>0</v>
      </c>
      <c r="ES378" s="60" t="n">
        <f aca="false">AND(EH378,ER378&lt;EP378)</f>
        <v>0</v>
      </c>
      <c r="ET378" s="60" t="n">
        <f aca="false">IF(ES378,EN378,EM378)</f>
        <v>0.91158844983184</v>
      </c>
      <c r="EU378" s="60" t="n">
        <f aca="false">IF(ES378,EQ378,EO378)</f>
        <v>0.218240791233887</v>
      </c>
      <c r="EV378" s="60" t="n">
        <f aca="false">LN(ET378-DK378)</f>
        <v>-0.198812070380318</v>
      </c>
      <c r="EW378" s="60" t="n">
        <f aca="false">$E$27/DI378*(ET378-1)-EV378-EU378*(2*CV378/DH378-$E$27/DI378)</f>
        <v>-0.107840271021729</v>
      </c>
      <c r="EX378" s="60" t="n">
        <f aca="false">$F$27/DI378*(ET378-1)-EV378-EU378*(2*CW378/DH378-$F$27/DI378)</f>
        <v>0.198812070380318</v>
      </c>
      <c r="EY378" s="60" t="n">
        <f aca="false">$G$27/DI378*(ET378-1)-EV378-EU378*(2*CX378/DH378-$G$27/DI378)</f>
        <v>0.198812070380318</v>
      </c>
      <c r="EZ378" s="60" t="n">
        <f aca="false">$H$27/DI378*(ET378-1)-EV378-EU378*(2*CY378/DH378-$H$27/DI378)</f>
        <v>0.198812070380318</v>
      </c>
      <c r="FA378" s="60" t="n">
        <f aca="false">$I$27/DI378*(ET378-1)-EV378-EU378*(2*CZ378/DH378-$I$27/DI378)</f>
        <v>0.198812070380318</v>
      </c>
      <c r="FB378" s="60" t="n">
        <f aca="false">$J$27/DI378*(ET378-1)-EV378-EU378*(2*DA378/DH378-$J$27/DI378)</f>
        <v>0.198812070380318</v>
      </c>
      <c r="FC378" s="60" t="n">
        <f aca="false">$K$27/DI378*(ET378-1)-EV378-EU378*(2*DB378/DH378-$K$27/DI378)</f>
        <v>0.198812070380318</v>
      </c>
      <c r="FD378" s="60" t="n">
        <f aca="false">$L$27/DI378*(ET378-1)-EV378-EU378*(2*DC378/DH378-$L$27/DI378)</f>
        <v>0.198812070380318</v>
      </c>
      <c r="FE378" s="60" t="n">
        <f aca="false">$M$27/DI378*(ET378-1)-EV378-EU378*(2*DD378/DH378-$M$27/DI378)</f>
        <v>0.198812070380318</v>
      </c>
      <c r="FF378" s="60" t="n">
        <f aca="false">$N$27/DI378*(ET378-1)-EV378-EU378*(2*DE378/DH378-$N$27/DI378)</f>
        <v>0.198812070380318</v>
      </c>
      <c r="FG378" s="60" t="n">
        <f aca="false">$O$27/DI378*(ET378-1)-EV378-EU378*(2*DF378/DH378-$O$27/DI378)</f>
        <v>0.198812070380318</v>
      </c>
      <c r="FH378" s="60" t="n">
        <f aca="false">$P$27/DI378*(ET378-1)-EV378-EU378*(2*DG378/DH378-$P$27/DI378)</f>
        <v>0.198812070380318</v>
      </c>
      <c r="FI378" s="60" t="n">
        <f aca="false">DK378/ET378&gt;$C$22</f>
        <v>0</v>
      </c>
      <c r="FJ378" s="60" t="n">
        <f aca="false">$E$28*SUMPRODUCT($E$31:$P$31,CJ378:CU378,$E$28:$P$28)</f>
        <v>0.184416866619846</v>
      </c>
      <c r="FK378" s="60" t="n">
        <f aca="false">$F$28*SUMPRODUCT($E$32:$P$32,CJ378:CU378,$E$28:$P$28)</f>
        <v>0</v>
      </c>
      <c r="FL378" s="60" t="n">
        <f aca="false">$G$28*SUMPRODUCT($E$33:$P$33,CJ378:CU378,$E$28:$P$28)</f>
        <v>0</v>
      </c>
      <c r="FM378" s="60" t="n">
        <f aca="false">$H$28*SUMPRODUCT($E$34:$P$34,CJ378:CU378,$E$28:$P$28)</f>
        <v>0</v>
      </c>
      <c r="FN378" s="60" t="n">
        <f aca="false">$I$28*SUMPRODUCT($E$35:$P$35,CJ378:CU378,$E$28:$P$28)</f>
        <v>0</v>
      </c>
      <c r="FO378" s="60" t="n">
        <f aca="false">$J$28*SUMPRODUCT($E$36:$P$36,CJ378:CU378,$E$28:$P$28)</f>
        <v>0</v>
      </c>
      <c r="FP378" s="60" t="n">
        <f aca="false">$K$28*SUMPRODUCT($E$37:$P$37,CJ378:CU378,$E$28:$P$28)</f>
        <v>0</v>
      </c>
      <c r="FQ378" s="60" t="n">
        <f aca="false">$L$28*SUMPRODUCT($E$38:$P$38,CJ378:CU378,$E$28:$P$28)</f>
        <v>0</v>
      </c>
      <c r="FR378" s="60" t="n">
        <f aca="false">$M$28*SUMPRODUCT($E$39:$P$39,CJ378:CU378,$E$28:$P$28)</f>
        <v>0</v>
      </c>
      <c r="FS378" s="60" t="n">
        <f aca="false">$N$28*SUMPRODUCT($E$40:$P$40,CJ378:CU378,$E$28:$P$28)</f>
        <v>0</v>
      </c>
      <c r="FT378" s="60" t="n">
        <f aca="false">$O$28*SUMPRODUCT($E$41:$P$41,CJ378:CU378,$E$28:$P$28)</f>
        <v>0</v>
      </c>
      <c r="FU378" s="60" t="n">
        <f aca="false">$P$28*SUMPRODUCT($E$42:$P$42,CJ378:CU378,$E$28:$P$28)</f>
        <v>0</v>
      </c>
      <c r="FV378" s="60" t="n">
        <f aca="false">SUMPRODUCT(CJ378:CU378,FJ378:FU378)</f>
        <v>0.184416866619846</v>
      </c>
      <c r="FW378" s="60" t="n">
        <f aca="false">SUMPRODUCT(CJ378:CU378,$E$27:$P$27)</f>
        <v>2.67389635063809E-005</v>
      </c>
      <c r="FX378" s="60" t="n">
        <f aca="false">FV378*$C$9/($C$10*$C$8)^2</f>
        <v>0.21776909410545</v>
      </c>
      <c r="FY378" s="60" t="n">
        <f aca="false">FW378*$C$9/($C$10*$C$8)</f>
        <v>0.0918845243259994</v>
      </c>
      <c r="FZ378" s="60" t="n">
        <f aca="false">CHOOSE($C$7,-(1+FY378),-1,-(1-FY378))</f>
        <v>-0.908115475674001</v>
      </c>
      <c r="GA378" s="60" t="n">
        <f aca="false">CHOOSE($C$7,FX378,FX378-FY378-FY378^2,FX378-3*FY378^2-2*FY378)</f>
        <v>0.00867174802160559</v>
      </c>
      <c r="GB378" s="60" t="n">
        <f aca="false">CHOOSE($C$7,-FX378*FY378,-FX378*FY378,-(FX378*FY378-FY378^2-FY378^3))</f>
        <v>-0.0107910842936637</v>
      </c>
      <c r="GC378" s="60" t="n">
        <f aca="false">GA378-FZ378^2/3</f>
        <v>-0.266219491031267</v>
      </c>
      <c r="GD378" s="60" t="n">
        <f aca="false">2*FZ378^3/27-FZ378*GA378/3+GB378</f>
        <v>-0.0636400988362784</v>
      </c>
      <c r="GE378" s="60" t="n">
        <f aca="false">GD378^2/4+GC378^3/27</f>
        <v>0.000313710901361829</v>
      </c>
      <c r="GF378" s="60" t="n">
        <f aca="false">-GD378/2-IF(GD378&gt;=0,1,-1)*SQRT(MAX(GE378,0))</f>
        <v>0.0495319352963236</v>
      </c>
      <c r="GG378" s="60" t="n">
        <f aca="false">SIGN(GF378)*ABS(GF378)^(1/3)</f>
        <v>0.367249967174439</v>
      </c>
      <c r="GH378" s="60" t="n">
        <f aca="false">IF(GG378=0,0,GG378-GC378/(3*GG378))</f>
        <v>0.60888329127384</v>
      </c>
      <c r="GI378" s="60" t="n">
        <f aca="false">2*SQRT(MAX(-GC378,0)/3)</f>
        <v>0.595784626668918</v>
      </c>
      <c r="GJ378" s="60" t="n">
        <f aca="false">ACOS(IF(GI378=0,0,MAX(-1,MIN(1,3*GD378/(GC378*GI378)))))</f>
        <v>0</v>
      </c>
      <c r="GK378" s="60" t="n">
        <f aca="false">GI378*COS(GJ378/3)</f>
        <v>0.595784626668918</v>
      </c>
      <c r="GL378" s="60" t="n">
        <f aca="false">IF(GE378&lt;0,GK378,GH378)-FZ378/3</f>
        <v>0.91158844983184</v>
      </c>
      <c r="GM378" s="60" t="n">
        <f aca="false">IFERROR((((GL378+FZ378)*GL378+GA378)*GL378+GB378)/((3*GL378+2*FZ378)*GL378+GA378),0)</f>
        <v>0</v>
      </c>
      <c r="GN378" s="60" t="n">
        <f aca="false">IF(ABS(GM378)&lt;0.1*ABS(GL378),GL378-GM378,GL378)</f>
        <v>0.91158844983184</v>
      </c>
      <c r="GO378" s="60" t="n">
        <f aca="false">IFERROR((((GN378+FZ378)*GN378+GA378)*GN378+GB378)/((3*GN378+2*FZ378)*GN378+GA378),0)</f>
        <v>0</v>
      </c>
      <c r="GP378" s="60" t="n">
        <f aca="false">IF(ABS(GO378)&lt;0.1*ABS(GN378),GN378-GO378,GN378)</f>
        <v>0.91158844983184</v>
      </c>
      <c r="GQ378" s="60" t="n">
        <f aca="false">-GB378/GP378</f>
        <v>0.0118376711504565</v>
      </c>
      <c r="GR378" s="60" t="n">
        <f aca="false">(GA378-GQ378)/GP378</f>
        <v>-0.00347297415783941</v>
      </c>
      <c r="GS378" s="60" t="n">
        <f aca="false">GR378^2-4*GQ378</f>
        <v>-0.0473386230523248</v>
      </c>
      <c r="GT378" s="60" t="n">
        <f aca="false">IF(GS378&gt;=0,(GR378+IF(GR378&gt;=0,1,-1)*SQRT(GS378))/2,0)</f>
        <v>0</v>
      </c>
      <c r="GU378" s="60" t="n">
        <f aca="false">IF(AND(GS378&gt;=0,GT378&lt;&gt;0),MIN(GT378,GQ378/GT378),-1)</f>
        <v>-1</v>
      </c>
      <c r="GV378" s="60" t="n">
        <f aca="false">AND(GS378&gt;=0,GU378&gt;FY378,ABS(GP378-GU378)&gt;=0.00005*MAX(GP378,GU378))</f>
        <v>0</v>
      </c>
      <c r="GW378" s="60" t="n">
        <f aca="false">IF(GV378,IFERROR((((GU378+FZ378)*GU378+GA378)*GU378+GB378)/((3*GU378+2*FZ378)*GU378+GA378),0),0)</f>
        <v>0</v>
      </c>
      <c r="GX378" s="60" t="n">
        <f aca="false">IF(ABS(GW378)&lt;0.1*ABS(GU378),GU378-GW378,GU378)</f>
        <v>-1</v>
      </c>
      <c r="GY378" s="60" t="n">
        <f aca="false">IF(GV378,IFERROR((((GX378+FZ378)*GX378+GA378)*GX378+GB378)/((3*GX378+2*FZ378)*GX378+GA378),0),0)</f>
        <v>0</v>
      </c>
      <c r="GZ378" s="60" t="n">
        <f aca="false">IF(ABS(GY378)&lt;0.1*ABS(GX378),GX378-GY378,GX378)</f>
        <v>-1</v>
      </c>
      <c r="HA378" s="60" t="n">
        <f aca="false">IF(GV378,MAX(GP378,GZ378),GP378)</f>
        <v>0.91158844983184</v>
      </c>
      <c r="HB378" s="60" t="n">
        <f aca="false">IF(GV378,MIN(GP378,GZ378),-1)</f>
        <v>-1</v>
      </c>
      <c r="HC378" s="60" t="n">
        <f aca="false">CHOOSE($C$7,FX378/HA378,FX378/FY378*LN(1+FY378/HA378),FX378/(2*SQRT(2)*FY378)*LN((HA378+(1+SQRT(2))*FY378)/(HA378+(1-SQRT(2))*FY378)))</f>
        <v>0.218240791233887</v>
      </c>
      <c r="HD378" s="60" t="n">
        <f aca="false">HA378-1-LN(HA378-FY378)-HC378</f>
        <v>-0.107840271021729</v>
      </c>
      <c r="HE378" s="60" t="n">
        <f aca="false">IF(GV378,CHOOSE($C$7,FX378/HB378,FX378/FY378*LN(1+FY378/HB378),FX378/(2*SQRT(2)*FY378)*LN((HB378+(1+SQRT(2))*FY378)/(HB378+(1-SQRT(2))*FY378))),0)</f>
        <v>0</v>
      </c>
      <c r="HF378" s="60" t="n">
        <f aca="false">IF(GV378,HB378-1-LN(HB378-FY378)-HE378,0)</f>
        <v>0</v>
      </c>
      <c r="HG378" s="60" t="n">
        <f aca="false">AND(GV378,HF378&lt;HD378)</f>
        <v>0</v>
      </c>
      <c r="HH378" s="60" t="n">
        <f aca="false">IF(HG378,HB378,HA378)</f>
        <v>0.91158844983184</v>
      </c>
      <c r="HI378" s="60" t="n">
        <f aca="false">IF(HG378,HE378,HC378)</f>
        <v>0.218240791233887</v>
      </c>
      <c r="HJ378" s="60" t="n">
        <f aca="false">LN(HH378-FY378)</f>
        <v>-0.198812070380318</v>
      </c>
      <c r="HK378" s="60" t="n">
        <f aca="false">$E$27/FW378*(HH378-1)-HJ378-HI378*(2*FJ378/FV378-$E$27/FW378)</f>
        <v>-0.107840271021729</v>
      </c>
      <c r="HL378" s="60" t="n">
        <f aca="false">$F$27/FW378*(HH378-1)-HJ378-HI378*(2*FK378/FV378-$F$27/FW378)</f>
        <v>0.198812070380318</v>
      </c>
      <c r="HM378" s="60" t="n">
        <f aca="false">$G$27/FW378*(HH378-1)-HJ378-HI378*(2*FL378/FV378-$G$27/FW378)</f>
        <v>0.198812070380318</v>
      </c>
      <c r="HN378" s="60" t="n">
        <f aca="false">$H$27/FW378*(HH378-1)-HJ378-HI378*(2*FM378/FV378-$H$27/FW378)</f>
        <v>0.198812070380318</v>
      </c>
      <c r="HO378" s="60" t="n">
        <f aca="false">$I$27/FW378*(HH378-1)-HJ378-HI378*(2*FN378/FV378-$I$27/FW378)</f>
        <v>0.198812070380318</v>
      </c>
      <c r="HP378" s="60" t="n">
        <f aca="false">$J$27/FW378*(HH378-1)-HJ378-HI378*(2*FO378/FV378-$J$27/FW378)</f>
        <v>0.198812070380318</v>
      </c>
      <c r="HQ378" s="60" t="n">
        <f aca="false">$K$27/FW378*(HH378-1)-HJ378-HI378*(2*FP378/FV378-$K$27/FW378)</f>
        <v>0.198812070380318</v>
      </c>
      <c r="HR378" s="60" t="n">
        <f aca="false">$L$27/FW378*(HH378-1)-HJ378-HI378*(2*FQ378/FV378-$L$27/FW378)</f>
        <v>0.198812070380318</v>
      </c>
      <c r="HS378" s="60" t="n">
        <f aca="false">$M$27/FW378*(HH378-1)-HJ378-HI378*(2*FR378/FV378-$M$27/FW378)</f>
        <v>0.198812070380318</v>
      </c>
      <c r="HT378" s="60" t="n">
        <f aca="false">$N$27/FW378*(HH378-1)-HJ378-HI378*(2*FS378/FV378-$N$27/FW378)</f>
        <v>0.198812070380318</v>
      </c>
      <c r="HU378" s="60" t="n">
        <f aca="false">$O$27/FW378*(HH378-1)-HJ378-HI378*(2*FT378/FV378-$O$27/FW378)</f>
        <v>0.198812070380318</v>
      </c>
      <c r="HV378" s="60" t="n">
        <f aca="false">$P$27/FW378*(HH378-1)-HJ378-HI378*(2*FU378/FV378-$P$27/FW378)</f>
        <v>0.198812070380318</v>
      </c>
      <c r="HW378" s="60" t="n">
        <f aca="false">FY378/HH378&gt;$C$22</f>
        <v>0</v>
      </c>
      <c r="HX378" s="60" t="n">
        <f aca="false">IF($E$13&gt;0,MAX(-300,MIN(300,EW378-HK378)),0)</f>
        <v>0</v>
      </c>
      <c r="HY378" s="60" t="n">
        <f aca="false">IF($F$13&gt;0,MAX(-300,MIN(300,EX378-HL378)),0)</f>
        <v>0</v>
      </c>
      <c r="HZ378" s="60" t="n">
        <f aca="false">IF($G$13&gt;0,MAX(-300,MIN(300,EY378-HM378)),0)</f>
        <v>0</v>
      </c>
      <c r="IA378" s="60" t="n">
        <f aca="false">IF($H$13&gt;0,MAX(-300,MIN(300,EZ378-HN378)),0)</f>
        <v>0</v>
      </c>
      <c r="IB378" s="60" t="n">
        <f aca="false">IF($I$13&gt;0,MAX(-300,MIN(300,FA378-HO378)),0)</f>
        <v>0</v>
      </c>
      <c r="IC378" s="60" t="n">
        <f aca="false">IF($J$13&gt;0,MAX(-300,MIN(300,FB378-HP378)),0)</f>
        <v>0</v>
      </c>
      <c r="ID378" s="60" t="n">
        <f aca="false">IF($K$13&gt;0,MAX(-300,MIN(300,FC378-HQ378)),0)</f>
        <v>0</v>
      </c>
      <c r="IE378" s="60" t="n">
        <f aca="false">IF($L$13&gt;0,MAX(-300,MIN(300,FD378-HR378)),0)</f>
        <v>0</v>
      </c>
      <c r="IF378" s="60" t="n">
        <f aca="false">IF($M$13&gt;0,MAX(-300,MIN(300,FE378-HS378)),0)</f>
        <v>0</v>
      </c>
      <c r="IG378" s="60" t="n">
        <f aca="false">IF($N$13&gt;0,MAX(-300,MIN(300,FF378-HT378)),0)</f>
        <v>0</v>
      </c>
      <c r="IH378" s="60" t="n">
        <f aca="false">IF($O$13&gt;0,MAX(-300,MIN(300,FG378-HU378)),0)</f>
        <v>0</v>
      </c>
      <c r="II378" s="60" t="n">
        <f aca="false">IF($P$13&gt;0,MAX(-300,MIN(300,FH378-HV378)),0)</f>
        <v>0</v>
      </c>
      <c r="IJ378" s="60" t="n">
        <f aca="false">SUMXMY2(HX378:II378,B378:M378)</f>
        <v>0</v>
      </c>
      <c r="IK378" s="60" t="n">
        <f aca="false">SUMSQ(B378:M378)</f>
        <v>0</v>
      </c>
    </row>
    <row r="379" customFormat="false" ht="15" hidden="false" customHeight="false" outlineLevel="0" collapsed="false">
      <c r="A379" s="59" t="n">
        <v>18</v>
      </c>
      <c r="B379" s="60" t="n">
        <f aca="false">HX378</f>
        <v>0</v>
      </c>
      <c r="C379" s="60" t="n">
        <f aca="false">HY378</f>
        <v>0</v>
      </c>
      <c r="D379" s="60" t="n">
        <f aca="false">HZ378</f>
        <v>0</v>
      </c>
      <c r="E379" s="60" t="n">
        <f aca="false">IA378</f>
        <v>0</v>
      </c>
      <c r="F379" s="60" t="n">
        <f aca="false">IB378</f>
        <v>0</v>
      </c>
      <c r="G379" s="60" t="n">
        <f aca="false">IC378</f>
        <v>0</v>
      </c>
      <c r="H379" s="60" t="n">
        <f aca="false">ID378</f>
        <v>0</v>
      </c>
      <c r="I379" s="60" t="n">
        <f aca="false">IE378</f>
        <v>0</v>
      </c>
      <c r="J379" s="60" t="n">
        <f aca="false">IF378</f>
        <v>0</v>
      </c>
      <c r="K379" s="60" t="n">
        <f aca="false">IG378</f>
        <v>0</v>
      </c>
      <c r="L379" s="60" t="n">
        <f aca="false">IH378</f>
        <v>0</v>
      </c>
      <c r="M379" s="60" t="n">
        <f aca="false">II378</f>
        <v>0</v>
      </c>
      <c r="N379" s="60" t="n">
        <f aca="false">EXP(B379)</f>
        <v>1</v>
      </c>
      <c r="O379" s="60" t="n">
        <f aca="false">EXP(C379)</f>
        <v>1</v>
      </c>
      <c r="P379" s="60" t="n">
        <f aca="false">EXP(D379)</f>
        <v>1</v>
      </c>
      <c r="Q379" s="60" t="n">
        <f aca="false">EXP(E379)</f>
        <v>1</v>
      </c>
      <c r="R379" s="60" t="n">
        <f aca="false">EXP(F379)</f>
        <v>1</v>
      </c>
      <c r="S379" s="60" t="n">
        <f aca="false">EXP(G379)</f>
        <v>1</v>
      </c>
      <c r="T379" s="60" t="n">
        <f aca="false">EXP(H379)</f>
        <v>1</v>
      </c>
      <c r="U379" s="60" t="n">
        <f aca="false">EXP(I379)</f>
        <v>1</v>
      </c>
      <c r="V379" s="60" t="n">
        <f aca="false">EXP(J379)</f>
        <v>1</v>
      </c>
      <c r="W379" s="60" t="n">
        <f aca="false">EXP(K379)</f>
        <v>1</v>
      </c>
      <c r="X379" s="60" t="n">
        <f aca="false">EXP(L379)</f>
        <v>1</v>
      </c>
      <c r="Y379" s="60" t="n">
        <f aca="false">EXP(M379)</f>
        <v>1</v>
      </c>
      <c r="Z379" s="60" t="n">
        <f aca="false">MAX(N379:Y379)</f>
        <v>1</v>
      </c>
      <c r="AA379" s="60" t="n">
        <f aca="false">MIN(N379:Y379)</f>
        <v>1</v>
      </c>
      <c r="AB379" s="60" t="n">
        <f aca="false">AND(Z379&gt;1,AA379&lt;1)</f>
        <v>0</v>
      </c>
      <c r="AC379" s="60" t="n">
        <f aca="false">IF(AB379,1/(1-Z379),0)</f>
        <v>0</v>
      </c>
      <c r="AD379" s="60" t="n">
        <f aca="false">IF(AB379,1/(1-AA379),1)</f>
        <v>1</v>
      </c>
      <c r="AE379" s="60" t="n">
        <f aca="false">IF(AB379,MIN(MAX(BI378,AC379+0.000000001*(AD379-AC379)),AD379-0.000000001*(AD379-AC379)),IF(AA379&gt;=1,1,0))</f>
        <v>1</v>
      </c>
      <c r="AF379" s="60" t="n">
        <f aca="false">SUMPRODUCT($E$13:$P$13*(N379:Y379-1)/(1+AE379*(N379:Y379-1)))</f>
        <v>0</v>
      </c>
      <c r="AG379" s="60" t="n">
        <f aca="false">-SUMPRODUCT($E$13:$P$13*(N379:Y379-1)^2/(1+AE379*(N379:Y379-1))^2)</f>
        <v>-0</v>
      </c>
      <c r="AH379" s="60" t="n">
        <f aca="false">IF(OR(NOT(AB379),AG379=0),AE379,IF(AE379-AF379/AG379&lt;=AC379,(AE379+AC379)/2,IF(AE379-AF379/AG379&gt;=AD379,(AE379+AD379)/2,AE379-AF379/AG379)))</f>
        <v>1</v>
      </c>
      <c r="AI379" s="60" t="n">
        <f aca="false">SUMPRODUCT($E$13:$P$13*(N379:Y379-1)/(1+AH379*(N379:Y379-1)))</f>
        <v>0</v>
      </c>
      <c r="AJ379" s="60" t="n">
        <f aca="false">-SUMPRODUCT($E$13:$P$13*(N379:Y379-1)^2/(1+AH379*(N379:Y379-1))^2)</f>
        <v>-0</v>
      </c>
      <c r="AK379" s="60" t="n">
        <f aca="false">IF(OR(NOT(AB379),AJ379=0),AH379,IF(AH379-AI379/AJ379&lt;=AC379,(AH379+AC379)/2,IF(AH379-AI379/AJ379&gt;=AD379,(AH379+AD379)/2,AH379-AI379/AJ379)))</f>
        <v>1</v>
      </c>
      <c r="AL379" s="60" t="n">
        <f aca="false">SUMPRODUCT($E$13:$P$13*(N379:Y379-1)/(1+AK379*(N379:Y379-1)))</f>
        <v>0</v>
      </c>
      <c r="AM379" s="60" t="n">
        <f aca="false">-SUMPRODUCT($E$13:$P$13*(N379:Y379-1)^2/(1+AK379*(N379:Y379-1))^2)</f>
        <v>-0</v>
      </c>
      <c r="AN379" s="60" t="n">
        <f aca="false">IF(OR(NOT(AB379),AM379=0),AK379,IF(AK379-AL379/AM379&lt;=AC379,(AK379+AC379)/2,IF(AK379-AL379/AM379&gt;=AD379,(AK379+AD379)/2,AK379-AL379/AM379)))</f>
        <v>1</v>
      </c>
      <c r="AO379" s="60" t="n">
        <f aca="false">SUMPRODUCT($E$13:$P$13*(N379:Y379-1)/(1+AN379*(N379:Y379-1)))</f>
        <v>0</v>
      </c>
      <c r="AP379" s="60" t="n">
        <f aca="false">-SUMPRODUCT($E$13:$P$13*(N379:Y379-1)^2/(1+AN379*(N379:Y379-1))^2)</f>
        <v>-0</v>
      </c>
      <c r="AQ379" s="60" t="n">
        <f aca="false">IF(OR(NOT(AB379),AP379=0),AN379,IF(AN379-AO379/AP379&lt;=AC379,(AN379+AC379)/2,IF(AN379-AO379/AP379&gt;=AD379,(AN379+AD379)/2,AN379-AO379/AP379)))</f>
        <v>1</v>
      </c>
      <c r="AR379" s="60" t="n">
        <f aca="false">SUMPRODUCT($E$13:$P$13*(N379:Y379-1)/(1+AQ379*(N379:Y379-1)))</f>
        <v>0</v>
      </c>
      <c r="AS379" s="60" t="n">
        <f aca="false">-SUMPRODUCT($E$13:$P$13*(N379:Y379-1)^2/(1+AQ379*(N379:Y379-1))^2)</f>
        <v>-0</v>
      </c>
      <c r="AT379" s="60" t="n">
        <f aca="false">IF(OR(NOT(AB379),AS379=0),AQ379,IF(AQ379-AR379/AS379&lt;=AC379,(AQ379+AC379)/2,IF(AQ379-AR379/AS379&gt;=AD379,(AQ379+AD379)/2,AQ379-AR379/AS379)))</f>
        <v>1</v>
      </c>
      <c r="AU379" s="60" t="n">
        <f aca="false">SUMPRODUCT($E$13:$P$13*(N379:Y379-1)/(1+AT379*(N379:Y379-1)))</f>
        <v>0</v>
      </c>
      <c r="AV379" s="60" t="n">
        <f aca="false">-SUMPRODUCT($E$13:$P$13*(N379:Y379-1)^2/(1+AT379*(N379:Y379-1))^2)</f>
        <v>-0</v>
      </c>
      <c r="AW379" s="60" t="n">
        <f aca="false">IF(OR(NOT(AB379),AV379=0),AT379,IF(AT379-AU379/AV379&lt;=AC379,(AT379+AC379)/2,IF(AT379-AU379/AV379&gt;=AD379,(AT379+AD379)/2,AT379-AU379/AV379)))</f>
        <v>1</v>
      </c>
      <c r="AX379" s="60" t="n">
        <f aca="false">SUMPRODUCT($E$13:$P$13*(N379:Y379-1)/(1+AW379*(N379:Y379-1)))</f>
        <v>0</v>
      </c>
      <c r="AY379" s="60" t="n">
        <f aca="false">-SUMPRODUCT($E$13:$P$13*(N379:Y379-1)^2/(1+AW379*(N379:Y379-1))^2)</f>
        <v>-0</v>
      </c>
      <c r="AZ379" s="60" t="n">
        <f aca="false">IF(OR(NOT(AB379),AY379=0),AW379,IF(AW379-AX379/AY379&lt;=AC379,(AW379+AC379)/2,IF(AW379-AX379/AY379&gt;=AD379,(AW379+AD379)/2,AW379-AX379/AY379)))</f>
        <v>1</v>
      </c>
      <c r="BA379" s="60" t="n">
        <f aca="false">SUMPRODUCT($E$13:$P$13*(N379:Y379-1)/(1+AZ379*(N379:Y379-1)))</f>
        <v>0</v>
      </c>
      <c r="BB379" s="60" t="n">
        <f aca="false">-SUMPRODUCT($E$13:$P$13*(N379:Y379-1)^2/(1+AZ379*(N379:Y379-1))^2)</f>
        <v>-0</v>
      </c>
      <c r="BC379" s="60" t="n">
        <f aca="false">IF(OR(NOT(AB379),BB379=0),AZ379,IF(AZ379-BA379/BB379&lt;=AC379,(AZ379+AC379)/2,IF(AZ379-BA379/BB379&gt;=AD379,(AZ379+AD379)/2,AZ379-BA379/BB379)))</f>
        <v>1</v>
      </c>
      <c r="BD379" s="60" t="n">
        <f aca="false">SUMPRODUCT($E$13:$P$13*(N379:Y379-1)/(1+BC379*(N379:Y379-1)))</f>
        <v>0</v>
      </c>
      <c r="BE379" s="60" t="n">
        <f aca="false">-SUMPRODUCT($E$13:$P$13*(N379:Y379-1)^2/(1+BC379*(N379:Y379-1))^2)</f>
        <v>-0</v>
      </c>
      <c r="BF379" s="60" t="n">
        <f aca="false">IF(OR(NOT(AB379),BE379=0),BC379,IF(BC379-BD379/BE379&lt;=AC379,(BC379+AC379)/2,IF(BC379-BD379/BE379&gt;=AD379,(BC379+AD379)/2,BC379-BD379/BE379)))</f>
        <v>1</v>
      </c>
      <c r="BG379" s="60" t="n">
        <f aca="false">SUMPRODUCT($E$13:$P$13*(N379:Y379-1)/(1+BF379*(N379:Y379-1)))</f>
        <v>0</v>
      </c>
      <c r="BH379" s="60" t="n">
        <f aca="false">-SUMPRODUCT($E$13:$P$13*(N379:Y379-1)^2/(1+BF379*(N379:Y379-1))^2)</f>
        <v>-0</v>
      </c>
      <c r="BI379" s="60" t="n">
        <f aca="false">IF(OR(NOT(AB379),BH379=0),BF379,IF(BF379-BG379/BH379&lt;=AC379,(BF379+AC379)/2,IF(BF379-BG379/BH379&gt;=AD379,(BF379+AD379)/2,BF379-BG379/BH379)))</f>
        <v>1</v>
      </c>
      <c r="BJ379" s="60" t="n">
        <f aca="false">$E$13/(1+BI379*(N379-1))</f>
        <v>1</v>
      </c>
      <c r="BK379" s="60" t="n">
        <f aca="false">$F$13/(1+BI379*(O379-1))</f>
        <v>0</v>
      </c>
      <c r="BL379" s="60" t="n">
        <f aca="false">$G$13/(1+BI379*(P379-1))</f>
        <v>0</v>
      </c>
      <c r="BM379" s="60" t="n">
        <f aca="false">$H$13/(1+BI379*(Q379-1))</f>
        <v>0</v>
      </c>
      <c r="BN379" s="60" t="n">
        <f aca="false">$I$13/(1+BI379*(R379-1))</f>
        <v>0</v>
      </c>
      <c r="BO379" s="60" t="n">
        <f aca="false">$J$13/(1+BI379*(S379-1))</f>
        <v>0</v>
      </c>
      <c r="BP379" s="60" t="n">
        <f aca="false">$K$13/(1+BI379*(T379-1))</f>
        <v>0</v>
      </c>
      <c r="BQ379" s="60" t="n">
        <f aca="false">$L$13/(1+BI379*(U379-1))</f>
        <v>0</v>
      </c>
      <c r="BR379" s="60" t="n">
        <f aca="false">$M$13/(1+BI379*(V379-1))</f>
        <v>0</v>
      </c>
      <c r="BS379" s="60" t="n">
        <f aca="false">$N$13/(1+BI379*(W379-1))</f>
        <v>0</v>
      </c>
      <c r="BT379" s="60" t="n">
        <f aca="false">$O$13/(1+BI379*(X379-1))</f>
        <v>0</v>
      </c>
      <c r="BU379" s="60" t="n">
        <f aca="false">$P$13/(1+BI379*(Y379-1))</f>
        <v>0</v>
      </c>
      <c r="BV379" s="60" t="n">
        <f aca="false">SUM(BJ379:BU379)</f>
        <v>1</v>
      </c>
      <c r="BW379" s="60" t="n">
        <f aca="false">SUMPRODUCT(N379:Y379,BJ379:BU379)</f>
        <v>1</v>
      </c>
      <c r="BX379" s="60" t="n">
        <f aca="false">BJ379/BV379</f>
        <v>1</v>
      </c>
      <c r="BY379" s="60" t="n">
        <f aca="false">BK379/BV379</f>
        <v>0</v>
      </c>
      <c r="BZ379" s="60" t="n">
        <f aca="false">BL379/BV379</f>
        <v>0</v>
      </c>
      <c r="CA379" s="60" t="n">
        <f aca="false">BM379/BV379</f>
        <v>0</v>
      </c>
      <c r="CB379" s="60" t="n">
        <f aca="false">BN379/BV379</f>
        <v>0</v>
      </c>
      <c r="CC379" s="60" t="n">
        <f aca="false">BO379/BV379</f>
        <v>0</v>
      </c>
      <c r="CD379" s="60" t="n">
        <f aca="false">BP379/BV379</f>
        <v>0</v>
      </c>
      <c r="CE379" s="60" t="n">
        <f aca="false">BQ379/BV379</f>
        <v>0</v>
      </c>
      <c r="CF379" s="60" t="n">
        <f aca="false">BR379/BV379</f>
        <v>0</v>
      </c>
      <c r="CG379" s="60" t="n">
        <f aca="false">BS379/BV379</f>
        <v>0</v>
      </c>
      <c r="CH379" s="60" t="n">
        <f aca="false">BT379/BV379</f>
        <v>0</v>
      </c>
      <c r="CI379" s="60" t="n">
        <f aca="false">BU379/BV379</f>
        <v>0</v>
      </c>
      <c r="CJ379" s="60" t="n">
        <f aca="false">N379*BJ379/BW379</f>
        <v>1</v>
      </c>
      <c r="CK379" s="60" t="n">
        <f aca="false">O379*BK379/BW379</f>
        <v>0</v>
      </c>
      <c r="CL379" s="60" t="n">
        <f aca="false">P379*BL379/BW379</f>
        <v>0</v>
      </c>
      <c r="CM379" s="60" t="n">
        <f aca="false">Q379*BM379/BW379</f>
        <v>0</v>
      </c>
      <c r="CN379" s="60" t="n">
        <f aca="false">R379*BN379/BW379</f>
        <v>0</v>
      </c>
      <c r="CO379" s="60" t="n">
        <f aca="false">S379*BO379/BW379</f>
        <v>0</v>
      </c>
      <c r="CP379" s="60" t="n">
        <f aca="false">T379*BP379/BW379</f>
        <v>0</v>
      </c>
      <c r="CQ379" s="60" t="n">
        <f aca="false">U379*BQ379/BW379</f>
        <v>0</v>
      </c>
      <c r="CR379" s="60" t="n">
        <f aca="false">V379*BR379/BW379</f>
        <v>0</v>
      </c>
      <c r="CS379" s="60" t="n">
        <f aca="false">W379*BS379/BW379</f>
        <v>0</v>
      </c>
      <c r="CT379" s="60" t="n">
        <f aca="false">X379*BT379/BW379</f>
        <v>0</v>
      </c>
      <c r="CU379" s="60" t="n">
        <f aca="false">Y379*BU379/BW379</f>
        <v>0</v>
      </c>
      <c r="CV379" s="60" t="n">
        <f aca="false">$E$28*SUMPRODUCT($E$31:$P$31,BX379:CI379,$E$28:$P$28)</f>
        <v>0.184416866619846</v>
      </c>
      <c r="CW379" s="60" t="n">
        <f aca="false">$F$28*SUMPRODUCT($E$32:$P$32,BX379:CI379,$E$28:$P$28)</f>
        <v>0</v>
      </c>
      <c r="CX379" s="60" t="n">
        <f aca="false">$G$28*SUMPRODUCT($E$33:$P$33,BX379:CI379,$E$28:$P$28)</f>
        <v>0</v>
      </c>
      <c r="CY379" s="60" t="n">
        <f aca="false">$H$28*SUMPRODUCT($E$34:$P$34,BX379:CI379,$E$28:$P$28)</f>
        <v>0</v>
      </c>
      <c r="CZ379" s="60" t="n">
        <f aca="false">$I$28*SUMPRODUCT($E$35:$P$35,BX379:CI379,$E$28:$P$28)</f>
        <v>0</v>
      </c>
      <c r="DA379" s="60" t="n">
        <f aca="false">$J$28*SUMPRODUCT($E$36:$P$36,BX379:CI379,$E$28:$P$28)</f>
        <v>0</v>
      </c>
      <c r="DB379" s="60" t="n">
        <f aca="false">$K$28*SUMPRODUCT($E$37:$P$37,BX379:CI379,$E$28:$P$28)</f>
        <v>0</v>
      </c>
      <c r="DC379" s="60" t="n">
        <f aca="false">$L$28*SUMPRODUCT($E$38:$P$38,BX379:CI379,$E$28:$P$28)</f>
        <v>0</v>
      </c>
      <c r="DD379" s="60" t="n">
        <f aca="false">$M$28*SUMPRODUCT($E$39:$P$39,BX379:CI379,$E$28:$P$28)</f>
        <v>0</v>
      </c>
      <c r="DE379" s="60" t="n">
        <f aca="false">$N$28*SUMPRODUCT($E$40:$P$40,BX379:CI379,$E$28:$P$28)</f>
        <v>0</v>
      </c>
      <c r="DF379" s="60" t="n">
        <f aca="false">$O$28*SUMPRODUCT($E$41:$P$41,BX379:CI379,$E$28:$P$28)</f>
        <v>0</v>
      </c>
      <c r="DG379" s="60" t="n">
        <f aca="false">$P$28*SUMPRODUCT($E$42:$P$42,BX379:CI379,$E$28:$P$28)</f>
        <v>0</v>
      </c>
      <c r="DH379" s="60" t="n">
        <f aca="false">SUMPRODUCT(BX379:CI379,CV379:DG379)</f>
        <v>0.184416866619846</v>
      </c>
      <c r="DI379" s="60" t="n">
        <f aca="false">SUMPRODUCT(BX379:CI379,$E$27:$P$27)</f>
        <v>2.67389635063809E-005</v>
      </c>
      <c r="DJ379" s="60" t="n">
        <f aca="false">DH379*$C$9/($C$10*$C$8)^2</f>
        <v>0.21776909410545</v>
      </c>
      <c r="DK379" s="60" t="n">
        <f aca="false">DI379*$C$9/($C$10*$C$8)</f>
        <v>0.0918845243259994</v>
      </c>
      <c r="DL379" s="60" t="n">
        <f aca="false">CHOOSE($C$7,-(1+DK379),-1,-(1-DK379))</f>
        <v>-0.908115475674001</v>
      </c>
      <c r="DM379" s="60" t="n">
        <f aca="false">CHOOSE($C$7,DJ379,DJ379-DK379-DK379^2,DJ379-3*DK379^2-2*DK379)</f>
        <v>0.00867174802160559</v>
      </c>
      <c r="DN379" s="60" t="n">
        <f aca="false">CHOOSE($C$7,-DJ379*DK379,-DJ379*DK379,-(DJ379*DK379-DK379^2-DK379^3))</f>
        <v>-0.0107910842936637</v>
      </c>
      <c r="DO379" s="60" t="n">
        <f aca="false">DM379-DL379^2/3</f>
        <v>-0.266219491031267</v>
      </c>
      <c r="DP379" s="60" t="n">
        <f aca="false">2*DL379^3/27-DL379*DM379/3+DN379</f>
        <v>-0.0636400988362784</v>
      </c>
      <c r="DQ379" s="60" t="n">
        <f aca="false">DP379^2/4+DO379^3/27</f>
        <v>0.000313710901361829</v>
      </c>
      <c r="DR379" s="60" t="n">
        <f aca="false">-DP379/2-IF(DP379&gt;=0,1,-1)*SQRT(MAX(DQ379,0))</f>
        <v>0.0495319352963236</v>
      </c>
      <c r="DS379" s="60" t="n">
        <f aca="false">SIGN(DR379)*ABS(DR379)^(1/3)</f>
        <v>0.367249967174439</v>
      </c>
      <c r="DT379" s="60" t="n">
        <f aca="false">IF(DS379=0,0,DS379-DO379/(3*DS379))</f>
        <v>0.60888329127384</v>
      </c>
      <c r="DU379" s="60" t="n">
        <f aca="false">2*SQRT(MAX(-DO379,0)/3)</f>
        <v>0.595784626668918</v>
      </c>
      <c r="DV379" s="60" t="n">
        <f aca="false">ACOS(IF(DU379=0,0,MAX(-1,MIN(1,3*DP379/(DO379*DU379)))))</f>
        <v>0</v>
      </c>
      <c r="DW379" s="60" t="n">
        <f aca="false">DU379*COS(DV379/3)</f>
        <v>0.595784626668918</v>
      </c>
      <c r="DX379" s="60" t="n">
        <f aca="false">IF(DQ379&lt;0,DW379,DT379)-DL379/3</f>
        <v>0.91158844983184</v>
      </c>
      <c r="DY379" s="60" t="n">
        <f aca="false">IFERROR((((DX379+DL379)*DX379+DM379)*DX379+DN379)/((3*DX379+2*DL379)*DX379+DM379),0)</f>
        <v>0</v>
      </c>
      <c r="DZ379" s="60" t="n">
        <f aca="false">IF(ABS(DY379)&lt;0.1*ABS(DX379),DX379-DY379,DX379)</f>
        <v>0.91158844983184</v>
      </c>
      <c r="EA379" s="60" t="n">
        <f aca="false">IFERROR((((DZ379+DL379)*DZ379+DM379)*DZ379+DN379)/((3*DZ379+2*DL379)*DZ379+DM379),0)</f>
        <v>0</v>
      </c>
      <c r="EB379" s="60" t="n">
        <f aca="false">IF(ABS(EA379)&lt;0.1*ABS(DZ379),DZ379-EA379,DZ379)</f>
        <v>0.91158844983184</v>
      </c>
      <c r="EC379" s="60" t="n">
        <f aca="false">-DN379/EB379</f>
        <v>0.0118376711504565</v>
      </c>
      <c r="ED379" s="60" t="n">
        <f aca="false">(DM379-EC379)/EB379</f>
        <v>-0.00347297415783941</v>
      </c>
      <c r="EE379" s="60" t="n">
        <f aca="false">ED379^2-4*EC379</f>
        <v>-0.0473386230523248</v>
      </c>
      <c r="EF379" s="60" t="n">
        <f aca="false">IF(EE379&gt;=0,(ED379+IF(ED379&gt;=0,1,-1)*SQRT(EE379))/2,0)</f>
        <v>0</v>
      </c>
      <c r="EG379" s="60" t="n">
        <f aca="false">IF(AND(EE379&gt;=0,EF379&lt;&gt;0),MIN(EF379,EC379/EF379),-1)</f>
        <v>-1</v>
      </c>
      <c r="EH379" s="60" t="n">
        <f aca="false">AND(EE379&gt;=0,EG379&gt;DK379,ABS(EB379-EG379)&gt;=0.00005*MAX(EB379,EG379))</f>
        <v>0</v>
      </c>
      <c r="EI379" s="60" t="n">
        <f aca="false">IF(EH379,IFERROR((((EG379+DL379)*EG379+DM379)*EG379+DN379)/((3*EG379+2*DL379)*EG379+DM379),0),0)</f>
        <v>0</v>
      </c>
      <c r="EJ379" s="60" t="n">
        <f aca="false">IF(ABS(EI379)&lt;0.1*ABS(EG379),EG379-EI379,EG379)</f>
        <v>-1</v>
      </c>
      <c r="EK379" s="60" t="n">
        <f aca="false">IF(EH379,IFERROR((((EJ379+DL379)*EJ379+DM379)*EJ379+DN379)/((3*EJ379+2*DL379)*EJ379+DM379),0),0)</f>
        <v>0</v>
      </c>
      <c r="EL379" s="60" t="n">
        <f aca="false">IF(ABS(EK379)&lt;0.1*ABS(EJ379),EJ379-EK379,EJ379)</f>
        <v>-1</v>
      </c>
      <c r="EM379" s="60" t="n">
        <f aca="false">IF(EH379,MAX(EB379,EL379),EB379)</f>
        <v>0.91158844983184</v>
      </c>
      <c r="EN379" s="60" t="n">
        <f aca="false">IF(EH379,MIN(EB379,EL379),-1)</f>
        <v>-1</v>
      </c>
      <c r="EO379" s="60" t="n">
        <f aca="false">CHOOSE($C$7,DJ379/EM379,DJ379/DK379*LN(1+DK379/EM379),DJ379/(2*SQRT(2)*DK379)*LN((EM379+(1+SQRT(2))*DK379)/(EM379+(1-SQRT(2))*DK379)))</f>
        <v>0.218240791233887</v>
      </c>
      <c r="EP379" s="60" t="n">
        <f aca="false">EM379-1-LN(EM379-DK379)-EO379</f>
        <v>-0.107840271021729</v>
      </c>
      <c r="EQ379" s="60" t="n">
        <f aca="false">IF(EH379,CHOOSE($C$7,DJ379/EN379,DJ379/DK379*LN(1+DK379/EN379),DJ379/(2*SQRT(2)*DK379)*LN((EN379+(1+SQRT(2))*DK379)/(EN379+(1-SQRT(2))*DK379))),0)</f>
        <v>0</v>
      </c>
      <c r="ER379" s="60" t="n">
        <f aca="false">IF(EH379,EN379-1-LN(EN379-DK379)-EQ379,0)</f>
        <v>0</v>
      </c>
      <c r="ES379" s="60" t="n">
        <f aca="false">AND(EH379,ER379&lt;EP379)</f>
        <v>0</v>
      </c>
      <c r="ET379" s="60" t="n">
        <f aca="false">IF(ES379,EN379,EM379)</f>
        <v>0.91158844983184</v>
      </c>
      <c r="EU379" s="60" t="n">
        <f aca="false">IF(ES379,EQ379,EO379)</f>
        <v>0.218240791233887</v>
      </c>
      <c r="EV379" s="60" t="n">
        <f aca="false">LN(ET379-DK379)</f>
        <v>-0.198812070380318</v>
      </c>
      <c r="EW379" s="60" t="n">
        <f aca="false">$E$27/DI379*(ET379-1)-EV379-EU379*(2*CV379/DH379-$E$27/DI379)</f>
        <v>-0.107840271021729</v>
      </c>
      <c r="EX379" s="60" t="n">
        <f aca="false">$F$27/DI379*(ET379-1)-EV379-EU379*(2*CW379/DH379-$F$27/DI379)</f>
        <v>0.198812070380318</v>
      </c>
      <c r="EY379" s="60" t="n">
        <f aca="false">$G$27/DI379*(ET379-1)-EV379-EU379*(2*CX379/DH379-$G$27/DI379)</f>
        <v>0.198812070380318</v>
      </c>
      <c r="EZ379" s="60" t="n">
        <f aca="false">$H$27/DI379*(ET379-1)-EV379-EU379*(2*CY379/DH379-$H$27/DI379)</f>
        <v>0.198812070380318</v>
      </c>
      <c r="FA379" s="60" t="n">
        <f aca="false">$I$27/DI379*(ET379-1)-EV379-EU379*(2*CZ379/DH379-$I$27/DI379)</f>
        <v>0.198812070380318</v>
      </c>
      <c r="FB379" s="60" t="n">
        <f aca="false">$J$27/DI379*(ET379-1)-EV379-EU379*(2*DA379/DH379-$J$27/DI379)</f>
        <v>0.198812070380318</v>
      </c>
      <c r="FC379" s="60" t="n">
        <f aca="false">$K$27/DI379*(ET379-1)-EV379-EU379*(2*DB379/DH379-$K$27/DI379)</f>
        <v>0.198812070380318</v>
      </c>
      <c r="FD379" s="60" t="n">
        <f aca="false">$L$27/DI379*(ET379-1)-EV379-EU379*(2*DC379/DH379-$L$27/DI379)</f>
        <v>0.198812070380318</v>
      </c>
      <c r="FE379" s="60" t="n">
        <f aca="false">$M$27/DI379*(ET379-1)-EV379-EU379*(2*DD379/DH379-$M$27/DI379)</f>
        <v>0.198812070380318</v>
      </c>
      <c r="FF379" s="60" t="n">
        <f aca="false">$N$27/DI379*(ET379-1)-EV379-EU379*(2*DE379/DH379-$N$27/DI379)</f>
        <v>0.198812070380318</v>
      </c>
      <c r="FG379" s="60" t="n">
        <f aca="false">$O$27/DI379*(ET379-1)-EV379-EU379*(2*DF379/DH379-$O$27/DI379)</f>
        <v>0.198812070380318</v>
      </c>
      <c r="FH379" s="60" t="n">
        <f aca="false">$P$27/DI379*(ET379-1)-EV379-EU379*(2*DG379/DH379-$P$27/DI379)</f>
        <v>0.198812070380318</v>
      </c>
      <c r="FI379" s="60" t="n">
        <f aca="false">DK379/ET379&gt;$C$22</f>
        <v>0</v>
      </c>
      <c r="FJ379" s="60" t="n">
        <f aca="false">$E$28*SUMPRODUCT($E$31:$P$31,CJ379:CU379,$E$28:$P$28)</f>
        <v>0.184416866619846</v>
      </c>
      <c r="FK379" s="60" t="n">
        <f aca="false">$F$28*SUMPRODUCT($E$32:$P$32,CJ379:CU379,$E$28:$P$28)</f>
        <v>0</v>
      </c>
      <c r="FL379" s="60" t="n">
        <f aca="false">$G$28*SUMPRODUCT($E$33:$P$33,CJ379:CU379,$E$28:$P$28)</f>
        <v>0</v>
      </c>
      <c r="FM379" s="60" t="n">
        <f aca="false">$H$28*SUMPRODUCT($E$34:$P$34,CJ379:CU379,$E$28:$P$28)</f>
        <v>0</v>
      </c>
      <c r="FN379" s="60" t="n">
        <f aca="false">$I$28*SUMPRODUCT($E$35:$P$35,CJ379:CU379,$E$28:$P$28)</f>
        <v>0</v>
      </c>
      <c r="FO379" s="60" t="n">
        <f aca="false">$J$28*SUMPRODUCT($E$36:$P$36,CJ379:CU379,$E$28:$P$28)</f>
        <v>0</v>
      </c>
      <c r="FP379" s="60" t="n">
        <f aca="false">$K$28*SUMPRODUCT($E$37:$P$37,CJ379:CU379,$E$28:$P$28)</f>
        <v>0</v>
      </c>
      <c r="FQ379" s="60" t="n">
        <f aca="false">$L$28*SUMPRODUCT($E$38:$P$38,CJ379:CU379,$E$28:$P$28)</f>
        <v>0</v>
      </c>
      <c r="FR379" s="60" t="n">
        <f aca="false">$M$28*SUMPRODUCT($E$39:$P$39,CJ379:CU379,$E$28:$P$28)</f>
        <v>0</v>
      </c>
      <c r="FS379" s="60" t="n">
        <f aca="false">$N$28*SUMPRODUCT($E$40:$P$40,CJ379:CU379,$E$28:$P$28)</f>
        <v>0</v>
      </c>
      <c r="FT379" s="60" t="n">
        <f aca="false">$O$28*SUMPRODUCT($E$41:$P$41,CJ379:CU379,$E$28:$P$28)</f>
        <v>0</v>
      </c>
      <c r="FU379" s="60" t="n">
        <f aca="false">$P$28*SUMPRODUCT($E$42:$P$42,CJ379:CU379,$E$28:$P$28)</f>
        <v>0</v>
      </c>
      <c r="FV379" s="60" t="n">
        <f aca="false">SUMPRODUCT(CJ379:CU379,FJ379:FU379)</f>
        <v>0.184416866619846</v>
      </c>
      <c r="FW379" s="60" t="n">
        <f aca="false">SUMPRODUCT(CJ379:CU379,$E$27:$P$27)</f>
        <v>2.67389635063809E-005</v>
      </c>
      <c r="FX379" s="60" t="n">
        <f aca="false">FV379*$C$9/($C$10*$C$8)^2</f>
        <v>0.21776909410545</v>
      </c>
      <c r="FY379" s="60" t="n">
        <f aca="false">FW379*$C$9/($C$10*$C$8)</f>
        <v>0.0918845243259994</v>
      </c>
      <c r="FZ379" s="60" t="n">
        <f aca="false">CHOOSE($C$7,-(1+FY379),-1,-(1-FY379))</f>
        <v>-0.908115475674001</v>
      </c>
      <c r="GA379" s="60" t="n">
        <f aca="false">CHOOSE($C$7,FX379,FX379-FY379-FY379^2,FX379-3*FY379^2-2*FY379)</f>
        <v>0.00867174802160559</v>
      </c>
      <c r="GB379" s="60" t="n">
        <f aca="false">CHOOSE($C$7,-FX379*FY379,-FX379*FY379,-(FX379*FY379-FY379^2-FY379^3))</f>
        <v>-0.0107910842936637</v>
      </c>
      <c r="GC379" s="60" t="n">
        <f aca="false">GA379-FZ379^2/3</f>
        <v>-0.266219491031267</v>
      </c>
      <c r="GD379" s="60" t="n">
        <f aca="false">2*FZ379^3/27-FZ379*GA379/3+GB379</f>
        <v>-0.0636400988362784</v>
      </c>
      <c r="GE379" s="60" t="n">
        <f aca="false">GD379^2/4+GC379^3/27</f>
        <v>0.000313710901361829</v>
      </c>
      <c r="GF379" s="60" t="n">
        <f aca="false">-GD379/2-IF(GD379&gt;=0,1,-1)*SQRT(MAX(GE379,0))</f>
        <v>0.0495319352963236</v>
      </c>
      <c r="GG379" s="60" t="n">
        <f aca="false">SIGN(GF379)*ABS(GF379)^(1/3)</f>
        <v>0.367249967174439</v>
      </c>
      <c r="GH379" s="60" t="n">
        <f aca="false">IF(GG379=0,0,GG379-GC379/(3*GG379))</f>
        <v>0.60888329127384</v>
      </c>
      <c r="GI379" s="60" t="n">
        <f aca="false">2*SQRT(MAX(-GC379,0)/3)</f>
        <v>0.595784626668918</v>
      </c>
      <c r="GJ379" s="60" t="n">
        <f aca="false">ACOS(IF(GI379=0,0,MAX(-1,MIN(1,3*GD379/(GC379*GI379)))))</f>
        <v>0</v>
      </c>
      <c r="GK379" s="60" t="n">
        <f aca="false">GI379*COS(GJ379/3)</f>
        <v>0.595784626668918</v>
      </c>
      <c r="GL379" s="60" t="n">
        <f aca="false">IF(GE379&lt;0,GK379,GH379)-FZ379/3</f>
        <v>0.91158844983184</v>
      </c>
      <c r="GM379" s="60" t="n">
        <f aca="false">IFERROR((((GL379+FZ379)*GL379+GA379)*GL379+GB379)/((3*GL379+2*FZ379)*GL379+GA379),0)</f>
        <v>0</v>
      </c>
      <c r="GN379" s="60" t="n">
        <f aca="false">IF(ABS(GM379)&lt;0.1*ABS(GL379),GL379-GM379,GL379)</f>
        <v>0.91158844983184</v>
      </c>
      <c r="GO379" s="60" t="n">
        <f aca="false">IFERROR((((GN379+FZ379)*GN379+GA379)*GN379+GB379)/((3*GN379+2*FZ379)*GN379+GA379),0)</f>
        <v>0</v>
      </c>
      <c r="GP379" s="60" t="n">
        <f aca="false">IF(ABS(GO379)&lt;0.1*ABS(GN379),GN379-GO379,GN379)</f>
        <v>0.91158844983184</v>
      </c>
      <c r="GQ379" s="60" t="n">
        <f aca="false">-GB379/GP379</f>
        <v>0.0118376711504565</v>
      </c>
      <c r="GR379" s="60" t="n">
        <f aca="false">(GA379-GQ379)/GP379</f>
        <v>-0.00347297415783941</v>
      </c>
      <c r="GS379" s="60" t="n">
        <f aca="false">GR379^2-4*GQ379</f>
        <v>-0.0473386230523248</v>
      </c>
      <c r="GT379" s="60" t="n">
        <f aca="false">IF(GS379&gt;=0,(GR379+IF(GR379&gt;=0,1,-1)*SQRT(GS379))/2,0)</f>
        <v>0</v>
      </c>
      <c r="GU379" s="60" t="n">
        <f aca="false">IF(AND(GS379&gt;=0,GT379&lt;&gt;0),MIN(GT379,GQ379/GT379),-1)</f>
        <v>-1</v>
      </c>
      <c r="GV379" s="60" t="n">
        <f aca="false">AND(GS379&gt;=0,GU379&gt;FY379,ABS(GP379-GU379)&gt;=0.00005*MAX(GP379,GU379))</f>
        <v>0</v>
      </c>
      <c r="GW379" s="60" t="n">
        <f aca="false">IF(GV379,IFERROR((((GU379+FZ379)*GU379+GA379)*GU379+GB379)/((3*GU379+2*FZ379)*GU379+GA379),0),0)</f>
        <v>0</v>
      </c>
      <c r="GX379" s="60" t="n">
        <f aca="false">IF(ABS(GW379)&lt;0.1*ABS(GU379),GU379-GW379,GU379)</f>
        <v>-1</v>
      </c>
      <c r="GY379" s="60" t="n">
        <f aca="false">IF(GV379,IFERROR((((GX379+FZ379)*GX379+GA379)*GX379+GB379)/((3*GX379+2*FZ379)*GX379+GA379),0),0)</f>
        <v>0</v>
      </c>
      <c r="GZ379" s="60" t="n">
        <f aca="false">IF(ABS(GY379)&lt;0.1*ABS(GX379),GX379-GY379,GX379)</f>
        <v>-1</v>
      </c>
      <c r="HA379" s="60" t="n">
        <f aca="false">IF(GV379,MAX(GP379,GZ379),GP379)</f>
        <v>0.91158844983184</v>
      </c>
      <c r="HB379" s="60" t="n">
        <f aca="false">IF(GV379,MIN(GP379,GZ379),-1)</f>
        <v>-1</v>
      </c>
      <c r="HC379" s="60" t="n">
        <f aca="false">CHOOSE($C$7,FX379/HA379,FX379/FY379*LN(1+FY379/HA379),FX379/(2*SQRT(2)*FY379)*LN((HA379+(1+SQRT(2))*FY379)/(HA379+(1-SQRT(2))*FY379)))</f>
        <v>0.218240791233887</v>
      </c>
      <c r="HD379" s="60" t="n">
        <f aca="false">HA379-1-LN(HA379-FY379)-HC379</f>
        <v>-0.107840271021729</v>
      </c>
      <c r="HE379" s="60" t="n">
        <f aca="false">IF(GV379,CHOOSE($C$7,FX379/HB379,FX379/FY379*LN(1+FY379/HB379),FX379/(2*SQRT(2)*FY379)*LN((HB379+(1+SQRT(2))*FY379)/(HB379+(1-SQRT(2))*FY379))),0)</f>
        <v>0</v>
      </c>
      <c r="HF379" s="60" t="n">
        <f aca="false">IF(GV379,HB379-1-LN(HB379-FY379)-HE379,0)</f>
        <v>0</v>
      </c>
      <c r="HG379" s="60" t="n">
        <f aca="false">AND(GV379,HF379&lt;HD379)</f>
        <v>0</v>
      </c>
      <c r="HH379" s="60" t="n">
        <f aca="false">IF(HG379,HB379,HA379)</f>
        <v>0.91158844983184</v>
      </c>
      <c r="HI379" s="60" t="n">
        <f aca="false">IF(HG379,HE379,HC379)</f>
        <v>0.218240791233887</v>
      </c>
      <c r="HJ379" s="60" t="n">
        <f aca="false">LN(HH379-FY379)</f>
        <v>-0.198812070380318</v>
      </c>
      <c r="HK379" s="60" t="n">
        <f aca="false">$E$27/FW379*(HH379-1)-HJ379-HI379*(2*FJ379/FV379-$E$27/FW379)</f>
        <v>-0.107840271021729</v>
      </c>
      <c r="HL379" s="60" t="n">
        <f aca="false">$F$27/FW379*(HH379-1)-HJ379-HI379*(2*FK379/FV379-$F$27/FW379)</f>
        <v>0.198812070380318</v>
      </c>
      <c r="HM379" s="60" t="n">
        <f aca="false">$G$27/FW379*(HH379-1)-HJ379-HI379*(2*FL379/FV379-$G$27/FW379)</f>
        <v>0.198812070380318</v>
      </c>
      <c r="HN379" s="60" t="n">
        <f aca="false">$H$27/FW379*(HH379-1)-HJ379-HI379*(2*FM379/FV379-$H$27/FW379)</f>
        <v>0.198812070380318</v>
      </c>
      <c r="HO379" s="60" t="n">
        <f aca="false">$I$27/FW379*(HH379-1)-HJ379-HI379*(2*FN379/FV379-$I$27/FW379)</f>
        <v>0.198812070380318</v>
      </c>
      <c r="HP379" s="60" t="n">
        <f aca="false">$J$27/FW379*(HH379-1)-HJ379-HI379*(2*FO379/FV379-$J$27/FW379)</f>
        <v>0.198812070380318</v>
      </c>
      <c r="HQ379" s="60" t="n">
        <f aca="false">$K$27/FW379*(HH379-1)-HJ379-HI379*(2*FP379/FV379-$K$27/FW379)</f>
        <v>0.198812070380318</v>
      </c>
      <c r="HR379" s="60" t="n">
        <f aca="false">$L$27/FW379*(HH379-1)-HJ379-HI379*(2*FQ379/FV379-$L$27/FW379)</f>
        <v>0.198812070380318</v>
      </c>
      <c r="HS379" s="60" t="n">
        <f aca="false">$M$27/FW379*(HH379-1)-HJ379-HI379*(2*FR379/FV379-$M$27/FW379)</f>
        <v>0.198812070380318</v>
      </c>
      <c r="HT379" s="60" t="n">
        <f aca="false">$N$27/FW379*(HH379-1)-HJ379-HI379*(2*FS379/FV379-$N$27/FW379)</f>
        <v>0.198812070380318</v>
      </c>
      <c r="HU379" s="60" t="n">
        <f aca="false">$O$27/FW379*(HH379-1)-HJ379-HI379*(2*FT379/FV379-$O$27/FW379)</f>
        <v>0.198812070380318</v>
      </c>
      <c r="HV379" s="60" t="n">
        <f aca="false">$P$27/FW379*(HH379-1)-HJ379-HI379*(2*FU379/FV379-$P$27/FW379)</f>
        <v>0.198812070380318</v>
      </c>
      <c r="HW379" s="60" t="n">
        <f aca="false">FY379/HH379&gt;$C$22</f>
        <v>0</v>
      </c>
      <c r="HX379" s="60" t="n">
        <f aca="false">IF($E$13&gt;0,MAX(-300,MIN(300,EW379-HK379)),0)</f>
        <v>0</v>
      </c>
      <c r="HY379" s="60" t="n">
        <f aca="false">IF($F$13&gt;0,MAX(-300,MIN(300,EX379-HL379)),0)</f>
        <v>0</v>
      </c>
      <c r="HZ379" s="60" t="n">
        <f aca="false">IF($G$13&gt;0,MAX(-300,MIN(300,EY379-HM379)),0)</f>
        <v>0</v>
      </c>
      <c r="IA379" s="60" t="n">
        <f aca="false">IF($H$13&gt;0,MAX(-300,MIN(300,EZ379-HN379)),0)</f>
        <v>0</v>
      </c>
      <c r="IB379" s="60" t="n">
        <f aca="false">IF($I$13&gt;0,MAX(-300,MIN(300,FA379-HO379)),0)</f>
        <v>0</v>
      </c>
      <c r="IC379" s="60" t="n">
        <f aca="false">IF($J$13&gt;0,MAX(-300,MIN(300,FB379-HP379)),0)</f>
        <v>0</v>
      </c>
      <c r="ID379" s="60" t="n">
        <f aca="false">IF($K$13&gt;0,MAX(-300,MIN(300,FC379-HQ379)),0)</f>
        <v>0</v>
      </c>
      <c r="IE379" s="60" t="n">
        <f aca="false">IF($L$13&gt;0,MAX(-300,MIN(300,FD379-HR379)),0)</f>
        <v>0</v>
      </c>
      <c r="IF379" s="60" t="n">
        <f aca="false">IF($M$13&gt;0,MAX(-300,MIN(300,FE379-HS379)),0)</f>
        <v>0</v>
      </c>
      <c r="IG379" s="60" t="n">
        <f aca="false">IF($N$13&gt;0,MAX(-300,MIN(300,FF379-HT379)),0)</f>
        <v>0</v>
      </c>
      <c r="IH379" s="60" t="n">
        <f aca="false">IF($O$13&gt;0,MAX(-300,MIN(300,FG379-HU379)),0)</f>
        <v>0</v>
      </c>
      <c r="II379" s="60" t="n">
        <f aca="false">IF($P$13&gt;0,MAX(-300,MIN(300,FH379-HV379)),0)</f>
        <v>0</v>
      </c>
      <c r="IJ379" s="60" t="n">
        <f aca="false">SUMXMY2(HX379:II379,B379:M379)</f>
        <v>0</v>
      </c>
      <c r="IK379" s="60" t="n">
        <f aca="false">SUMSQ(B379:M379)</f>
        <v>0</v>
      </c>
    </row>
    <row r="380" customFormat="false" ht="15" hidden="false" customHeight="false" outlineLevel="0" collapsed="false">
      <c r="A380" s="59" t="n">
        <v>19</v>
      </c>
      <c r="B380" s="60" t="n">
        <f aca="false">HX379</f>
        <v>0</v>
      </c>
      <c r="C380" s="60" t="n">
        <f aca="false">HY379</f>
        <v>0</v>
      </c>
      <c r="D380" s="60" t="n">
        <f aca="false">HZ379</f>
        <v>0</v>
      </c>
      <c r="E380" s="60" t="n">
        <f aca="false">IA379</f>
        <v>0</v>
      </c>
      <c r="F380" s="60" t="n">
        <f aca="false">IB379</f>
        <v>0</v>
      </c>
      <c r="G380" s="60" t="n">
        <f aca="false">IC379</f>
        <v>0</v>
      </c>
      <c r="H380" s="60" t="n">
        <f aca="false">ID379</f>
        <v>0</v>
      </c>
      <c r="I380" s="60" t="n">
        <f aca="false">IE379</f>
        <v>0</v>
      </c>
      <c r="J380" s="60" t="n">
        <f aca="false">IF379</f>
        <v>0</v>
      </c>
      <c r="K380" s="60" t="n">
        <f aca="false">IG379</f>
        <v>0</v>
      </c>
      <c r="L380" s="60" t="n">
        <f aca="false">IH379</f>
        <v>0</v>
      </c>
      <c r="M380" s="60" t="n">
        <f aca="false">II379</f>
        <v>0</v>
      </c>
      <c r="N380" s="60" t="n">
        <f aca="false">EXP(B380)</f>
        <v>1</v>
      </c>
      <c r="O380" s="60" t="n">
        <f aca="false">EXP(C380)</f>
        <v>1</v>
      </c>
      <c r="P380" s="60" t="n">
        <f aca="false">EXP(D380)</f>
        <v>1</v>
      </c>
      <c r="Q380" s="60" t="n">
        <f aca="false">EXP(E380)</f>
        <v>1</v>
      </c>
      <c r="R380" s="60" t="n">
        <f aca="false">EXP(F380)</f>
        <v>1</v>
      </c>
      <c r="S380" s="60" t="n">
        <f aca="false">EXP(G380)</f>
        <v>1</v>
      </c>
      <c r="T380" s="60" t="n">
        <f aca="false">EXP(H380)</f>
        <v>1</v>
      </c>
      <c r="U380" s="60" t="n">
        <f aca="false">EXP(I380)</f>
        <v>1</v>
      </c>
      <c r="V380" s="60" t="n">
        <f aca="false">EXP(J380)</f>
        <v>1</v>
      </c>
      <c r="W380" s="60" t="n">
        <f aca="false">EXP(K380)</f>
        <v>1</v>
      </c>
      <c r="X380" s="60" t="n">
        <f aca="false">EXP(L380)</f>
        <v>1</v>
      </c>
      <c r="Y380" s="60" t="n">
        <f aca="false">EXP(M380)</f>
        <v>1</v>
      </c>
      <c r="Z380" s="60" t="n">
        <f aca="false">MAX(N380:Y380)</f>
        <v>1</v>
      </c>
      <c r="AA380" s="60" t="n">
        <f aca="false">MIN(N380:Y380)</f>
        <v>1</v>
      </c>
      <c r="AB380" s="60" t="n">
        <f aca="false">AND(Z380&gt;1,AA380&lt;1)</f>
        <v>0</v>
      </c>
      <c r="AC380" s="60" t="n">
        <f aca="false">IF(AB380,1/(1-Z380),0)</f>
        <v>0</v>
      </c>
      <c r="AD380" s="60" t="n">
        <f aca="false">IF(AB380,1/(1-AA380),1)</f>
        <v>1</v>
      </c>
      <c r="AE380" s="60" t="n">
        <f aca="false">IF(AB380,MIN(MAX(BI379,AC380+0.000000001*(AD380-AC380)),AD380-0.000000001*(AD380-AC380)),IF(AA380&gt;=1,1,0))</f>
        <v>1</v>
      </c>
      <c r="AF380" s="60" t="n">
        <f aca="false">SUMPRODUCT($E$13:$P$13*(N380:Y380-1)/(1+AE380*(N380:Y380-1)))</f>
        <v>0</v>
      </c>
      <c r="AG380" s="60" t="n">
        <f aca="false">-SUMPRODUCT($E$13:$P$13*(N380:Y380-1)^2/(1+AE380*(N380:Y380-1))^2)</f>
        <v>-0</v>
      </c>
      <c r="AH380" s="60" t="n">
        <f aca="false">IF(OR(NOT(AB380),AG380=0),AE380,IF(AE380-AF380/AG380&lt;=AC380,(AE380+AC380)/2,IF(AE380-AF380/AG380&gt;=AD380,(AE380+AD380)/2,AE380-AF380/AG380)))</f>
        <v>1</v>
      </c>
      <c r="AI380" s="60" t="n">
        <f aca="false">SUMPRODUCT($E$13:$P$13*(N380:Y380-1)/(1+AH380*(N380:Y380-1)))</f>
        <v>0</v>
      </c>
      <c r="AJ380" s="60" t="n">
        <f aca="false">-SUMPRODUCT($E$13:$P$13*(N380:Y380-1)^2/(1+AH380*(N380:Y380-1))^2)</f>
        <v>-0</v>
      </c>
      <c r="AK380" s="60" t="n">
        <f aca="false">IF(OR(NOT(AB380),AJ380=0),AH380,IF(AH380-AI380/AJ380&lt;=AC380,(AH380+AC380)/2,IF(AH380-AI380/AJ380&gt;=AD380,(AH380+AD380)/2,AH380-AI380/AJ380)))</f>
        <v>1</v>
      </c>
      <c r="AL380" s="60" t="n">
        <f aca="false">SUMPRODUCT($E$13:$P$13*(N380:Y380-1)/(1+AK380*(N380:Y380-1)))</f>
        <v>0</v>
      </c>
      <c r="AM380" s="60" t="n">
        <f aca="false">-SUMPRODUCT($E$13:$P$13*(N380:Y380-1)^2/(1+AK380*(N380:Y380-1))^2)</f>
        <v>-0</v>
      </c>
      <c r="AN380" s="60" t="n">
        <f aca="false">IF(OR(NOT(AB380),AM380=0),AK380,IF(AK380-AL380/AM380&lt;=AC380,(AK380+AC380)/2,IF(AK380-AL380/AM380&gt;=AD380,(AK380+AD380)/2,AK380-AL380/AM380)))</f>
        <v>1</v>
      </c>
      <c r="AO380" s="60" t="n">
        <f aca="false">SUMPRODUCT($E$13:$P$13*(N380:Y380-1)/(1+AN380*(N380:Y380-1)))</f>
        <v>0</v>
      </c>
      <c r="AP380" s="60" t="n">
        <f aca="false">-SUMPRODUCT($E$13:$P$13*(N380:Y380-1)^2/(1+AN380*(N380:Y380-1))^2)</f>
        <v>-0</v>
      </c>
      <c r="AQ380" s="60" t="n">
        <f aca="false">IF(OR(NOT(AB380),AP380=0),AN380,IF(AN380-AO380/AP380&lt;=AC380,(AN380+AC380)/2,IF(AN380-AO380/AP380&gt;=AD380,(AN380+AD380)/2,AN380-AO380/AP380)))</f>
        <v>1</v>
      </c>
      <c r="AR380" s="60" t="n">
        <f aca="false">SUMPRODUCT($E$13:$P$13*(N380:Y380-1)/(1+AQ380*(N380:Y380-1)))</f>
        <v>0</v>
      </c>
      <c r="AS380" s="60" t="n">
        <f aca="false">-SUMPRODUCT($E$13:$P$13*(N380:Y380-1)^2/(1+AQ380*(N380:Y380-1))^2)</f>
        <v>-0</v>
      </c>
      <c r="AT380" s="60" t="n">
        <f aca="false">IF(OR(NOT(AB380),AS380=0),AQ380,IF(AQ380-AR380/AS380&lt;=AC380,(AQ380+AC380)/2,IF(AQ380-AR380/AS380&gt;=AD380,(AQ380+AD380)/2,AQ380-AR380/AS380)))</f>
        <v>1</v>
      </c>
      <c r="AU380" s="60" t="n">
        <f aca="false">SUMPRODUCT($E$13:$P$13*(N380:Y380-1)/(1+AT380*(N380:Y380-1)))</f>
        <v>0</v>
      </c>
      <c r="AV380" s="60" t="n">
        <f aca="false">-SUMPRODUCT($E$13:$P$13*(N380:Y380-1)^2/(1+AT380*(N380:Y380-1))^2)</f>
        <v>-0</v>
      </c>
      <c r="AW380" s="60" t="n">
        <f aca="false">IF(OR(NOT(AB380),AV380=0),AT380,IF(AT380-AU380/AV380&lt;=AC380,(AT380+AC380)/2,IF(AT380-AU380/AV380&gt;=AD380,(AT380+AD380)/2,AT380-AU380/AV380)))</f>
        <v>1</v>
      </c>
      <c r="AX380" s="60" t="n">
        <f aca="false">SUMPRODUCT($E$13:$P$13*(N380:Y380-1)/(1+AW380*(N380:Y380-1)))</f>
        <v>0</v>
      </c>
      <c r="AY380" s="60" t="n">
        <f aca="false">-SUMPRODUCT($E$13:$P$13*(N380:Y380-1)^2/(1+AW380*(N380:Y380-1))^2)</f>
        <v>-0</v>
      </c>
      <c r="AZ380" s="60" t="n">
        <f aca="false">IF(OR(NOT(AB380),AY380=0),AW380,IF(AW380-AX380/AY380&lt;=AC380,(AW380+AC380)/2,IF(AW380-AX380/AY380&gt;=AD380,(AW380+AD380)/2,AW380-AX380/AY380)))</f>
        <v>1</v>
      </c>
      <c r="BA380" s="60" t="n">
        <f aca="false">SUMPRODUCT($E$13:$P$13*(N380:Y380-1)/(1+AZ380*(N380:Y380-1)))</f>
        <v>0</v>
      </c>
      <c r="BB380" s="60" t="n">
        <f aca="false">-SUMPRODUCT($E$13:$P$13*(N380:Y380-1)^2/(1+AZ380*(N380:Y380-1))^2)</f>
        <v>-0</v>
      </c>
      <c r="BC380" s="60" t="n">
        <f aca="false">IF(OR(NOT(AB380),BB380=0),AZ380,IF(AZ380-BA380/BB380&lt;=AC380,(AZ380+AC380)/2,IF(AZ380-BA380/BB380&gt;=AD380,(AZ380+AD380)/2,AZ380-BA380/BB380)))</f>
        <v>1</v>
      </c>
      <c r="BD380" s="60" t="n">
        <f aca="false">SUMPRODUCT($E$13:$P$13*(N380:Y380-1)/(1+BC380*(N380:Y380-1)))</f>
        <v>0</v>
      </c>
      <c r="BE380" s="60" t="n">
        <f aca="false">-SUMPRODUCT($E$13:$P$13*(N380:Y380-1)^2/(1+BC380*(N380:Y380-1))^2)</f>
        <v>-0</v>
      </c>
      <c r="BF380" s="60" t="n">
        <f aca="false">IF(OR(NOT(AB380),BE380=0),BC380,IF(BC380-BD380/BE380&lt;=AC380,(BC380+AC380)/2,IF(BC380-BD380/BE380&gt;=AD380,(BC380+AD380)/2,BC380-BD380/BE380)))</f>
        <v>1</v>
      </c>
      <c r="BG380" s="60" t="n">
        <f aca="false">SUMPRODUCT($E$13:$P$13*(N380:Y380-1)/(1+BF380*(N380:Y380-1)))</f>
        <v>0</v>
      </c>
      <c r="BH380" s="60" t="n">
        <f aca="false">-SUMPRODUCT($E$13:$P$13*(N380:Y380-1)^2/(1+BF380*(N380:Y380-1))^2)</f>
        <v>-0</v>
      </c>
      <c r="BI380" s="60" t="n">
        <f aca="false">IF(OR(NOT(AB380),BH380=0),BF380,IF(BF380-BG380/BH380&lt;=AC380,(BF380+AC380)/2,IF(BF380-BG380/BH380&gt;=AD380,(BF380+AD380)/2,BF380-BG380/BH380)))</f>
        <v>1</v>
      </c>
      <c r="BJ380" s="60" t="n">
        <f aca="false">$E$13/(1+BI380*(N380-1))</f>
        <v>1</v>
      </c>
      <c r="BK380" s="60" t="n">
        <f aca="false">$F$13/(1+BI380*(O380-1))</f>
        <v>0</v>
      </c>
      <c r="BL380" s="60" t="n">
        <f aca="false">$G$13/(1+BI380*(P380-1))</f>
        <v>0</v>
      </c>
      <c r="BM380" s="60" t="n">
        <f aca="false">$H$13/(1+BI380*(Q380-1))</f>
        <v>0</v>
      </c>
      <c r="BN380" s="60" t="n">
        <f aca="false">$I$13/(1+BI380*(R380-1))</f>
        <v>0</v>
      </c>
      <c r="BO380" s="60" t="n">
        <f aca="false">$J$13/(1+BI380*(S380-1))</f>
        <v>0</v>
      </c>
      <c r="BP380" s="60" t="n">
        <f aca="false">$K$13/(1+BI380*(T380-1))</f>
        <v>0</v>
      </c>
      <c r="BQ380" s="60" t="n">
        <f aca="false">$L$13/(1+BI380*(U380-1))</f>
        <v>0</v>
      </c>
      <c r="BR380" s="60" t="n">
        <f aca="false">$M$13/(1+BI380*(V380-1))</f>
        <v>0</v>
      </c>
      <c r="BS380" s="60" t="n">
        <f aca="false">$N$13/(1+BI380*(W380-1))</f>
        <v>0</v>
      </c>
      <c r="BT380" s="60" t="n">
        <f aca="false">$O$13/(1+BI380*(X380-1))</f>
        <v>0</v>
      </c>
      <c r="BU380" s="60" t="n">
        <f aca="false">$P$13/(1+BI380*(Y380-1))</f>
        <v>0</v>
      </c>
      <c r="BV380" s="60" t="n">
        <f aca="false">SUM(BJ380:BU380)</f>
        <v>1</v>
      </c>
      <c r="BW380" s="60" t="n">
        <f aca="false">SUMPRODUCT(N380:Y380,BJ380:BU380)</f>
        <v>1</v>
      </c>
      <c r="BX380" s="60" t="n">
        <f aca="false">BJ380/BV380</f>
        <v>1</v>
      </c>
      <c r="BY380" s="60" t="n">
        <f aca="false">BK380/BV380</f>
        <v>0</v>
      </c>
      <c r="BZ380" s="60" t="n">
        <f aca="false">BL380/BV380</f>
        <v>0</v>
      </c>
      <c r="CA380" s="60" t="n">
        <f aca="false">BM380/BV380</f>
        <v>0</v>
      </c>
      <c r="CB380" s="60" t="n">
        <f aca="false">BN380/BV380</f>
        <v>0</v>
      </c>
      <c r="CC380" s="60" t="n">
        <f aca="false">BO380/BV380</f>
        <v>0</v>
      </c>
      <c r="CD380" s="60" t="n">
        <f aca="false">BP380/BV380</f>
        <v>0</v>
      </c>
      <c r="CE380" s="60" t="n">
        <f aca="false">BQ380/BV380</f>
        <v>0</v>
      </c>
      <c r="CF380" s="60" t="n">
        <f aca="false">BR380/BV380</f>
        <v>0</v>
      </c>
      <c r="CG380" s="60" t="n">
        <f aca="false">BS380/BV380</f>
        <v>0</v>
      </c>
      <c r="CH380" s="60" t="n">
        <f aca="false">BT380/BV380</f>
        <v>0</v>
      </c>
      <c r="CI380" s="60" t="n">
        <f aca="false">BU380/BV380</f>
        <v>0</v>
      </c>
      <c r="CJ380" s="60" t="n">
        <f aca="false">N380*BJ380/BW380</f>
        <v>1</v>
      </c>
      <c r="CK380" s="60" t="n">
        <f aca="false">O380*BK380/BW380</f>
        <v>0</v>
      </c>
      <c r="CL380" s="60" t="n">
        <f aca="false">P380*BL380/BW380</f>
        <v>0</v>
      </c>
      <c r="CM380" s="60" t="n">
        <f aca="false">Q380*BM380/BW380</f>
        <v>0</v>
      </c>
      <c r="CN380" s="60" t="n">
        <f aca="false">R380*BN380/BW380</f>
        <v>0</v>
      </c>
      <c r="CO380" s="60" t="n">
        <f aca="false">S380*BO380/BW380</f>
        <v>0</v>
      </c>
      <c r="CP380" s="60" t="n">
        <f aca="false">T380*BP380/BW380</f>
        <v>0</v>
      </c>
      <c r="CQ380" s="60" t="n">
        <f aca="false">U380*BQ380/BW380</f>
        <v>0</v>
      </c>
      <c r="CR380" s="60" t="n">
        <f aca="false">V380*BR380/BW380</f>
        <v>0</v>
      </c>
      <c r="CS380" s="60" t="n">
        <f aca="false">W380*BS380/BW380</f>
        <v>0</v>
      </c>
      <c r="CT380" s="60" t="n">
        <f aca="false">X380*BT380/BW380</f>
        <v>0</v>
      </c>
      <c r="CU380" s="60" t="n">
        <f aca="false">Y380*BU380/BW380</f>
        <v>0</v>
      </c>
      <c r="CV380" s="60" t="n">
        <f aca="false">$E$28*SUMPRODUCT($E$31:$P$31,BX380:CI380,$E$28:$P$28)</f>
        <v>0.184416866619846</v>
      </c>
      <c r="CW380" s="60" t="n">
        <f aca="false">$F$28*SUMPRODUCT($E$32:$P$32,BX380:CI380,$E$28:$P$28)</f>
        <v>0</v>
      </c>
      <c r="CX380" s="60" t="n">
        <f aca="false">$G$28*SUMPRODUCT($E$33:$P$33,BX380:CI380,$E$28:$P$28)</f>
        <v>0</v>
      </c>
      <c r="CY380" s="60" t="n">
        <f aca="false">$H$28*SUMPRODUCT($E$34:$P$34,BX380:CI380,$E$28:$P$28)</f>
        <v>0</v>
      </c>
      <c r="CZ380" s="60" t="n">
        <f aca="false">$I$28*SUMPRODUCT($E$35:$P$35,BX380:CI380,$E$28:$P$28)</f>
        <v>0</v>
      </c>
      <c r="DA380" s="60" t="n">
        <f aca="false">$J$28*SUMPRODUCT($E$36:$P$36,BX380:CI380,$E$28:$P$28)</f>
        <v>0</v>
      </c>
      <c r="DB380" s="60" t="n">
        <f aca="false">$K$28*SUMPRODUCT($E$37:$P$37,BX380:CI380,$E$28:$P$28)</f>
        <v>0</v>
      </c>
      <c r="DC380" s="60" t="n">
        <f aca="false">$L$28*SUMPRODUCT($E$38:$P$38,BX380:CI380,$E$28:$P$28)</f>
        <v>0</v>
      </c>
      <c r="DD380" s="60" t="n">
        <f aca="false">$M$28*SUMPRODUCT($E$39:$P$39,BX380:CI380,$E$28:$P$28)</f>
        <v>0</v>
      </c>
      <c r="DE380" s="60" t="n">
        <f aca="false">$N$28*SUMPRODUCT($E$40:$P$40,BX380:CI380,$E$28:$P$28)</f>
        <v>0</v>
      </c>
      <c r="DF380" s="60" t="n">
        <f aca="false">$O$28*SUMPRODUCT($E$41:$P$41,BX380:CI380,$E$28:$P$28)</f>
        <v>0</v>
      </c>
      <c r="DG380" s="60" t="n">
        <f aca="false">$P$28*SUMPRODUCT($E$42:$P$42,BX380:CI380,$E$28:$P$28)</f>
        <v>0</v>
      </c>
      <c r="DH380" s="60" t="n">
        <f aca="false">SUMPRODUCT(BX380:CI380,CV380:DG380)</f>
        <v>0.184416866619846</v>
      </c>
      <c r="DI380" s="60" t="n">
        <f aca="false">SUMPRODUCT(BX380:CI380,$E$27:$P$27)</f>
        <v>2.67389635063809E-005</v>
      </c>
      <c r="DJ380" s="60" t="n">
        <f aca="false">DH380*$C$9/($C$10*$C$8)^2</f>
        <v>0.21776909410545</v>
      </c>
      <c r="DK380" s="60" t="n">
        <f aca="false">DI380*$C$9/($C$10*$C$8)</f>
        <v>0.0918845243259994</v>
      </c>
      <c r="DL380" s="60" t="n">
        <f aca="false">CHOOSE($C$7,-(1+DK380),-1,-(1-DK380))</f>
        <v>-0.908115475674001</v>
      </c>
      <c r="DM380" s="60" t="n">
        <f aca="false">CHOOSE($C$7,DJ380,DJ380-DK380-DK380^2,DJ380-3*DK380^2-2*DK380)</f>
        <v>0.00867174802160559</v>
      </c>
      <c r="DN380" s="60" t="n">
        <f aca="false">CHOOSE($C$7,-DJ380*DK380,-DJ380*DK380,-(DJ380*DK380-DK380^2-DK380^3))</f>
        <v>-0.0107910842936637</v>
      </c>
      <c r="DO380" s="60" t="n">
        <f aca="false">DM380-DL380^2/3</f>
        <v>-0.266219491031267</v>
      </c>
      <c r="DP380" s="60" t="n">
        <f aca="false">2*DL380^3/27-DL380*DM380/3+DN380</f>
        <v>-0.0636400988362784</v>
      </c>
      <c r="DQ380" s="60" t="n">
        <f aca="false">DP380^2/4+DO380^3/27</f>
        <v>0.000313710901361829</v>
      </c>
      <c r="DR380" s="60" t="n">
        <f aca="false">-DP380/2-IF(DP380&gt;=0,1,-1)*SQRT(MAX(DQ380,0))</f>
        <v>0.0495319352963236</v>
      </c>
      <c r="DS380" s="60" t="n">
        <f aca="false">SIGN(DR380)*ABS(DR380)^(1/3)</f>
        <v>0.367249967174439</v>
      </c>
      <c r="DT380" s="60" t="n">
        <f aca="false">IF(DS380=0,0,DS380-DO380/(3*DS380))</f>
        <v>0.60888329127384</v>
      </c>
      <c r="DU380" s="60" t="n">
        <f aca="false">2*SQRT(MAX(-DO380,0)/3)</f>
        <v>0.595784626668918</v>
      </c>
      <c r="DV380" s="60" t="n">
        <f aca="false">ACOS(IF(DU380=0,0,MAX(-1,MIN(1,3*DP380/(DO380*DU380)))))</f>
        <v>0</v>
      </c>
      <c r="DW380" s="60" t="n">
        <f aca="false">DU380*COS(DV380/3)</f>
        <v>0.595784626668918</v>
      </c>
      <c r="DX380" s="60" t="n">
        <f aca="false">IF(DQ380&lt;0,DW380,DT380)-DL380/3</f>
        <v>0.91158844983184</v>
      </c>
      <c r="DY380" s="60" t="n">
        <f aca="false">IFERROR((((DX380+DL380)*DX380+DM380)*DX380+DN380)/((3*DX380+2*DL380)*DX380+DM380),0)</f>
        <v>0</v>
      </c>
      <c r="DZ380" s="60" t="n">
        <f aca="false">IF(ABS(DY380)&lt;0.1*ABS(DX380),DX380-DY380,DX380)</f>
        <v>0.91158844983184</v>
      </c>
      <c r="EA380" s="60" t="n">
        <f aca="false">IFERROR((((DZ380+DL380)*DZ380+DM380)*DZ380+DN380)/((3*DZ380+2*DL380)*DZ380+DM380),0)</f>
        <v>0</v>
      </c>
      <c r="EB380" s="60" t="n">
        <f aca="false">IF(ABS(EA380)&lt;0.1*ABS(DZ380),DZ380-EA380,DZ380)</f>
        <v>0.91158844983184</v>
      </c>
      <c r="EC380" s="60" t="n">
        <f aca="false">-DN380/EB380</f>
        <v>0.0118376711504565</v>
      </c>
      <c r="ED380" s="60" t="n">
        <f aca="false">(DM380-EC380)/EB380</f>
        <v>-0.00347297415783941</v>
      </c>
      <c r="EE380" s="60" t="n">
        <f aca="false">ED380^2-4*EC380</f>
        <v>-0.0473386230523248</v>
      </c>
      <c r="EF380" s="60" t="n">
        <f aca="false">IF(EE380&gt;=0,(ED380+IF(ED380&gt;=0,1,-1)*SQRT(EE380))/2,0)</f>
        <v>0</v>
      </c>
      <c r="EG380" s="60" t="n">
        <f aca="false">IF(AND(EE380&gt;=0,EF380&lt;&gt;0),MIN(EF380,EC380/EF380),-1)</f>
        <v>-1</v>
      </c>
      <c r="EH380" s="60" t="n">
        <f aca="false">AND(EE380&gt;=0,EG380&gt;DK380,ABS(EB380-EG380)&gt;=0.00005*MAX(EB380,EG380))</f>
        <v>0</v>
      </c>
      <c r="EI380" s="60" t="n">
        <f aca="false">IF(EH380,IFERROR((((EG380+DL380)*EG380+DM380)*EG380+DN380)/((3*EG380+2*DL380)*EG380+DM380),0),0)</f>
        <v>0</v>
      </c>
      <c r="EJ380" s="60" t="n">
        <f aca="false">IF(ABS(EI380)&lt;0.1*ABS(EG380),EG380-EI380,EG380)</f>
        <v>-1</v>
      </c>
      <c r="EK380" s="60" t="n">
        <f aca="false">IF(EH380,IFERROR((((EJ380+DL380)*EJ380+DM380)*EJ380+DN380)/((3*EJ380+2*DL380)*EJ380+DM380),0),0)</f>
        <v>0</v>
      </c>
      <c r="EL380" s="60" t="n">
        <f aca="false">IF(ABS(EK380)&lt;0.1*ABS(EJ380),EJ380-EK380,EJ380)</f>
        <v>-1</v>
      </c>
      <c r="EM380" s="60" t="n">
        <f aca="false">IF(EH380,MAX(EB380,EL380),EB380)</f>
        <v>0.91158844983184</v>
      </c>
      <c r="EN380" s="60" t="n">
        <f aca="false">IF(EH380,MIN(EB380,EL380),-1)</f>
        <v>-1</v>
      </c>
      <c r="EO380" s="60" t="n">
        <f aca="false">CHOOSE($C$7,DJ380/EM380,DJ380/DK380*LN(1+DK380/EM380),DJ380/(2*SQRT(2)*DK380)*LN((EM380+(1+SQRT(2))*DK380)/(EM380+(1-SQRT(2))*DK380)))</f>
        <v>0.218240791233887</v>
      </c>
      <c r="EP380" s="60" t="n">
        <f aca="false">EM380-1-LN(EM380-DK380)-EO380</f>
        <v>-0.107840271021729</v>
      </c>
      <c r="EQ380" s="60" t="n">
        <f aca="false">IF(EH380,CHOOSE($C$7,DJ380/EN380,DJ380/DK380*LN(1+DK380/EN380),DJ380/(2*SQRT(2)*DK380)*LN((EN380+(1+SQRT(2))*DK380)/(EN380+(1-SQRT(2))*DK380))),0)</f>
        <v>0</v>
      </c>
      <c r="ER380" s="60" t="n">
        <f aca="false">IF(EH380,EN380-1-LN(EN380-DK380)-EQ380,0)</f>
        <v>0</v>
      </c>
      <c r="ES380" s="60" t="n">
        <f aca="false">AND(EH380,ER380&lt;EP380)</f>
        <v>0</v>
      </c>
      <c r="ET380" s="60" t="n">
        <f aca="false">IF(ES380,EN380,EM380)</f>
        <v>0.91158844983184</v>
      </c>
      <c r="EU380" s="60" t="n">
        <f aca="false">IF(ES380,EQ380,EO380)</f>
        <v>0.218240791233887</v>
      </c>
      <c r="EV380" s="60" t="n">
        <f aca="false">LN(ET380-DK380)</f>
        <v>-0.198812070380318</v>
      </c>
      <c r="EW380" s="60" t="n">
        <f aca="false">$E$27/DI380*(ET380-1)-EV380-EU380*(2*CV380/DH380-$E$27/DI380)</f>
        <v>-0.107840271021729</v>
      </c>
      <c r="EX380" s="60" t="n">
        <f aca="false">$F$27/DI380*(ET380-1)-EV380-EU380*(2*CW380/DH380-$F$27/DI380)</f>
        <v>0.198812070380318</v>
      </c>
      <c r="EY380" s="60" t="n">
        <f aca="false">$G$27/DI380*(ET380-1)-EV380-EU380*(2*CX380/DH380-$G$27/DI380)</f>
        <v>0.198812070380318</v>
      </c>
      <c r="EZ380" s="60" t="n">
        <f aca="false">$H$27/DI380*(ET380-1)-EV380-EU380*(2*CY380/DH380-$H$27/DI380)</f>
        <v>0.198812070380318</v>
      </c>
      <c r="FA380" s="60" t="n">
        <f aca="false">$I$27/DI380*(ET380-1)-EV380-EU380*(2*CZ380/DH380-$I$27/DI380)</f>
        <v>0.198812070380318</v>
      </c>
      <c r="FB380" s="60" t="n">
        <f aca="false">$J$27/DI380*(ET380-1)-EV380-EU380*(2*DA380/DH380-$J$27/DI380)</f>
        <v>0.198812070380318</v>
      </c>
      <c r="FC380" s="60" t="n">
        <f aca="false">$K$27/DI380*(ET380-1)-EV380-EU380*(2*DB380/DH380-$K$27/DI380)</f>
        <v>0.198812070380318</v>
      </c>
      <c r="FD380" s="60" t="n">
        <f aca="false">$L$27/DI380*(ET380-1)-EV380-EU380*(2*DC380/DH380-$L$27/DI380)</f>
        <v>0.198812070380318</v>
      </c>
      <c r="FE380" s="60" t="n">
        <f aca="false">$M$27/DI380*(ET380-1)-EV380-EU380*(2*DD380/DH380-$M$27/DI380)</f>
        <v>0.198812070380318</v>
      </c>
      <c r="FF380" s="60" t="n">
        <f aca="false">$N$27/DI380*(ET380-1)-EV380-EU380*(2*DE380/DH380-$N$27/DI380)</f>
        <v>0.198812070380318</v>
      </c>
      <c r="FG380" s="60" t="n">
        <f aca="false">$O$27/DI380*(ET380-1)-EV380-EU380*(2*DF380/DH380-$O$27/DI380)</f>
        <v>0.198812070380318</v>
      </c>
      <c r="FH380" s="60" t="n">
        <f aca="false">$P$27/DI380*(ET380-1)-EV380-EU380*(2*DG380/DH380-$P$27/DI380)</f>
        <v>0.198812070380318</v>
      </c>
      <c r="FI380" s="60" t="n">
        <f aca="false">DK380/ET380&gt;$C$22</f>
        <v>0</v>
      </c>
      <c r="FJ380" s="60" t="n">
        <f aca="false">$E$28*SUMPRODUCT($E$31:$P$31,CJ380:CU380,$E$28:$P$28)</f>
        <v>0.184416866619846</v>
      </c>
      <c r="FK380" s="60" t="n">
        <f aca="false">$F$28*SUMPRODUCT($E$32:$P$32,CJ380:CU380,$E$28:$P$28)</f>
        <v>0</v>
      </c>
      <c r="FL380" s="60" t="n">
        <f aca="false">$G$28*SUMPRODUCT($E$33:$P$33,CJ380:CU380,$E$28:$P$28)</f>
        <v>0</v>
      </c>
      <c r="FM380" s="60" t="n">
        <f aca="false">$H$28*SUMPRODUCT($E$34:$P$34,CJ380:CU380,$E$28:$P$28)</f>
        <v>0</v>
      </c>
      <c r="FN380" s="60" t="n">
        <f aca="false">$I$28*SUMPRODUCT($E$35:$P$35,CJ380:CU380,$E$28:$P$28)</f>
        <v>0</v>
      </c>
      <c r="FO380" s="60" t="n">
        <f aca="false">$J$28*SUMPRODUCT($E$36:$P$36,CJ380:CU380,$E$28:$P$28)</f>
        <v>0</v>
      </c>
      <c r="FP380" s="60" t="n">
        <f aca="false">$K$28*SUMPRODUCT($E$37:$P$37,CJ380:CU380,$E$28:$P$28)</f>
        <v>0</v>
      </c>
      <c r="FQ380" s="60" t="n">
        <f aca="false">$L$28*SUMPRODUCT($E$38:$P$38,CJ380:CU380,$E$28:$P$28)</f>
        <v>0</v>
      </c>
      <c r="FR380" s="60" t="n">
        <f aca="false">$M$28*SUMPRODUCT($E$39:$P$39,CJ380:CU380,$E$28:$P$28)</f>
        <v>0</v>
      </c>
      <c r="FS380" s="60" t="n">
        <f aca="false">$N$28*SUMPRODUCT($E$40:$P$40,CJ380:CU380,$E$28:$P$28)</f>
        <v>0</v>
      </c>
      <c r="FT380" s="60" t="n">
        <f aca="false">$O$28*SUMPRODUCT($E$41:$P$41,CJ380:CU380,$E$28:$P$28)</f>
        <v>0</v>
      </c>
      <c r="FU380" s="60" t="n">
        <f aca="false">$P$28*SUMPRODUCT($E$42:$P$42,CJ380:CU380,$E$28:$P$28)</f>
        <v>0</v>
      </c>
      <c r="FV380" s="60" t="n">
        <f aca="false">SUMPRODUCT(CJ380:CU380,FJ380:FU380)</f>
        <v>0.184416866619846</v>
      </c>
      <c r="FW380" s="60" t="n">
        <f aca="false">SUMPRODUCT(CJ380:CU380,$E$27:$P$27)</f>
        <v>2.67389635063809E-005</v>
      </c>
      <c r="FX380" s="60" t="n">
        <f aca="false">FV380*$C$9/($C$10*$C$8)^2</f>
        <v>0.21776909410545</v>
      </c>
      <c r="FY380" s="60" t="n">
        <f aca="false">FW380*$C$9/($C$10*$C$8)</f>
        <v>0.0918845243259994</v>
      </c>
      <c r="FZ380" s="60" t="n">
        <f aca="false">CHOOSE($C$7,-(1+FY380),-1,-(1-FY380))</f>
        <v>-0.908115475674001</v>
      </c>
      <c r="GA380" s="60" t="n">
        <f aca="false">CHOOSE($C$7,FX380,FX380-FY380-FY380^2,FX380-3*FY380^2-2*FY380)</f>
        <v>0.00867174802160559</v>
      </c>
      <c r="GB380" s="60" t="n">
        <f aca="false">CHOOSE($C$7,-FX380*FY380,-FX380*FY380,-(FX380*FY380-FY380^2-FY380^3))</f>
        <v>-0.0107910842936637</v>
      </c>
      <c r="GC380" s="60" t="n">
        <f aca="false">GA380-FZ380^2/3</f>
        <v>-0.266219491031267</v>
      </c>
      <c r="GD380" s="60" t="n">
        <f aca="false">2*FZ380^3/27-FZ380*GA380/3+GB380</f>
        <v>-0.0636400988362784</v>
      </c>
      <c r="GE380" s="60" t="n">
        <f aca="false">GD380^2/4+GC380^3/27</f>
        <v>0.000313710901361829</v>
      </c>
      <c r="GF380" s="60" t="n">
        <f aca="false">-GD380/2-IF(GD380&gt;=0,1,-1)*SQRT(MAX(GE380,0))</f>
        <v>0.0495319352963236</v>
      </c>
      <c r="GG380" s="60" t="n">
        <f aca="false">SIGN(GF380)*ABS(GF380)^(1/3)</f>
        <v>0.367249967174439</v>
      </c>
      <c r="GH380" s="60" t="n">
        <f aca="false">IF(GG380=0,0,GG380-GC380/(3*GG380))</f>
        <v>0.60888329127384</v>
      </c>
      <c r="GI380" s="60" t="n">
        <f aca="false">2*SQRT(MAX(-GC380,0)/3)</f>
        <v>0.595784626668918</v>
      </c>
      <c r="GJ380" s="60" t="n">
        <f aca="false">ACOS(IF(GI380=0,0,MAX(-1,MIN(1,3*GD380/(GC380*GI380)))))</f>
        <v>0</v>
      </c>
      <c r="GK380" s="60" t="n">
        <f aca="false">GI380*COS(GJ380/3)</f>
        <v>0.595784626668918</v>
      </c>
      <c r="GL380" s="60" t="n">
        <f aca="false">IF(GE380&lt;0,GK380,GH380)-FZ380/3</f>
        <v>0.91158844983184</v>
      </c>
      <c r="GM380" s="60" t="n">
        <f aca="false">IFERROR((((GL380+FZ380)*GL380+GA380)*GL380+GB380)/((3*GL380+2*FZ380)*GL380+GA380),0)</f>
        <v>0</v>
      </c>
      <c r="GN380" s="60" t="n">
        <f aca="false">IF(ABS(GM380)&lt;0.1*ABS(GL380),GL380-GM380,GL380)</f>
        <v>0.91158844983184</v>
      </c>
      <c r="GO380" s="60" t="n">
        <f aca="false">IFERROR((((GN380+FZ380)*GN380+GA380)*GN380+GB380)/((3*GN380+2*FZ380)*GN380+GA380),0)</f>
        <v>0</v>
      </c>
      <c r="GP380" s="60" t="n">
        <f aca="false">IF(ABS(GO380)&lt;0.1*ABS(GN380),GN380-GO380,GN380)</f>
        <v>0.91158844983184</v>
      </c>
      <c r="GQ380" s="60" t="n">
        <f aca="false">-GB380/GP380</f>
        <v>0.0118376711504565</v>
      </c>
      <c r="GR380" s="60" t="n">
        <f aca="false">(GA380-GQ380)/GP380</f>
        <v>-0.00347297415783941</v>
      </c>
      <c r="GS380" s="60" t="n">
        <f aca="false">GR380^2-4*GQ380</f>
        <v>-0.0473386230523248</v>
      </c>
      <c r="GT380" s="60" t="n">
        <f aca="false">IF(GS380&gt;=0,(GR380+IF(GR380&gt;=0,1,-1)*SQRT(GS380))/2,0)</f>
        <v>0</v>
      </c>
      <c r="GU380" s="60" t="n">
        <f aca="false">IF(AND(GS380&gt;=0,GT380&lt;&gt;0),MIN(GT380,GQ380/GT380),-1)</f>
        <v>-1</v>
      </c>
      <c r="GV380" s="60" t="n">
        <f aca="false">AND(GS380&gt;=0,GU380&gt;FY380,ABS(GP380-GU380)&gt;=0.00005*MAX(GP380,GU380))</f>
        <v>0</v>
      </c>
      <c r="GW380" s="60" t="n">
        <f aca="false">IF(GV380,IFERROR((((GU380+FZ380)*GU380+GA380)*GU380+GB380)/((3*GU380+2*FZ380)*GU380+GA380),0),0)</f>
        <v>0</v>
      </c>
      <c r="GX380" s="60" t="n">
        <f aca="false">IF(ABS(GW380)&lt;0.1*ABS(GU380),GU380-GW380,GU380)</f>
        <v>-1</v>
      </c>
      <c r="GY380" s="60" t="n">
        <f aca="false">IF(GV380,IFERROR((((GX380+FZ380)*GX380+GA380)*GX380+GB380)/((3*GX380+2*FZ380)*GX380+GA380),0),0)</f>
        <v>0</v>
      </c>
      <c r="GZ380" s="60" t="n">
        <f aca="false">IF(ABS(GY380)&lt;0.1*ABS(GX380),GX380-GY380,GX380)</f>
        <v>-1</v>
      </c>
      <c r="HA380" s="60" t="n">
        <f aca="false">IF(GV380,MAX(GP380,GZ380),GP380)</f>
        <v>0.91158844983184</v>
      </c>
      <c r="HB380" s="60" t="n">
        <f aca="false">IF(GV380,MIN(GP380,GZ380),-1)</f>
        <v>-1</v>
      </c>
      <c r="HC380" s="60" t="n">
        <f aca="false">CHOOSE($C$7,FX380/HA380,FX380/FY380*LN(1+FY380/HA380),FX380/(2*SQRT(2)*FY380)*LN((HA380+(1+SQRT(2))*FY380)/(HA380+(1-SQRT(2))*FY380)))</f>
        <v>0.218240791233887</v>
      </c>
      <c r="HD380" s="60" t="n">
        <f aca="false">HA380-1-LN(HA380-FY380)-HC380</f>
        <v>-0.107840271021729</v>
      </c>
      <c r="HE380" s="60" t="n">
        <f aca="false">IF(GV380,CHOOSE($C$7,FX380/HB380,FX380/FY380*LN(1+FY380/HB380),FX380/(2*SQRT(2)*FY380)*LN((HB380+(1+SQRT(2))*FY380)/(HB380+(1-SQRT(2))*FY380))),0)</f>
        <v>0</v>
      </c>
      <c r="HF380" s="60" t="n">
        <f aca="false">IF(GV380,HB380-1-LN(HB380-FY380)-HE380,0)</f>
        <v>0</v>
      </c>
      <c r="HG380" s="60" t="n">
        <f aca="false">AND(GV380,HF380&lt;HD380)</f>
        <v>0</v>
      </c>
      <c r="HH380" s="60" t="n">
        <f aca="false">IF(HG380,HB380,HA380)</f>
        <v>0.91158844983184</v>
      </c>
      <c r="HI380" s="60" t="n">
        <f aca="false">IF(HG380,HE380,HC380)</f>
        <v>0.218240791233887</v>
      </c>
      <c r="HJ380" s="60" t="n">
        <f aca="false">LN(HH380-FY380)</f>
        <v>-0.198812070380318</v>
      </c>
      <c r="HK380" s="60" t="n">
        <f aca="false">$E$27/FW380*(HH380-1)-HJ380-HI380*(2*FJ380/FV380-$E$27/FW380)</f>
        <v>-0.107840271021729</v>
      </c>
      <c r="HL380" s="60" t="n">
        <f aca="false">$F$27/FW380*(HH380-1)-HJ380-HI380*(2*FK380/FV380-$F$27/FW380)</f>
        <v>0.198812070380318</v>
      </c>
      <c r="HM380" s="60" t="n">
        <f aca="false">$G$27/FW380*(HH380-1)-HJ380-HI380*(2*FL380/FV380-$G$27/FW380)</f>
        <v>0.198812070380318</v>
      </c>
      <c r="HN380" s="60" t="n">
        <f aca="false">$H$27/FW380*(HH380-1)-HJ380-HI380*(2*FM380/FV380-$H$27/FW380)</f>
        <v>0.198812070380318</v>
      </c>
      <c r="HO380" s="60" t="n">
        <f aca="false">$I$27/FW380*(HH380-1)-HJ380-HI380*(2*FN380/FV380-$I$27/FW380)</f>
        <v>0.198812070380318</v>
      </c>
      <c r="HP380" s="60" t="n">
        <f aca="false">$J$27/FW380*(HH380-1)-HJ380-HI380*(2*FO380/FV380-$J$27/FW380)</f>
        <v>0.198812070380318</v>
      </c>
      <c r="HQ380" s="60" t="n">
        <f aca="false">$K$27/FW380*(HH380-1)-HJ380-HI380*(2*FP380/FV380-$K$27/FW380)</f>
        <v>0.198812070380318</v>
      </c>
      <c r="HR380" s="60" t="n">
        <f aca="false">$L$27/FW380*(HH380-1)-HJ380-HI380*(2*FQ380/FV380-$L$27/FW380)</f>
        <v>0.198812070380318</v>
      </c>
      <c r="HS380" s="60" t="n">
        <f aca="false">$M$27/FW380*(HH380-1)-HJ380-HI380*(2*FR380/FV380-$M$27/FW380)</f>
        <v>0.198812070380318</v>
      </c>
      <c r="HT380" s="60" t="n">
        <f aca="false">$N$27/FW380*(HH380-1)-HJ380-HI380*(2*FS380/FV380-$N$27/FW380)</f>
        <v>0.198812070380318</v>
      </c>
      <c r="HU380" s="60" t="n">
        <f aca="false">$O$27/FW380*(HH380-1)-HJ380-HI380*(2*FT380/FV380-$O$27/FW380)</f>
        <v>0.198812070380318</v>
      </c>
      <c r="HV380" s="60" t="n">
        <f aca="false">$P$27/FW380*(HH380-1)-HJ380-HI380*(2*FU380/FV380-$P$27/FW380)</f>
        <v>0.198812070380318</v>
      </c>
      <c r="HW380" s="60" t="n">
        <f aca="false">FY380/HH380&gt;$C$22</f>
        <v>0</v>
      </c>
      <c r="HX380" s="60" t="n">
        <f aca="false">IF($E$13&gt;0,MAX(-300,MIN(300,EW380-HK380)),0)</f>
        <v>0</v>
      </c>
      <c r="HY380" s="60" t="n">
        <f aca="false">IF($F$13&gt;0,MAX(-300,MIN(300,EX380-HL380)),0)</f>
        <v>0</v>
      </c>
      <c r="HZ380" s="60" t="n">
        <f aca="false">IF($G$13&gt;0,MAX(-300,MIN(300,EY380-HM380)),0)</f>
        <v>0</v>
      </c>
      <c r="IA380" s="60" t="n">
        <f aca="false">IF($H$13&gt;0,MAX(-300,MIN(300,EZ380-HN380)),0)</f>
        <v>0</v>
      </c>
      <c r="IB380" s="60" t="n">
        <f aca="false">IF($I$13&gt;0,MAX(-300,MIN(300,FA380-HO380)),0)</f>
        <v>0</v>
      </c>
      <c r="IC380" s="60" t="n">
        <f aca="false">IF($J$13&gt;0,MAX(-300,MIN(300,FB380-HP380)),0)</f>
        <v>0</v>
      </c>
      <c r="ID380" s="60" t="n">
        <f aca="false">IF($K$13&gt;0,MAX(-300,MIN(300,FC380-HQ380)),0)</f>
        <v>0</v>
      </c>
      <c r="IE380" s="60" t="n">
        <f aca="false">IF($L$13&gt;0,MAX(-300,MIN(300,FD380-HR380)),0)</f>
        <v>0</v>
      </c>
      <c r="IF380" s="60" t="n">
        <f aca="false">IF($M$13&gt;0,MAX(-300,MIN(300,FE380-HS380)),0)</f>
        <v>0</v>
      </c>
      <c r="IG380" s="60" t="n">
        <f aca="false">IF($N$13&gt;0,MAX(-300,MIN(300,FF380-HT380)),0)</f>
        <v>0</v>
      </c>
      <c r="IH380" s="60" t="n">
        <f aca="false">IF($O$13&gt;0,MAX(-300,MIN(300,FG380-HU380)),0)</f>
        <v>0</v>
      </c>
      <c r="II380" s="60" t="n">
        <f aca="false">IF($P$13&gt;0,MAX(-300,MIN(300,FH380-HV380)),0)</f>
        <v>0</v>
      </c>
      <c r="IJ380" s="60" t="n">
        <f aca="false">SUMXMY2(HX380:II380,B380:M380)</f>
        <v>0</v>
      </c>
      <c r="IK380" s="60" t="n">
        <f aca="false">SUMSQ(B380:M380)</f>
        <v>0</v>
      </c>
    </row>
    <row r="381" customFormat="false" ht="15" hidden="false" customHeight="false" outlineLevel="0" collapsed="false">
      <c r="A381" s="59" t="n">
        <v>20</v>
      </c>
      <c r="B381" s="60" t="n">
        <f aca="false">HX380</f>
        <v>0</v>
      </c>
      <c r="C381" s="60" t="n">
        <f aca="false">HY380</f>
        <v>0</v>
      </c>
      <c r="D381" s="60" t="n">
        <f aca="false">HZ380</f>
        <v>0</v>
      </c>
      <c r="E381" s="60" t="n">
        <f aca="false">IA380</f>
        <v>0</v>
      </c>
      <c r="F381" s="60" t="n">
        <f aca="false">IB380</f>
        <v>0</v>
      </c>
      <c r="G381" s="60" t="n">
        <f aca="false">IC380</f>
        <v>0</v>
      </c>
      <c r="H381" s="60" t="n">
        <f aca="false">ID380</f>
        <v>0</v>
      </c>
      <c r="I381" s="60" t="n">
        <f aca="false">IE380</f>
        <v>0</v>
      </c>
      <c r="J381" s="60" t="n">
        <f aca="false">IF380</f>
        <v>0</v>
      </c>
      <c r="K381" s="60" t="n">
        <f aca="false">IG380</f>
        <v>0</v>
      </c>
      <c r="L381" s="60" t="n">
        <f aca="false">IH380</f>
        <v>0</v>
      </c>
      <c r="M381" s="60" t="n">
        <f aca="false">II380</f>
        <v>0</v>
      </c>
      <c r="N381" s="60" t="n">
        <f aca="false">EXP(B381)</f>
        <v>1</v>
      </c>
      <c r="O381" s="60" t="n">
        <f aca="false">EXP(C381)</f>
        <v>1</v>
      </c>
      <c r="P381" s="60" t="n">
        <f aca="false">EXP(D381)</f>
        <v>1</v>
      </c>
      <c r="Q381" s="60" t="n">
        <f aca="false">EXP(E381)</f>
        <v>1</v>
      </c>
      <c r="R381" s="60" t="n">
        <f aca="false">EXP(F381)</f>
        <v>1</v>
      </c>
      <c r="S381" s="60" t="n">
        <f aca="false">EXP(G381)</f>
        <v>1</v>
      </c>
      <c r="T381" s="60" t="n">
        <f aca="false">EXP(H381)</f>
        <v>1</v>
      </c>
      <c r="U381" s="60" t="n">
        <f aca="false">EXP(I381)</f>
        <v>1</v>
      </c>
      <c r="V381" s="60" t="n">
        <f aca="false">EXP(J381)</f>
        <v>1</v>
      </c>
      <c r="W381" s="60" t="n">
        <f aca="false">EXP(K381)</f>
        <v>1</v>
      </c>
      <c r="X381" s="60" t="n">
        <f aca="false">EXP(L381)</f>
        <v>1</v>
      </c>
      <c r="Y381" s="60" t="n">
        <f aca="false">EXP(M381)</f>
        <v>1</v>
      </c>
      <c r="Z381" s="60" t="n">
        <f aca="false">MAX(N381:Y381)</f>
        <v>1</v>
      </c>
      <c r="AA381" s="60" t="n">
        <f aca="false">MIN(N381:Y381)</f>
        <v>1</v>
      </c>
      <c r="AB381" s="60" t="n">
        <f aca="false">AND(Z381&gt;1,AA381&lt;1)</f>
        <v>0</v>
      </c>
      <c r="AC381" s="60" t="n">
        <f aca="false">IF(AB381,1/(1-Z381),0)</f>
        <v>0</v>
      </c>
      <c r="AD381" s="60" t="n">
        <f aca="false">IF(AB381,1/(1-AA381),1)</f>
        <v>1</v>
      </c>
      <c r="AE381" s="60" t="n">
        <f aca="false">IF(AB381,MIN(MAX(BI380,AC381+0.000000001*(AD381-AC381)),AD381-0.000000001*(AD381-AC381)),IF(AA381&gt;=1,1,0))</f>
        <v>1</v>
      </c>
      <c r="AF381" s="60" t="n">
        <f aca="false">SUMPRODUCT($E$13:$P$13*(N381:Y381-1)/(1+AE381*(N381:Y381-1)))</f>
        <v>0</v>
      </c>
      <c r="AG381" s="60" t="n">
        <f aca="false">-SUMPRODUCT($E$13:$P$13*(N381:Y381-1)^2/(1+AE381*(N381:Y381-1))^2)</f>
        <v>-0</v>
      </c>
      <c r="AH381" s="60" t="n">
        <f aca="false">IF(OR(NOT(AB381),AG381=0),AE381,IF(AE381-AF381/AG381&lt;=AC381,(AE381+AC381)/2,IF(AE381-AF381/AG381&gt;=AD381,(AE381+AD381)/2,AE381-AF381/AG381)))</f>
        <v>1</v>
      </c>
      <c r="AI381" s="60" t="n">
        <f aca="false">SUMPRODUCT($E$13:$P$13*(N381:Y381-1)/(1+AH381*(N381:Y381-1)))</f>
        <v>0</v>
      </c>
      <c r="AJ381" s="60" t="n">
        <f aca="false">-SUMPRODUCT($E$13:$P$13*(N381:Y381-1)^2/(1+AH381*(N381:Y381-1))^2)</f>
        <v>-0</v>
      </c>
      <c r="AK381" s="60" t="n">
        <f aca="false">IF(OR(NOT(AB381),AJ381=0),AH381,IF(AH381-AI381/AJ381&lt;=AC381,(AH381+AC381)/2,IF(AH381-AI381/AJ381&gt;=AD381,(AH381+AD381)/2,AH381-AI381/AJ381)))</f>
        <v>1</v>
      </c>
      <c r="AL381" s="60" t="n">
        <f aca="false">SUMPRODUCT($E$13:$P$13*(N381:Y381-1)/(1+AK381*(N381:Y381-1)))</f>
        <v>0</v>
      </c>
      <c r="AM381" s="60" t="n">
        <f aca="false">-SUMPRODUCT($E$13:$P$13*(N381:Y381-1)^2/(1+AK381*(N381:Y381-1))^2)</f>
        <v>-0</v>
      </c>
      <c r="AN381" s="60" t="n">
        <f aca="false">IF(OR(NOT(AB381),AM381=0),AK381,IF(AK381-AL381/AM381&lt;=AC381,(AK381+AC381)/2,IF(AK381-AL381/AM381&gt;=AD381,(AK381+AD381)/2,AK381-AL381/AM381)))</f>
        <v>1</v>
      </c>
      <c r="AO381" s="60" t="n">
        <f aca="false">SUMPRODUCT($E$13:$P$13*(N381:Y381-1)/(1+AN381*(N381:Y381-1)))</f>
        <v>0</v>
      </c>
      <c r="AP381" s="60" t="n">
        <f aca="false">-SUMPRODUCT($E$13:$P$13*(N381:Y381-1)^2/(1+AN381*(N381:Y381-1))^2)</f>
        <v>-0</v>
      </c>
      <c r="AQ381" s="60" t="n">
        <f aca="false">IF(OR(NOT(AB381),AP381=0),AN381,IF(AN381-AO381/AP381&lt;=AC381,(AN381+AC381)/2,IF(AN381-AO381/AP381&gt;=AD381,(AN381+AD381)/2,AN381-AO381/AP381)))</f>
        <v>1</v>
      </c>
      <c r="AR381" s="60" t="n">
        <f aca="false">SUMPRODUCT($E$13:$P$13*(N381:Y381-1)/(1+AQ381*(N381:Y381-1)))</f>
        <v>0</v>
      </c>
      <c r="AS381" s="60" t="n">
        <f aca="false">-SUMPRODUCT($E$13:$P$13*(N381:Y381-1)^2/(1+AQ381*(N381:Y381-1))^2)</f>
        <v>-0</v>
      </c>
      <c r="AT381" s="60" t="n">
        <f aca="false">IF(OR(NOT(AB381),AS381=0),AQ381,IF(AQ381-AR381/AS381&lt;=AC381,(AQ381+AC381)/2,IF(AQ381-AR381/AS381&gt;=AD381,(AQ381+AD381)/2,AQ381-AR381/AS381)))</f>
        <v>1</v>
      </c>
      <c r="AU381" s="60" t="n">
        <f aca="false">SUMPRODUCT($E$13:$P$13*(N381:Y381-1)/(1+AT381*(N381:Y381-1)))</f>
        <v>0</v>
      </c>
      <c r="AV381" s="60" t="n">
        <f aca="false">-SUMPRODUCT($E$13:$P$13*(N381:Y381-1)^2/(1+AT381*(N381:Y381-1))^2)</f>
        <v>-0</v>
      </c>
      <c r="AW381" s="60" t="n">
        <f aca="false">IF(OR(NOT(AB381),AV381=0),AT381,IF(AT381-AU381/AV381&lt;=AC381,(AT381+AC381)/2,IF(AT381-AU381/AV381&gt;=AD381,(AT381+AD381)/2,AT381-AU381/AV381)))</f>
        <v>1</v>
      </c>
      <c r="AX381" s="60" t="n">
        <f aca="false">SUMPRODUCT($E$13:$P$13*(N381:Y381-1)/(1+AW381*(N381:Y381-1)))</f>
        <v>0</v>
      </c>
      <c r="AY381" s="60" t="n">
        <f aca="false">-SUMPRODUCT($E$13:$P$13*(N381:Y381-1)^2/(1+AW381*(N381:Y381-1))^2)</f>
        <v>-0</v>
      </c>
      <c r="AZ381" s="60" t="n">
        <f aca="false">IF(OR(NOT(AB381),AY381=0),AW381,IF(AW381-AX381/AY381&lt;=AC381,(AW381+AC381)/2,IF(AW381-AX381/AY381&gt;=AD381,(AW381+AD381)/2,AW381-AX381/AY381)))</f>
        <v>1</v>
      </c>
      <c r="BA381" s="60" t="n">
        <f aca="false">SUMPRODUCT($E$13:$P$13*(N381:Y381-1)/(1+AZ381*(N381:Y381-1)))</f>
        <v>0</v>
      </c>
      <c r="BB381" s="60" t="n">
        <f aca="false">-SUMPRODUCT($E$13:$P$13*(N381:Y381-1)^2/(1+AZ381*(N381:Y381-1))^2)</f>
        <v>-0</v>
      </c>
      <c r="BC381" s="60" t="n">
        <f aca="false">IF(OR(NOT(AB381),BB381=0),AZ381,IF(AZ381-BA381/BB381&lt;=AC381,(AZ381+AC381)/2,IF(AZ381-BA381/BB381&gt;=AD381,(AZ381+AD381)/2,AZ381-BA381/BB381)))</f>
        <v>1</v>
      </c>
      <c r="BD381" s="60" t="n">
        <f aca="false">SUMPRODUCT($E$13:$P$13*(N381:Y381-1)/(1+BC381*(N381:Y381-1)))</f>
        <v>0</v>
      </c>
      <c r="BE381" s="60" t="n">
        <f aca="false">-SUMPRODUCT($E$13:$P$13*(N381:Y381-1)^2/(1+BC381*(N381:Y381-1))^2)</f>
        <v>-0</v>
      </c>
      <c r="BF381" s="60" t="n">
        <f aca="false">IF(OR(NOT(AB381),BE381=0),BC381,IF(BC381-BD381/BE381&lt;=AC381,(BC381+AC381)/2,IF(BC381-BD381/BE381&gt;=AD381,(BC381+AD381)/2,BC381-BD381/BE381)))</f>
        <v>1</v>
      </c>
      <c r="BG381" s="60" t="n">
        <f aca="false">SUMPRODUCT($E$13:$P$13*(N381:Y381-1)/(1+BF381*(N381:Y381-1)))</f>
        <v>0</v>
      </c>
      <c r="BH381" s="60" t="n">
        <f aca="false">-SUMPRODUCT($E$13:$P$13*(N381:Y381-1)^2/(1+BF381*(N381:Y381-1))^2)</f>
        <v>-0</v>
      </c>
      <c r="BI381" s="60" t="n">
        <f aca="false">IF(OR(NOT(AB381),BH381=0),BF381,IF(BF381-BG381/BH381&lt;=AC381,(BF381+AC381)/2,IF(BF381-BG381/BH381&gt;=AD381,(BF381+AD381)/2,BF381-BG381/BH381)))</f>
        <v>1</v>
      </c>
      <c r="BJ381" s="60" t="n">
        <f aca="false">$E$13/(1+BI381*(N381-1))</f>
        <v>1</v>
      </c>
      <c r="BK381" s="60" t="n">
        <f aca="false">$F$13/(1+BI381*(O381-1))</f>
        <v>0</v>
      </c>
      <c r="BL381" s="60" t="n">
        <f aca="false">$G$13/(1+BI381*(P381-1))</f>
        <v>0</v>
      </c>
      <c r="BM381" s="60" t="n">
        <f aca="false">$H$13/(1+BI381*(Q381-1))</f>
        <v>0</v>
      </c>
      <c r="BN381" s="60" t="n">
        <f aca="false">$I$13/(1+BI381*(R381-1))</f>
        <v>0</v>
      </c>
      <c r="BO381" s="60" t="n">
        <f aca="false">$J$13/(1+BI381*(S381-1))</f>
        <v>0</v>
      </c>
      <c r="BP381" s="60" t="n">
        <f aca="false">$K$13/(1+BI381*(T381-1))</f>
        <v>0</v>
      </c>
      <c r="BQ381" s="60" t="n">
        <f aca="false">$L$13/(1+BI381*(U381-1))</f>
        <v>0</v>
      </c>
      <c r="BR381" s="60" t="n">
        <f aca="false">$M$13/(1+BI381*(V381-1))</f>
        <v>0</v>
      </c>
      <c r="BS381" s="60" t="n">
        <f aca="false">$N$13/(1+BI381*(W381-1))</f>
        <v>0</v>
      </c>
      <c r="BT381" s="60" t="n">
        <f aca="false">$O$13/(1+BI381*(X381-1))</f>
        <v>0</v>
      </c>
      <c r="BU381" s="60" t="n">
        <f aca="false">$P$13/(1+BI381*(Y381-1))</f>
        <v>0</v>
      </c>
      <c r="BV381" s="60" t="n">
        <f aca="false">SUM(BJ381:BU381)</f>
        <v>1</v>
      </c>
      <c r="BW381" s="60" t="n">
        <f aca="false">SUMPRODUCT(N381:Y381,BJ381:BU381)</f>
        <v>1</v>
      </c>
      <c r="BX381" s="60" t="n">
        <f aca="false">BJ381/BV381</f>
        <v>1</v>
      </c>
      <c r="BY381" s="60" t="n">
        <f aca="false">BK381/BV381</f>
        <v>0</v>
      </c>
      <c r="BZ381" s="60" t="n">
        <f aca="false">BL381/BV381</f>
        <v>0</v>
      </c>
      <c r="CA381" s="60" t="n">
        <f aca="false">BM381/BV381</f>
        <v>0</v>
      </c>
      <c r="CB381" s="60" t="n">
        <f aca="false">BN381/BV381</f>
        <v>0</v>
      </c>
      <c r="CC381" s="60" t="n">
        <f aca="false">BO381/BV381</f>
        <v>0</v>
      </c>
      <c r="CD381" s="60" t="n">
        <f aca="false">BP381/BV381</f>
        <v>0</v>
      </c>
      <c r="CE381" s="60" t="n">
        <f aca="false">BQ381/BV381</f>
        <v>0</v>
      </c>
      <c r="CF381" s="60" t="n">
        <f aca="false">BR381/BV381</f>
        <v>0</v>
      </c>
      <c r="CG381" s="60" t="n">
        <f aca="false">BS381/BV381</f>
        <v>0</v>
      </c>
      <c r="CH381" s="60" t="n">
        <f aca="false">BT381/BV381</f>
        <v>0</v>
      </c>
      <c r="CI381" s="60" t="n">
        <f aca="false">BU381/BV381</f>
        <v>0</v>
      </c>
      <c r="CJ381" s="60" t="n">
        <f aca="false">N381*BJ381/BW381</f>
        <v>1</v>
      </c>
      <c r="CK381" s="60" t="n">
        <f aca="false">O381*BK381/BW381</f>
        <v>0</v>
      </c>
      <c r="CL381" s="60" t="n">
        <f aca="false">P381*BL381/BW381</f>
        <v>0</v>
      </c>
      <c r="CM381" s="60" t="n">
        <f aca="false">Q381*BM381/BW381</f>
        <v>0</v>
      </c>
      <c r="CN381" s="60" t="n">
        <f aca="false">R381*BN381/BW381</f>
        <v>0</v>
      </c>
      <c r="CO381" s="60" t="n">
        <f aca="false">S381*BO381/BW381</f>
        <v>0</v>
      </c>
      <c r="CP381" s="60" t="n">
        <f aca="false">T381*BP381/BW381</f>
        <v>0</v>
      </c>
      <c r="CQ381" s="60" t="n">
        <f aca="false">U381*BQ381/BW381</f>
        <v>0</v>
      </c>
      <c r="CR381" s="60" t="n">
        <f aca="false">V381*BR381/BW381</f>
        <v>0</v>
      </c>
      <c r="CS381" s="60" t="n">
        <f aca="false">W381*BS381/BW381</f>
        <v>0</v>
      </c>
      <c r="CT381" s="60" t="n">
        <f aca="false">X381*BT381/BW381</f>
        <v>0</v>
      </c>
      <c r="CU381" s="60" t="n">
        <f aca="false">Y381*BU381/BW381</f>
        <v>0</v>
      </c>
      <c r="CV381" s="60" t="n">
        <f aca="false">$E$28*SUMPRODUCT($E$31:$P$31,BX381:CI381,$E$28:$P$28)</f>
        <v>0.184416866619846</v>
      </c>
      <c r="CW381" s="60" t="n">
        <f aca="false">$F$28*SUMPRODUCT($E$32:$P$32,BX381:CI381,$E$28:$P$28)</f>
        <v>0</v>
      </c>
      <c r="CX381" s="60" t="n">
        <f aca="false">$G$28*SUMPRODUCT($E$33:$P$33,BX381:CI381,$E$28:$P$28)</f>
        <v>0</v>
      </c>
      <c r="CY381" s="60" t="n">
        <f aca="false">$H$28*SUMPRODUCT($E$34:$P$34,BX381:CI381,$E$28:$P$28)</f>
        <v>0</v>
      </c>
      <c r="CZ381" s="60" t="n">
        <f aca="false">$I$28*SUMPRODUCT($E$35:$P$35,BX381:CI381,$E$28:$P$28)</f>
        <v>0</v>
      </c>
      <c r="DA381" s="60" t="n">
        <f aca="false">$J$28*SUMPRODUCT($E$36:$P$36,BX381:CI381,$E$28:$P$28)</f>
        <v>0</v>
      </c>
      <c r="DB381" s="60" t="n">
        <f aca="false">$K$28*SUMPRODUCT($E$37:$P$37,BX381:CI381,$E$28:$P$28)</f>
        <v>0</v>
      </c>
      <c r="DC381" s="60" t="n">
        <f aca="false">$L$28*SUMPRODUCT($E$38:$P$38,BX381:CI381,$E$28:$P$28)</f>
        <v>0</v>
      </c>
      <c r="DD381" s="60" t="n">
        <f aca="false">$M$28*SUMPRODUCT($E$39:$P$39,BX381:CI381,$E$28:$P$28)</f>
        <v>0</v>
      </c>
      <c r="DE381" s="60" t="n">
        <f aca="false">$N$28*SUMPRODUCT($E$40:$P$40,BX381:CI381,$E$28:$P$28)</f>
        <v>0</v>
      </c>
      <c r="DF381" s="60" t="n">
        <f aca="false">$O$28*SUMPRODUCT($E$41:$P$41,BX381:CI381,$E$28:$P$28)</f>
        <v>0</v>
      </c>
      <c r="DG381" s="60" t="n">
        <f aca="false">$P$28*SUMPRODUCT($E$42:$P$42,BX381:CI381,$E$28:$P$28)</f>
        <v>0</v>
      </c>
      <c r="DH381" s="60" t="n">
        <f aca="false">SUMPRODUCT(BX381:CI381,CV381:DG381)</f>
        <v>0.184416866619846</v>
      </c>
      <c r="DI381" s="60" t="n">
        <f aca="false">SUMPRODUCT(BX381:CI381,$E$27:$P$27)</f>
        <v>2.67389635063809E-005</v>
      </c>
      <c r="DJ381" s="60" t="n">
        <f aca="false">DH381*$C$9/($C$10*$C$8)^2</f>
        <v>0.21776909410545</v>
      </c>
      <c r="DK381" s="60" t="n">
        <f aca="false">DI381*$C$9/($C$10*$C$8)</f>
        <v>0.0918845243259994</v>
      </c>
      <c r="DL381" s="60" t="n">
        <f aca="false">CHOOSE($C$7,-(1+DK381),-1,-(1-DK381))</f>
        <v>-0.908115475674001</v>
      </c>
      <c r="DM381" s="60" t="n">
        <f aca="false">CHOOSE($C$7,DJ381,DJ381-DK381-DK381^2,DJ381-3*DK381^2-2*DK381)</f>
        <v>0.00867174802160559</v>
      </c>
      <c r="DN381" s="60" t="n">
        <f aca="false">CHOOSE($C$7,-DJ381*DK381,-DJ381*DK381,-(DJ381*DK381-DK381^2-DK381^3))</f>
        <v>-0.0107910842936637</v>
      </c>
      <c r="DO381" s="60" t="n">
        <f aca="false">DM381-DL381^2/3</f>
        <v>-0.266219491031267</v>
      </c>
      <c r="DP381" s="60" t="n">
        <f aca="false">2*DL381^3/27-DL381*DM381/3+DN381</f>
        <v>-0.0636400988362784</v>
      </c>
      <c r="DQ381" s="60" t="n">
        <f aca="false">DP381^2/4+DO381^3/27</f>
        <v>0.000313710901361829</v>
      </c>
      <c r="DR381" s="60" t="n">
        <f aca="false">-DP381/2-IF(DP381&gt;=0,1,-1)*SQRT(MAX(DQ381,0))</f>
        <v>0.0495319352963236</v>
      </c>
      <c r="DS381" s="60" t="n">
        <f aca="false">SIGN(DR381)*ABS(DR381)^(1/3)</f>
        <v>0.367249967174439</v>
      </c>
      <c r="DT381" s="60" t="n">
        <f aca="false">IF(DS381=0,0,DS381-DO381/(3*DS381))</f>
        <v>0.60888329127384</v>
      </c>
      <c r="DU381" s="60" t="n">
        <f aca="false">2*SQRT(MAX(-DO381,0)/3)</f>
        <v>0.595784626668918</v>
      </c>
      <c r="DV381" s="60" t="n">
        <f aca="false">ACOS(IF(DU381=0,0,MAX(-1,MIN(1,3*DP381/(DO381*DU381)))))</f>
        <v>0</v>
      </c>
      <c r="DW381" s="60" t="n">
        <f aca="false">DU381*COS(DV381/3)</f>
        <v>0.595784626668918</v>
      </c>
      <c r="DX381" s="60" t="n">
        <f aca="false">IF(DQ381&lt;0,DW381,DT381)-DL381/3</f>
        <v>0.91158844983184</v>
      </c>
      <c r="DY381" s="60" t="n">
        <f aca="false">IFERROR((((DX381+DL381)*DX381+DM381)*DX381+DN381)/((3*DX381+2*DL381)*DX381+DM381),0)</f>
        <v>0</v>
      </c>
      <c r="DZ381" s="60" t="n">
        <f aca="false">IF(ABS(DY381)&lt;0.1*ABS(DX381),DX381-DY381,DX381)</f>
        <v>0.91158844983184</v>
      </c>
      <c r="EA381" s="60" t="n">
        <f aca="false">IFERROR((((DZ381+DL381)*DZ381+DM381)*DZ381+DN381)/((3*DZ381+2*DL381)*DZ381+DM381),0)</f>
        <v>0</v>
      </c>
      <c r="EB381" s="60" t="n">
        <f aca="false">IF(ABS(EA381)&lt;0.1*ABS(DZ381),DZ381-EA381,DZ381)</f>
        <v>0.91158844983184</v>
      </c>
      <c r="EC381" s="60" t="n">
        <f aca="false">-DN381/EB381</f>
        <v>0.0118376711504565</v>
      </c>
      <c r="ED381" s="60" t="n">
        <f aca="false">(DM381-EC381)/EB381</f>
        <v>-0.00347297415783941</v>
      </c>
      <c r="EE381" s="60" t="n">
        <f aca="false">ED381^2-4*EC381</f>
        <v>-0.0473386230523248</v>
      </c>
      <c r="EF381" s="60" t="n">
        <f aca="false">IF(EE381&gt;=0,(ED381+IF(ED381&gt;=0,1,-1)*SQRT(EE381))/2,0)</f>
        <v>0</v>
      </c>
      <c r="EG381" s="60" t="n">
        <f aca="false">IF(AND(EE381&gt;=0,EF381&lt;&gt;0),MIN(EF381,EC381/EF381),-1)</f>
        <v>-1</v>
      </c>
      <c r="EH381" s="60" t="n">
        <f aca="false">AND(EE381&gt;=0,EG381&gt;DK381,ABS(EB381-EG381)&gt;=0.00005*MAX(EB381,EG381))</f>
        <v>0</v>
      </c>
      <c r="EI381" s="60" t="n">
        <f aca="false">IF(EH381,IFERROR((((EG381+DL381)*EG381+DM381)*EG381+DN381)/((3*EG381+2*DL381)*EG381+DM381),0),0)</f>
        <v>0</v>
      </c>
      <c r="EJ381" s="60" t="n">
        <f aca="false">IF(ABS(EI381)&lt;0.1*ABS(EG381),EG381-EI381,EG381)</f>
        <v>-1</v>
      </c>
      <c r="EK381" s="60" t="n">
        <f aca="false">IF(EH381,IFERROR((((EJ381+DL381)*EJ381+DM381)*EJ381+DN381)/((3*EJ381+2*DL381)*EJ381+DM381),0),0)</f>
        <v>0</v>
      </c>
      <c r="EL381" s="60" t="n">
        <f aca="false">IF(ABS(EK381)&lt;0.1*ABS(EJ381),EJ381-EK381,EJ381)</f>
        <v>-1</v>
      </c>
      <c r="EM381" s="60" t="n">
        <f aca="false">IF(EH381,MAX(EB381,EL381),EB381)</f>
        <v>0.91158844983184</v>
      </c>
      <c r="EN381" s="60" t="n">
        <f aca="false">IF(EH381,MIN(EB381,EL381),-1)</f>
        <v>-1</v>
      </c>
      <c r="EO381" s="60" t="n">
        <f aca="false">CHOOSE($C$7,DJ381/EM381,DJ381/DK381*LN(1+DK381/EM381),DJ381/(2*SQRT(2)*DK381)*LN((EM381+(1+SQRT(2))*DK381)/(EM381+(1-SQRT(2))*DK381)))</f>
        <v>0.218240791233887</v>
      </c>
      <c r="EP381" s="60" t="n">
        <f aca="false">EM381-1-LN(EM381-DK381)-EO381</f>
        <v>-0.107840271021729</v>
      </c>
      <c r="EQ381" s="60" t="n">
        <f aca="false">IF(EH381,CHOOSE($C$7,DJ381/EN381,DJ381/DK381*LN(1+DK381/EN381),DJ381/(2*SQRT(2)*DK381)*LN((EN381+(1+SQRT(2))*DK381)/(EN381+(1-SQRT(2))*DK381))),0)</f>
        <v>0</v>
      </c>
      <c r="ER381" s="60" t="n">
        <f aca="false">IF(EH381,EN381-1-LN(EN381-DK381)-EQ381,0)</f>
        <v>0</v>
      </c>
      <c r="ES381" s="60" t="n">
        <f aca="false">AND(EH381,ER381&lt;EP381)</f>
        <v>0</v>
      </c>
      <c r="ET381" s="60" t="n">
        <f aca="false">IF(ES381,EN381,EM381)</f>
        <v>0.91158844983184</v>
      </c>
      <c r="EU381" s="60" t="n">
        <f aca="false">IF(ES381,EQ381,EO381)</f>
        <v>0.218240791233887</v>
      </c>
      <c r="EV381" s="60" t="n">
        <f aca="false">LN(ET381-DK381)</f>
        <v>-0.198812070380318</v>
      </c>
      <c r="EW381" s="60" t="n">
        <f aca="false">$E$27/DI381*(ET381-1)-EV381-EU381*(2*CV381/DH381-$E$27/DI381)</f>
        <v>-0.107840271021729</v>
      </c>
      <c r="EX381" s="60" t="n">
        <f aca="false">$F$27/DI381*(ET381-1)-EV381-EU381*(2*CW381/DH381-$F$27/DI381)</f>
        <v>0.198812070380318</v>
      </c>
      <c r="EY381" s="60" t="n">
        <f aca="false">$G$27/DI381*(ET381-1)-EV381-EU381*(2*CX381/DH381-$G$27/DI381)</f>
        <v>0.198812070380318</v>
      </c>
      <c r="EZ381" s="60" t="n">
        <f aca="false">$H$27/DI381*(ET381-1)-EV381-EU381*(2*CY381/DH381-$H$27/DI381)</f>
        <v>0.198812070380318</v>
      </c>
      <c r="FA381" s="60" t="n">
        <f aca="false">$I$27/DI381*(ET381-1)-EV381-EU381*(2*CZ381/DH381-$I$27/DI381)</f>
        <v>0.198812070380318</v>
      </c>
      <c r="FB381" s="60" t="n">
        <f aca="false">$J$27/DI381*(ET381-1)-EV381-EU381*(2*DA381/DH381-$J$27/DI381)</f>
        <v>0.198812070380318</v>
      </c>
      <c r="FC381" s="60" t="n">
        <f aca="false">$K$27/DI381*(ET381-1)-EV381-EU381*(2*DB381/DH381-$K$27/DI381)</f>
        <v>0.198812070380318</v>
      </c>
      <c r="FD381" s="60" t="n">
        <f aca="false">$L$27/DI381*(ET381-1)-EV381-EU381*(2*DC381/DH381-$L$27/DI381)</f>
        <v>0.198812070380318</v>
      </c>
      <c r="FE381" s="60" t="n">
        <f aca="false">$M$27/DI381*(ET381-1)-EV381-EU381*(2*DD381/DH381-$M$27/DI381)</f>
        <v>0.198812070380318</v>
      </c>
      <c r="FF381" s="60" t="n">
        <f aca="false">$N$27/DI381*(ET381-1)-EV381-EU381*(2*DE381/DH381-$N$27/DI381)</f>
        <v>0.198812070380318</v>
      </c>
      <c r="FG381" s="60" t="n">
        <f aca="false">$O$27/DI381*(ET381-1)-EV381-EU381*(2*DF381/DH381-$O$27/DI381)</f>
        <v>0.198812070380318</v>
      </c>
      <c r="FH381" s="60" t="n">
        <f aca="false">$P$27/DI381*(ET381-1)-EV381-EU381*(2*DG381/DH381-$P$27/DI381)</f>
        <v>0.198812070380318</v>
      </c>
      <c r="FI381" s="60" t="n">
        <f aca="false">DK381/ET381&gt;$C$22</f>
        <v>0</v>
      </c>
      <c r="FJ381" s="60" t="n">
        <f aca="false">$E$28*SUMPRODUCT($E$31:$P$31,CJ381:CU381,$E$28:$P$28)</f>
        <v>0.184416866619846</v>
      </c>
      <c r="FK381" s="60" t="n">
        <f aca="false">$F$28*SUMPRODUCT($E$32:$P$32,CJ381:CU381,$E$28:$P$28)</f>
        <v>0</v>
      </c>
      <c r="FL381" s="60" t="n">
        <f aca="false">$G$28*SUMPRODUCT($E$33:$P$33,CJ381:CU381,$E$28:$P$28)</f>
        <v>0</v>
      </c>
      <c r="FM381" s="60" t="n">
        <f aca="false">$H$28*SUMPRODUCT($E$34:$P$34,CJ381:CU381,$E$28:$P$28)</f>
        <v>0</v>
      </c>
      <c r="FN381" s="60" t="n">
        <f aca="false">$I$28*SUMPRODUCT($E$35:$P$35,CJ381:CU381,$E$28:$P$28)</f>
        <v>0</v>
      </c>
      <c r="FO381" s="60" t="n">
        <f aca="false">$J$28*SUMPRODUCT($E$36:$P$36,CJ381:CU381,$E$28:$P$28)</f>
        <v>0</v>
      </c>
      <c r="FP381" s="60" t="n">
        <f aca="false">$K$28*SUMPRODUCT($E$37:$P$37,CJ381:CU381,$E$28:$P$28)</f>
        <v>0</v>
      </c>
      <c r="FQ381" s="60" t="n">
        <f aca="false">$L$28*SUMPRODUCT($E$38:$P$38,CJ381:CU381,$E$28:$P$28)</f>
        <v>0</v>
      </c>
      <c r="FR381" s="60" t="n">
        <f aca="false">$M$28*SUMPRODUCT($E$39:$P$39,CJ381:CU381,$E$28:$P$28)</f>
        <v>0</v>
      </c>
      <c r="FS381" s="60" t="n">
        <f aca="false">$N$28*SUMPRODUCT($E$40:$P$40,CJ381:CU381,$E$28:$P$28)</f>
        <v>0</v>
      </c>
      <c r="FT381" s="60" t="n">
        <f aca="false">$O$28*SUMPRODUCT($E$41:$P$41,CJ381:CU381,$E$28:$P$28)</f>
        <v>0</v>
      </c>
      <c r="FU381" s="60" t="n">
        <f aca="false">$P$28*SUMPRODUCT($E$42:$P$42,CJ381:CU381,$E$28:$P$28)</f>
        <v>0</v>
      </c>
      <c r="FV381" s="60" t="n">
        <f aca="false">SUMPRODUCT(CJ381:CU381,FJ381:FU381)</f>
        <v>0.184416866619846</v>
      </c>
      <c r="FW381" s="60" t="n">
        <f aca="false">SUMPRODUCT(CJ381:CU381,$E$27:$P$27)</f>
        <v>2.67389635063809E-005</v>
      </c>
      <c r="FX381" s="60" t="n">
        <f aca="false">FV381*$C$9/($C$10*$C$8)^2</f>
        <v>0.21776909410545</v>
      </c>
      <c r="FY381" s="60" t="n">
        <f aca="false">FW381*$C$9/($C$10*$C$8)</f>
        <v>0.0918845243259994</v>
      </c>
      <c r="FZ381" s="60" t="n">
        <f aca="false">CHOOSE($C$7,-(1+FY381),-1,-(1-FY381))</f>
        <v>-0.908115475674001</v>
      </c>
      <c r="GA381" s="60" t="n">
        <f aca="false">CHOOSE($C$7,FX381,FX381-FY381-FY381^2,FX381-3*FY381^2-2*FY381)</f>
        <v>0.00867174802160559</v>
      </c>
      <c r="GB381" s="60" t="n">
        <f aca="false">CHOOSE($C$7,-FX381*FY381,-FX381*FY381,-(FX381*FY381-FY381^2-FY381^3))</f>
        <v>-0.0107910842936637</v>
      </c>
      <c r="GC381" s="60" t="n">
        <f aca="false">GA381-FZ381^2/3</f>
        <v>-0.266219491031267</v>
      </c>
      <c r="GD381" s="60" t="n">
        <f aca="false">2*FZ381^3/27-FZ381*GA381/3+GB381</f>
        <v>-0.0636400988362784</v>
      </c>
      <c r="GE381" s="60" t="n">
        <f aca="false">GD381^2/4+GC381^3/27</f>
        <v>0.000313710901361829</v>
      </c>
      <c r="GF381" s="60" t="n">
        <f aca="false">-GD381/2-IF(GD381&gt;=0,1,-1)*SQRT(MAX(GE381,0))</f>
        <v>0.0495319352963236</v>
      </c>
      <c r="GG381" s="60" t="n">
        <f aca="false">SIGN(GF381)*ABS(GF381)^(1/3)</f>
        <v>0.367249967174439</v>
      </c>
      <c r="GH381" s="60" t="n">
        <f aca="false">IF(GG381=0,0,GG381-GC381/(3*GG381))</f>
        <v>0.60888329127384</v>
      </c>
      <c r="GI381" s="60" t="n">
        <f aca="false">2*SQRT(MAX(-GC381,0)/3)</f>
        <v>0.595784626668918</v>
      </c>
      <c r="GJ381" s="60" t="n">
        <f aca="false">ACOS(IF(GI381=0,0,MAX(-1,MIN(1,3*GD381/(GC381*GI381)))))</f>
        <v>0</v>
      </c>
      <c r="GK381" s="60" t="n">
        <f aca="false">GI381*COS(GJ381/3)</f>
        <v>0.595784626668918</v>
      </c>
      <c r="GL381" s="60" t="n">
        <f aca="false">IF(GE381&lt;0,GK381,GH381)-FZ381/3</f>
        <v>0.91158844983184</v>
      </c>
      <c r="GM381" s="60" t="n">
        <f aca="false">IFERROR((((GL381+FZ381)*GL381+GA381)*GL381+GB381)/((3*GL381+2*FZ381)*GL381+GA381),0)</f>
        <v>0</v>
      </c>
      <c r="GN381" s="60" t="n">
        <f aca="false">IF(ABS(GM381)&lt;0.1*ABS(GL381),GL381-GM381,GL381)</f>
        <v>0.91158844983184</v>
      </c>
      <c r="GO381" s="60" t="n">
        <f aca="false">IFERROR((((GN381+FZ381)*GN381+GA381)*GN381+GB381)/((3*GN381+2*FZ381)*GN381+GA381),0)</f>
        <v>0</v>
      </c>
      <c r="GP381" s="60" t="n">
        <f aca="false">IF(ABS(GO381)&lt;0.1*ABS(GN381),GN381-GO381,GN381)</f>
        <v>0.91158844983184</v>
      </c>
      <c r="GQ381" s="60" t="n">
        <f aca="false">-GB381/GP381</f>
        <v>0.0118376711504565</v>
      </c>
      <c r="GR381" s="60" t="n">
        <f aca="false">(GA381-GQ381)/GP381</f>
        <v>-0.00347297415783941</v>
      </c>
      <c r="GS381" s="60" t="n">
        <f aca="false">GR381^2-4*GQ381</f>
        <v>-0.0473386230523248</v>
      </c>
      <c r="GT381" s="60" t="n">
        <f aca="false">IF(GS381&gt;=0,(GR381+IF(GR381&gt;=0,1,-1)*SQRT(GS381))/2,0)</f>
        <v>0</v>
      </c>
      <c r="GU381" s="60" t="n">
        <f aca="false">IF(AND(GS381&gt;=0,GT381&lt;&gt;0),MIN(GT381,GQ381/GT381),-1)</f>
        <v>-1</v>
      </c>
      <c r="GV381" s="60" t="n">
        <f aca="false">AND(GS381&gt;=0,GU381&gt;FY381,ABS(GP381-GU381)&gt;=0.00005*MAX(GP381,GU381))</f>
        <v>0</v>
      </c>
      <c r="GW381" s="60" t="n">
        <f aca="false">IF(GV381,IFERROR((((GU381+FZ381)*GU381+GA381)*GU381+GB381)/((3*GU381+2*FZ381)*GU381+GA381),0),0)</f>
        <v>0</v>
      </c>
      <c r="GX381" s="60" t="n">
        <f aca="false">IF(ABS(GW381)&lt;0.1*ABS(GU381),GU381-GW381,GU381)</f>
        <v>-1</v>
      </c>
      <c r="GY381" s="60" t="n">
        <f aca="false">IF(GV381,IFERROR((((GX381+FZ381)*GX381+GA381)*GX381+GB381)/((3*GX381+2*FZ381)*GX381+GA381),0),0)</f>
        <v>0</v>
      </c>
      <c r="GZ381" s="60" t="n">
        <f aca="false">IF(ABS(GY381)&lt;0.1*ABS(GX381),GX381-GY381,GX381)</f>
        <v>-1</v>
      </c>
      <c r="HA381" s="60" t="n">
        <f aca="false">IF(GV381,MAX(GP381,GZ381),GP381)</f>
        <v>0.91158844983184</v>
      </c>
      <c r="HB381" s="60" t="n">
        <f aca="false">IF(GV381,MIN(GP381,GZ381),-1)</f>
        <v>-1</v>
      </c>
      <c r="HC381" s="60" t="n">
        <f aca="false">CHOOSE($C$7,FX381/HA381,FX381/FY381*LN(1+FY381/HA381),FX381/(2*SQRT(2)*FY381)*LN((HA381+(1+SQRT(2))*FY381)/(HA381+(1-SQRT(2))*FY381)))</f>
        <v>0.218240791233887</v>
      </c>
      <c r="HD381" s="60" t="n">
        <f aca="false">HA381-1-LN(HA381-FY381)-HC381</f>
        <v>-0.107840271021729</v>
      </c>
      <c r="HE381" s="60" t="n">
        <f aca="false">IF(GV381,CHOOSE($C$7,FX381/HB381,FX381/FY381*LN(1+FY381/HB381),FX381/(2*SQRT(2)*FY381)*LN((HB381+(1+SQRT(2))*FY381)/(HB381+(1-SQRT(2))*FY381))),0)</f>
        <v>0</v>
      </c>
      <c r="HF381" s="60" t="n">
        <f aca="false">IF(GV381,HB381-1-LN(HB381-FY381)-HE381,0)</f>
        <v>0</v>
      </c>
      <c r="HG381" s="60" t="n">
        <f aca="false">AND(GV381,HF381&lt;HD381)</f>
        <v>0</v>
      </c>
      <c r="HH381" s="60" t="n">
        <f aca="false">IF(HG381,HB381,HA381)</f>
        <v>0.91158844983184</v>
      </c>
      <c r="HI381" s="60" t="n">
        <f aca="false">IF(HG381,HE381,HC381)</f>
        <v>0.218240791233887</v>
      </c>
      <c r="HJ381" s="60" t="n">
        <f aca="false">LN(HH381-FY381)</f>
        <v>-0.198812070380318</v>
      </c>
      <c r="HK381" s="60" t="n">
        <f aca="false">$E$27/FW381*(HH381-1)-HJ381-HI381*(2*FJ381/FV381-$E$27/FW381)</f>
        <v>-0.107840271021729</v>
      </c>
      <c r="HL381" s="60" t="n">
        <f aca="false">$F$27/FW381*(HH381-1)-HJ381-HI381*(2*FK381/FV381-$F$27/FW381)</f>
        <v>0.198812070380318</v>
      </c>
      <c r="HM381" s="60" t="n">
        <f aca="false">$G$27/FW381*(HH381-1)-HJ381-HI381*(2*FL381/FV381-$G$27/FW381)</f>
        <v>0.198812070380318</v>
      </c>
      <c r="HN381" s="60" t="n">
        <f aca="false">$H$27/FW381*(HH381-1)-HJ381-HI381*(2*FM381/FV381-$H$27/FW381)</f>
        <v>0.198812070380318</v>
      </c>
      <c r="HO381" s="60" t="n">
        <f aca="false">$I$27/FW381*(HH381-1)-HJ381-HI381*(2*FN381/FV381-$I$27/FW381)</f>
        <v>0.198812070380318</v>
      </c>
      <c r="HP381" s="60" t="n">
        <f aca="false">$J$27/FW381*(HH381-1)-HJ381-HI381*(2*FO381/FV381-$J$27/FW381)</f>
        <v>0.198812070380318</v>
      </c>
      <c r="HQ381" s="60" t="n">
        <f aca="false">$K$27/FW381*(HH381-1)-HJ381-HI381*(2*FP381/FV381-$K$27/FW381)</f>
        <v>0.198812070380318</v>
      </c>
      <c r="HR381" s="60" t="n">
        <f aca="false">$L$27/FW381*(HH381-1)-HJ381-HI381*(2*FQ381/FV381-$L$27/FW381)</f>
        <v>0.198812070380318</v>
      </c>
      <c r="HS381" s="60" t="n">
        <f aca="false">$M$27/FW381*(HH381-1)-HJ381-HI381*(2*FR381/FV381-$M$27/FW381)</f>
        <v>0.198812070380318</v>
      </c>
      <c r="HT381" s="60" t="n">
        <f aca="false">$N$27/FW381*(HH381-1)-HJ381-HI381*(2*FS381/FV381-$N$27/FW381)</f>
        <v>0.198812070380318</v>
      </c>
      <c r="HU381" s="60" t="n">
        <f aca="false">$O$27/FW381*(HH381-1)-HJ381-HI381*(2*FT381/FV381-$O$27/FW381)</f>
        <v>0.198812070380318</v>
      </c>
      <c r="HV381" s="60" t="n">
        <f aca="false">$P$27/FW381*(HH381-1)-HJ381-HI381*(2*FU381/FV381-$P$27/FW381)</f>
        <v>0.198812070380318</v>
      </c>
      <c r="HW381" s="60" t="n">
        <f aca="false">FY381/HH381&gt;$C$22</f>
        <v>0</v>
      </c>
      <c r="HX381" s="60" t="n">
        <f aca="false">IF($E$13&gt;0,MAX(-300,MIN(300,EW381-HK381)),0)</f>
        <v>0</v>
      </c>
      <c r="HY381" s="60" t="n">
        <f aca="false">IF($F$13&gt;0,MAX(-300,MIN(300,EX381-HL381)),0)</f>
        <v>0</v>
      </c>
      <c r="HZ381" s="60" t="n">
        <f aca="false">IF($G$13&gt;0,MAX(-300,MIN(300,EY381-HM381)),0)</f>
        <v>0</v>
      </c>
      <c r="IA381" s="60" t="n">
        <f aca="false">IF($H$13&gt;0,MAX(-300,MIN(300,EZ381-HN381)),0)</f>
        <v>0</v>
      </c>
      <c r="IB381" s="60" t="n">
        <f aca="false">IF($I$13&gt;0,MAX(-300,MIN(300,FA381-HO381)),0)</f>
        <v>0</v>
      </c>
      <c r="IC381" s="60" t="n">
        <f aca="false">IF($J$13&gt;0,MAX(-300,MIN(300,FB381-HP381)),0)</f>
        <v>0</v>
      </c>
      <c r="ID381" s="60" t="n">
        <f aca="false">IF($K$13&gt;0,MAX(-300,MIN(300,FC381-HQ381)),0)</f>
        <v>0</v>
      </c>
      <c r="IE381" s="60" t="n">
        <f aca="false">IF($L$13&gt;0,MAX(-300,MIN(300,FD381-HR381)),0)</f>
        <v>0</v>
      </c>
      <c r="IF381" s="60" t="n">
        <f aca="false">IF($M$13&gt;0,MAX(-300,MIN(300,FE381-HS381)),0)</f>
        <v>0</v>
      </c>
      <c r="IG381" s="60" t="n">
        <f aca="false">IF($N$13&gt;0,MAX(-300,MIN(300,FF381-HT381)),0)</f>
        <v>0</v>
      </c>
      <c r="IH381" s="60" t="n">
        <f aca="false">IF($O$13&gt;0,MAX(-300,MIN(300,FG381-HU381)),0)</f>
        <v>0</v>
      </c>
      <c r="II381" s="60" t="n">
        <f aca="false">IF($P$13&gt;0,MAX(-300,MIN(300,FH381-HV381)),0)</f>
        <v>0</v>
      </c>
      <c r="IJ381" s="60" t="n">
        <f aca="false">SUMXMY2(HX381:II381,B381:M381)</f>
        <v>0</v>
      </c>
      <c r="IK381" s="60" t="n">
        <f aca="false">SUMSQ(B381:M381)</f>
        <v>0</v>
      </c>
    </row>
    <row r="382" customFormat="false" ht="15" hidden="false" customHeight="false" outlineLevel="0" collapsed="false">
      <c r="A382" s="59" t="n">
        <v>21</v>
      </c>
      <c r="B382" s="60" t="n">
        <f aca="false">HX381</f>
        <v>0</v>
      </c>
      <c r="C382" s="60" t="n">
        <f aca="false">HY381</f>
        <v>0</v>
      </c>
      <c r="D382" s="60" t="n">
        <f aca="false">HZ381</f>
        <v>0</v>
      </c>
      <c r="E382" s="60" t="n">
        <f aca="false">IA381</f>
        <v>0</v>
      </c>
      <c r="F382" s="60" t="n">
        <f aca="false">IB381</f>
        <v>0</v>
      </c>
      <c r="G382" s="60" t="n">
        <f aca="false">IC381</f>
        <v>0</v>
      </c>
      <c r="H382" s="60" t="n">
        <f aca="false">ID381</f>
        <v>0</v>
      </c>
      <c r="I382" s="60" t="n">
        <f aca="false">IE381</f>
        <v>0</v>
      </c>
      <c r="J382" s="60" t="n">
        <f aca="false">IF381</f>
        <v>0</v>
      </c>
      <c r="K382" s="60" t="n">
        <f aca="false">IG381</f>
        <v>0</v>
      </c>
      <c r="L382" s="60" t="n">
        <f aca="false">IH381</f>
        <v>0</v>
      </c>
      <c r="M382" s="60" t="n">
        <f aca="false">II381</f>
        <v>0</v>
      </c>
      <c r="N382" s="60" t="n">
        <f aca="false">EXP(B382)</f>
        <v>1</v>
      </c>
      <c r="O382" s="60" t="n">
        <f aca="false">EXP(C382)</f>
        <v>1</v>
      </c>
      <c r="P382" s="60" t="n">
        <f aca="false">EXP(D382)</f>
        <v>1</v>
      </c>
      <c r="Q382" s="60" t="n">
        <f aca="false">EXP(E382)</f>
        <v>1</v>
      </c>
      <c r="R382" s="60" t="n">
        <f aca="false">EXP(F382)</f>
        <v>1</v>
      </c>
      <c r="S382" s="60" t="n">
        <f aca="false">EXP(G382)</f>
        <v>1</v>
      </c>
      <c r="T382" s="60" t="n">
        <f aca="false">EXP(H382)</f>
        <v>1</v>
      </c>
      <c r="U382" s="60" t="n">
        <f aca="false">EXP(I382)</f>
        <v>1</v>
      </c>
      <c r="V382" s="60" t="n">
        <f aca="false">EXP(J382)</f>
        <v>1</v>
      </c>
      <c r="W382" s="60" t="n">
        <f aca="false">EXP(K382)</f>
        <v>1</v>
      </c>
      <c r="X382" s="60" t="n">
        <f aca="false">EXP(L382)</f>
        <v>1</v>
      </c>
      <c r="Y382" s="60" t="n">
        <f aca="false">EXP(M382)</f>
        <v>1</v>
      </c>
      <c r="Z382" s="60" t="n">
        <f aca="false">MAX(N382:Y382)</f>
        <v>1</v>
      </c>
      <c r="AA382" s="60" t="n">
        <f aca="false">MIN(N382:Y382)</f>
        <v>1</v>
      </c>
      <c r="AB382" s="60" t="n">
        <f aca="false">AND(Z382&gt;1,AA382&lt;1)</f>
        <v>0</v>
      </c>
      <c r="AC382" s="60" t="n">
        <f aca="false">IF(AB382,1/(1-Z382),0)</f>
        <v>0</v>
      </c>
      <c r="AD382" s="60" t="n">
        <f aca="false">IF(AB382,1/(1-AA382),1)</f>
        <v>1</v>
      </c>
      <c r="AE382" s="60" t="n">
        <f aca="false">IF(AB382,MIN(MAX(BI381,AC382+0.000000001*(AD382-AC382)),AD382-0.000000001*(AD382-AC382)),IF(AA382&gt;=1,1,0))</f>
        <v>1</v>
      </c>
      <c r="AF382" s="60" t="n">
        <f aca="false">SUMPRODUCT($E$13:$P$13*(N382:Y382-1)/(1+AE382*(N382:Y382-1)))</f>
        <v>0</v>
      </c>
      <c r="AG382" s="60" t="n">
        <f aca="false">-SUMPRODUCT($E$13:$P$13*(N382:Y382-1)^2/(1+AE382*(N382:Y382-1))^2)</f>
        <v>-0</v>
      </c>
      <c r="AH382" s="60" t="n">
        <f aca="false">IF(OR(NOT(AB382),AG382=0),AE382,IF(AE382-AF382/AG382&lt;=AC382,(AE382+AC382)/2,IF(AE382-AF382/AG382&gt;=AD382,(AE382+AD382)/2,AE382-AF382/AG382)))</f>
        <v>1</v>
      </c>
      <c r="AI382" s="60" t="n">
        <f aca="false">SUMPRODUCT($E$13:$P$13*(N382:Y382-1)/(1+AH382*(N382:Y382-1)))</f>
        <v>0</v>
      </c>
      <c r="AJ382" s="60" t="n">
        <f aca="false">-SUMPRODUCT($E$13:$P$13*(N382:Y382-1)^2/(1+AH382*(N382:Y382-1))^2)</f>
        <v>-0</v>
      </c>
      <c r="AK382" s="60" t="n">
        <f aca="false">IF(OR(NOT(AB382),AJ382=0),AH382,IF(AH382-AI382/AJ382&lt;=AC382,(AH382+AC382)/2,IF(AH382-AI382/AJ382&gt;=AD382,(AH382+AD382)/2,AH382-AI382/AJ382)))</f>
        <v>1</v>
      </c>
      <c r="AL382" s="60" t="n">
        <f aca="false">SUMPRODUCT($E$13:$P$13*(N382:Y382-1)/(1+AK382*(N382:Y382-1)))</f>
        <v>0</v>
      </c>
      <c r="AM382" s="60" t="n">
        <f aca="false">-SUMPRODUCT($E$13:$P$13*(N382:Y382-1)^2/(1+AK382*(N382:Y382-1))^2)</f>
        <v>-0</v>
      </c>
      <c r="AN382" s="60" t="n">
        <f aca="false">IF(OR(NOT(AB382),AM382=0),AK382,IF(AK382-AL382/AM382&lt;=AC382,(AK382+AC382)/2,IF(AK382-AL382/AM382&gt;=AD382,(AK382+AD382)/2,AK382-AL382/AM382)))</f>
        <v>1</v>
      </c>
      <c r="AO382" s="60" t="n">
        <f aca="false">SUMPRODUCT($E$13:$P$13*(N382:Y382-1)/(1+AN382*(N382:Y382-1)))</f>
        <v>0</v>
      </c>
      <c r="AP382" s="60" t="n">
        <f aca="false">-SUMPRODUCT($E$13:$P$13*(N382:Y382-1)^2/(1+AN382*(N382:Y382-1))^2)</f>
        <v>-0</v>
      </c>
      <c r="AQ382" s="60" t="n">
        <f aca="false">IF(OR(NOT(AB382),AP382=0),AN382,IF(AN382-AO382/AP382&lt;=AC382,(AN382+AC382)/2,IF(AN382-AO382/AP382&gt;=AD382,(AN382+AD382)/2,AN382-AO382/AP382)))</f>
        <v>1</v>
      </c>
      <c r="AR382" s="60" t="n">
        <f aca="false">SUMPRODUCT($E$13:$P$13*(N382:Y382-1)/(1+AQ382*(N382:Y382-1)))</f>
        <v>0</v>
      </c>
      <c r="AS382" s="60" t="n">
        <f aca="false">-SUMPRODUCT($E$13:$P$13*(N382:Y382-1)^2/(1+AQ382*(N382:Y382-1))^2)</f>
        <v>-0</v>
      </c>
      <c r="AT382" s="60" t="n">
        <f aca="false">IF(OR(NOT(AB382),AS382=0),AQ382,IF(AQ382-AR382/AS382&lt;=AC382,(AQ382+AC382)/2,IF(AQ382-AR382/AS382&gt;=AD382,(AQ382+AD382)/2,AQ382-AR382/AS382)))</f>
        <v>1</v>
      </c>
      <c r="AU382" s="60" t="n">
        <f aca="false">SUMPRODUCT($E$13:$P$13*(N382:Y382-1)/(1+AT382*(N382:Y382-1)))</f>
        <v>0</v>
      </c>
      <c r="AV382" s="60" t="n">
        <f aca="false">-SUMPRODUCT($E$13:$P$13*(N382:Y382-1)^2/(1+AT382*(N382:Y382-1))^2)</f>
        <v>-0</v>
      </c>
      <c r="AW382" s="60" t="n">
        <f aca="false">IF(OR(NOT(AB382),AV382=0),AT382,IF(AT382-AU382/AV382&lt;=AC382,(AT382+AC382)/2,IF(AT382-AU382/AV382&gt;=AD382,(AT382+AD382)/2,AT382-AU382/AV382)))</f>
        <v>1</v>
      </c>
      <c r="AX382" s="60" t="n">
        <f aca="false">SUMPRODUCT($E$13:$P$13*(N382:Y382-1)/(1+AW382*(N382:Y382-1)))</f>
        <v>0</v>
      </c>
      <c r="AY382" s="60" t="n">
        <f aca="false">-SUMPRODUCT($E$13:$P$13*(N382:Y382-1)^2/(1+AW382*(N382:Y382-1))^2)</f>
        <v>-0</v>
      </c>
      <c r="AZ382" s="60" t="n">
        <f aca="false">IF(OR(NOT(AB382),AY382=0),AW382,IF(AW382-AX382/AY382&lt;=AC382,(AW382+AC382)/2,IF(AW382-AX382/AY382&gt;=AD382,(AW382+AD382)/2,AW382-AX382/AY382)))</f>
        <v>1</v>
      </c>
      <c r="BA382" s="60" t="n">
        <f aca="false">SUMPRODUCT($E$13:$P$13*(N382:Y382-1)/(1+AZ382*(N382:Y382-1)))</f>
        <v>0</v>
      </c>
      <c r="BB382" s="60" t="n">
        <f aca="false">-SUMPRODUCT($E$13:$P$13*(N382:Y382-1)^2/(1+AZ382*(N382:Y382-1))^2)</f>
        <v>-0</v>
      </c>
      <c r="BC382" s="60" t="n">
        <f aca="false">IF(OR(NOT(AB382),BB382=0),AZ382,IF(AZ382-BA382/BB382&lt;=AC382,(AZ382+AC382)/2,IF(AZ382-BA382/BB382&gt;=AD382,(AZ382+AD382)/2,AZ382-BA382/BB382)))</f>
        <v>1</v>
      </c>
      <c r="BD382" s="60" t="n">
        <f aca="false">SUMPRODUCT($E$13:$P$13*(N382:Y382-1)/(1+BC382*(N382:Y382-1)))</f>
        <v>0</v>
      </c>
      <c r="BE382" s="60" t="n">
        <f aca="false">-SUMPRODUCT($E$13:$P$13*(N382:Y382-1)^2/(1+BC382*(N382:Y382-1))^2)</f>
        <v>-0</v>
      </c>
      <c r="BF382" s="60" t="n">
        <f aca="false">IF(OR(NOT(AB382),BE382=0),BC382,IF(BC382-BD382/BE382&lt;=AC382,(BC382+AC382)/2,IF(BC382-BD382/BE382&gt;=AD382,(BC382+AD382)/2,BC382-BD382/BE382)))</f>
        <v>1</v>
      </c>
      <c r="BG382" s="60" t="n">
        <f aca="false">SUMPRODUCT($E$13:$P$13*(N382:Y382-1)/(1+BF382*(N382:Y382-1)))</f>
        <v>0</v>
      </c>
      <c r="BH382" s="60" t="n">
        <f aca="false">-SUMPRODUCT($E$13:$P$13*(N382:Y382-1)^2/(1+BF382*(N382:Y382-1))^2)</f>
        <v>-0</v>
      </c>
      <c r="BI382" s="60" t="n">
        <f aca="false">IF(OR(NOT(AB382),BH382=0),BF382,IF(BF382-BG382/BH382&lt;=AC382,(BF382+AC382)/2,IF(BF382-BG382/BH382&gt;=AD382,(BF382+AD382)/2,BF382-BG382/BH382)))</f>
        <v>1</v>
      </c>
      <c r="BJ382" s="60" t="n">
        <f aca="false">$E$13/(1+BI382*(N382-1))</f>
        <v>1</v>
      </c>
      <c r="BK382" s="60" t="n">
        <f aca="false">$F$13/(1+BI382*(O382-1))</f>
        <v>0</v>
      </c>
      <c r="BL382" s="60" t="n">
        <f aca="false">$G$13/(1+BI382*(P382-1))</f>
        <v>0</v>
      </c>
      <c r="BM382" s="60" t="n">
        <f aca="false">$H$13/(1+BI382*(Q382-1))</f>
        <v>0</v>
      </c>
      <c r="BN382" s="60" t="n">
        <f aca="false">$I$13/(1+BI382*(R382-1))</f>
        <v>0</v>
      </c>
      <c r="BO382" s="60" t="n">
        <f aca="false">$J$13/(1+BI382*(S382-1))</f>
        <v>0</v>
      </c>
      <c r="BP382" s="60" t="n">
        <f aca="false">$K$13/(1+BI382*(T382-1))</f>
        <v>0</v>
      </c>
      <c r="BQ382" s="60" t="n">
        <f aca="false">$L$13/(1+BI382*(U382-1))</f>
        <v>0</v>
      </c>
      <c r="BR382" s="60" t="n">
        <f aca="false">$M$13/(1+BI382*(V382-1))</f>
        <v>0</v>
      </c>
      <c r="BS382" s="60" t="n">
        <f aca="false">$N$13/(1+BI382*(W382-1))</f>
        <v>0</v>
      </c>
      <c r="BT382" s="60" t="n">
        <f aca="false">$O$13/(1+BI382*(X382-1))</f>
        <v>0</v>
      </c>
      <c r="BU382" s="60" t="n">
        <f aca="false">$P$13/(1+BI382*(Y382-1))</f>
        <v>0</v>
      </c>
      <c r="BV382" s="60" t="n">
        <f aca="false">SUM(BJ382:BU382)</f>
        <v>1</v>
      </c>
      <c r="BW382" s="60" t="n">
        <f aca="false">SUMPRODUCT(N382:Y382,BJ382:BU382)</f>
        <v>1</v>
      </c>
      <c r="BX382" s="60" t="n">
        <f aca="false">BJ382/BV382</f>
        <v>1</v>
      </c>
      <c r="BY382" s="60" t="n">
        <f aca="false">BK382/BV382</f>
        <v>0</v>
      </c>
      <c r="BZ382" s="60" t="n">
        <f aca="false">BL382/BV382</f>
        <v>0</v>
      </c>
      <c r="CA382" s="60" t="n">
        <f aca="false">BM382/BV382</f>
        <v>0</v>
      </c>
      <c r="CB382" s="60" t="n">
        <f aca="false">BN382/BV382</f>
        <v>0</v>
      </c>
      <c r="CC382" s="60" t="n">
        <f aca="false">BO382/BV382</f>
        <v>0</v>
      </c>
      <c r="CD382" s="60" t="n">
        <f aca="false">BP382/BV382</f>
        <v>0</v>
      </c>
      <c r="CE382" s="60" t="n">
        <f aca="false">BQ382/BV382</f>
        <v>0</v>
      </c>
      <c r="CF382" s="60" t="n">
        <f aca="false">BR382/BV382</f>
        <v>0</v>
      </c>
      <c r="CG382" s="60" t="n">
        <f aca="false">BS382/BV382</f>
        <v>0</v>
      </c>
      <c r="CH382" s="60" t="n">
        <f aca="false">BT382/BV382</f>
        <v>0</v>
      </c>
      <c r="CI382" s="60" t="n">
        <f aca="false">BU382/BV382</f>
        <v>0</v>
      </c>
      <c r="CJ382" s="60" t="n">
        <f aca="false">N382*BJ382/BW382</f>
        <v>1</v>
      </c>
      <c r="CK382" s="60" t="n">
        <f aca="false">O382*BK382/BW382</f>
        <v>0</v>
      </c>
      <c r="CL382" s="60" t="n">
        <f aca="false">P382*BL382/BW382</f>
        <v>0</v>
      </c>
      <c r="CM382" s="60" t="n">
        <f aca="false">Q382*BM382/BW382</f>
        <v>0</v>
      </c>
      <c r="CN382" s="60" t="n">
        <f aca="false">R382*BN382/BW382</f>
        <v>0</v>
      </c>
      <c r="CO382" s="60" t="n">
        <f aca="false">S382*BO382/BW382</f>
        <v>0</v>
      </c>
      <c r="CP382" s="60" t="n">
        <f aca="false">T382*BP382/BW382</f>
        <v>0</v>
      </c>
      <c r="CQ382" s="60" t="n">
        <f aca="false">U382*BQ382/BW382</f>
        <v>0</v>
      </c>
      <c r="CR382" s="60" t="n">
        <f aca="false">V382*BR382/BW382</f>
        <v>0</v>
      </c>
      <c r="CS382" s="60" t="n">
        <f aca="false">W382*BS382/BW382</f>
        <v>0</v>
      </c>
      <c r="CT382" s="60" t="n">
        <f aca="false">X382*BT382/BW382</f>
        <v>0</v>
      </c>
      <c r="CU382" s="60" t="n">
        <f aca="false">Y382*BU382/BW382</f>
        <v>0</v>
      </c>
      <c r="CV382" s="60" t="n">
        <f aca="false">$E$28*SUMPRODUCT($E$31:$P$31,BX382:CI382,$E$28:$P$28)</f>
        <v>0.184416866619846</v>
      </c>
      <c r="CW382" s="60" t="n">
        <f aca="false">$F$28*SUMPRODUCT($E$32:$P$32,BX382:CI382,$E$28:$P$28)</f>
        <v>0</v>
      </c>
      <c r="CX382" s="60" t="n">
        <f aca="false">$G$28*SUMPRODUCT($E$33:$P$33,BX382:CI382,$E$28:$P$28)</f>
        <v>0</v>
      </c>
      <c r="CY382" s="60" t="n">
        <f aca="false">$H$28*SUMPRODUCT($E$34:$P$34,BX382:CI382,$E$28:$P$28)</f>
        <v>0</v>
      </c>
      <c r="CZ382" s="60" t="n">
        <f aca="false">$I$28*SUMPRODUCT($E$35:$P$35,BX382:CI382,$E$28:$P$28)</f>
        <v>0</v>
      </c>
      <c r="DA382" s="60" t="n">
        <f aca="false">$J$28*SUMPRODUCT($E$36:$P$36,BX382:CI382,$E$28:$P$28)</f>
        <v>0</v>
      </c>
      <c r="DB382" s="60" t="n">
        <f aca="false">$K$28*SUMPRODUCT($E$37:$P$37,BX382:CI382,$E$28:$P$28)</f>
        <v>0</v>
      </c>
      <c r="DC382" s="60" t="n">
        <f aca="false">$L$28*SUMPRODUCT($E$38:$P$38,BX382:CI382,$E$28:$P$28)</f>
        <v>0</v>
      </c>
      <c r="DD382" s="60" t="n">
        <f aca="false">$M$28*SUMPRODUCT($E$39:$P$39,BX382:CI382,$E$28:$P$28)</f>
        <v>0</v>
      </c>
      <c r="DE382" s="60" t="n">
        <f aca="false">$N$28*SUMPRODUCT($E$40:$P$40,BX382:CI382,$E$28:$P$28)</f>
        <v>0</v>
      </c>
      <c r="DF382" s="60" t="n">
        <f aca="false">$O$28*SUMPRODUCT($E$41:$P$41,BX382:CI382,$E$28:$P$28)</f>
        <v>0</v>
      </c>
      <c r="DG382" s="60" t="n">
        <f aca="false">$P$28*SUMPRODUCT($E$42:$P$42,BX382:CI382,$E$28:$P$28)</f>
        <v>0</v>
      </c>
      <c r="DH382" s="60" t="n">
        <f aca="false">SUMPRODUCT(BX382:CI382,CV382:DG382)</f>
        <v>0.184416866619846</v>
      </c>
      <c r="DI382" s="60" t="n">
        <f aca="false">SUMPRODUCT(BX382:CI382,$E$27:$P$27)</f>
        <v>2.67389635063809E-005</v>
      </c>
      <c r="DJ382" s="60" t="n">
        <f aca="false">DH382*$C$9/($C$10*$C$8)^2</f>
        <v>0.21776909410545</v>
      </c>
      <c r="DK382" s="60" t="n">
        <f aca="false">DI382*$C$9/($C$10*$C$8)</f>
        <v>0.0918845243259994</v>
      </c>
      <c r="DL382" s="60" t="n">
        <f aca="false">CHOOSE($C$7,-(1+DK382),-1,-(1-DK382))</f>
        <v>-0.908115475674001</v>
      </c>
      <c r="DM382" s="60" t="n">
        <f aca="false">CHOOSE($C$7,DJ382,DJ382-DK382-DK382^2,DJ382-3*DK382^2-2*DK382)</f>
        <v>0.00867174802160559</v>
      </c>
      <c r="DN382" s="60" t="n">
        <f aca="false">CHOOSE($C$7,-DJ382*DK382,-DJ382*DK382,-(DJ382*DK382-DK382^2-DK382^3))</f>
        <v>-0.0107910842936637</v>
      </c>
      <c r="DO382" s="60" t="n">
        <f aca="false">DM382-DL382^2/3</f>
        <v>-0.266219491031267</v>
      </c>
      <c r="DP382" s="60" t="n">
        <f aca="false">2*DL382^3/27-DL382*DM382/3+DN382</f>
        <v>-0.0636400988362784</v>
      </c>
      <c r="DQ382" s="60" t="n">
        <f aca="false">DP382^2/4+DO382^3/27</f>
        <v>0.000313710901361829</v>
      </c>
      <c r="DR382" s="60" t="n">
        <f aca="false">-DP382/2-IF(DP382&gt;=0,1,-1)*SQRT(MAX(DQ382,0))</f>
        <v>0.0495319352963236</v>
      </c>
      <c r="DS382" s="60" t="n">
        <f aca="false">SIGN(DR382)*ABS(DR382)^(1/3)</f>
        <v>0.367249967174439</v>
      </c>
      <c r="DT382" s="60" t="n">
        <f aca="false">IF(DS382=0,0,DS382-DO382/(3*DS382))</f>
        <v>0.60888329127384</v>
      </c>
      <c r="DU382" s="60" t="n">
        <f aca="false">2*SQRT(MAX(-DO382,0)/3)</f>
        <v>0.595784626668918</v>
      </c>
      <c r="DV382" s="60" t="n">
        <f aca="false">ACOS(IF(DU382=0,0,MAX(-1,MIN(1,3*DP382/(DO382*DU382)))))</f>
        <v>0</v>
      </c>
      <c r="DW382" s="60" t="n">
        <f aca="false">DU382*COS(DV382/3)</f>
        <v>0.595784626668918</v>
      </c>
      <c r="DX382" s="60" t="n">
        <f aca="false">IF(DQ382&lt;0,DW382,DT382)-DL382/3</f>
        <v>0.91158844983184</v>
      </c>
      <c r="DY382" s="60" t="n">
        <f aca="false">IFERROR((((DX382+DL382)*DX382+DM382)*DX382+DN382)/((3*DX382+2*DL382)*DX382+DM382),0)</f>
        <v>0</v>
      </c>
      <c r="DZ382" s="60" t="n">
        <f aca="false">IF(ABS(DY382)&lt;0.1*ABS(DX382),DX382-DY382,DX382)</f>
        <v>0.91158844983184</v>
      </c>
      <c r="EA382" s="60" t="n">
        <f aca="false">IFERROR((((DZ382+DL382)*DZ382+DM382)*DZ382+DN382)/((3*DZ382+2*DL382)*DZ382+DM382),0)</f>
        <v>0</v>
      </c>
      <c r="EB382" s="60" t="n">
        <f aca="false">IF(ABS(EA382)&lt;0.1*ABS(DZ382),DZ382-EA382,DZ382)</f>
        <v>0.91158844983184</v>
      </c>
      <c r="EC382" s="60" t="n">
        <f aca="false">-DN382/EB382</f>
        <v>0.0118376711504565</v>
      </c>
      <c r="ED382" s="60" t="n">
        <f aca="false">(DM382-EC382)/EB382</f>
        <v>-0.00347297415783941</v>
      </c>
      <c r="EE382" s="60" t="n">
        <f aca="false">ED382^2-4*EC382</f>
        <v>-0.0473386230523248</v>
      </c>
      <c r="EF382" s="60" t="n">
        <f aca="false">IF(EE382&gt;=0,(ED382+IF(ED382&gt;=0,1,-1)*SQRT(EE382))/2,0)</f>
        <v>0</v>
      </c>
      <c r="EG382" s="60" t="n">
        <f aca="false">IF(AND(EE382&gt;=0,EF382&lt;&gt;0),MIN(EF382,EC382/EF382),-1)</f>
        <v>-1</v>
      </c>
      <c r="EH382" s="60" t="n">
        <f aca="false">AND(EE382&gt;=0,EG382&gt;DK382,ABS(EB382-EG382)&gt;=0.00005*MAX(EB382,EG382))</f>
        <v>0</v>
      </c>
      <c r="EI382" s="60" t="n">
        <f aca="false">IF(EH382,IFERROR((((EG382+DL382)*EG382+DM382)*EG382+DN382)/((3*EG382+2*DL382)*EG382+DM382),0),0)</f>
        <v>0</v>
      </c>
      <c r="EJ382" s="60" t="n">
        <f aca="false">IF(ABS(EI382)&lt;0.1*ABS(EG382),EG382-EI382,EG382)</f>
        <v>-1</v>
      </c>
      <c r="EK382" s="60" t="n">
        <f aca="false">IF(EH382,IFERROR((((EJ382+DL382)*EJ382+DM382)*EJ382+DN382)/((3*EJ382+2*DL382)*EJ382+DM382),0),0)</f>
        <v>0</v>
      </c>
      <c r="EL382" s="60" t="n">
        <f aca="false">IF(ABS(EK382)&lt;0.1*ABS(EJ382),EJ382-EK382,EJ382)</f>
        <v>-1</v>
      </c>
      <c r="EM382" s="60" t="n">
        <f aca="false">IF(EH382,MAX(EB382,EL382),EB382)</f>
        <v>0.91158844983184</v>
      </c>
      <c r="EN382" s="60" t="n">
        <f aca="false">IF(EH382,MIN(EB382,EL382),-1)</f>
        <v>-1</v>
      </c>
      <c r="EO382" s="60" t="n">
        <f aca="false">CHOOSE($C$7,DJ382/EM382,DJ382/DK382*LN(1+DK382/EM382),DJ382/(2*SQRT(2)*DK382)*LN((EM382+(1+SQRT(2))*DK382)/(EM382+(1-SQRT(2))*DK382)))</f>
        <v>0.218240791233887</v>
      </c>
      <c r="EP382" s="60" t="n">
        <f aca="false">EM382-1-LN(EM382-DK382)-EO382</f>
        <v>-0.107840271021729</v>
      </c>
      <c r="EQ382" s="60" t="n">
        <f aca="false">IF(EH382,CHOOSE($C$7,DJ382/EN382,DJ382/DK382*LN(1+DK382/EN382),DJ382/(2*SQRT(2)*DK382)*LN((EN382+(1+SQRT(2))*DK382)/(EN382+(1-SQRT(2))*DK382))),0)</f>
        <v>0</v>
      </c>
      <c r="ER382" s="60" t="n">
        <f aca="false">IF(EH382,EN382-1-LN(EN382-DK382)-EQ382,0)</f>
        <v>0</v>
      </c>
      <c r="ES382" s="60" t="n">
        <f aca="false">AND(EH382,ER382&lt;EP382)</f>
        <v>0</v>
      </c>
      <c r="ET382" s="60" t="n">
        <f aca="false">IF(ES382,EN382,EM382)</f>
        <v>0.91158844983184</v>
      </c>
      <c r="EU382" s="60" t="n">
        <f aca="false">IF(ES382,EQ382,EO382)</f>
        <v>0.218240791233887</v>
      </c>
      <c r="EV382" s="60" t="n">
        <f aca="false">LN(ET382-DK382)</f>
        <v>-0.198812070380318</v>
      </c>
      <c r="EW382" s="60" t="n">
        <f aca="false">$E$27/DI382*(ET382-1)-EV382-EU382*(2*CV382/DH382-$E$27/DI382)</f>
        <v>-0.107840271021729</v>
      </c>
      <c r="EX382" s="60" t="n">
        <f aca="false">$F$27/DI382*(ET382-1)-EV382-EU382*(2*CW382/DH382-$F$27/DI382)</f>
        <v>0.198812070380318</v>
      </c>
      <c r="EY382" s="60" t="n">
        <f aca="false">$G$27/DI382*(ET382-1)-EV382-EU382*(2*CX382/DH382-$G$27/DI382)</f>
        <v>0.198812070380318</v>
      </c>
      <c r="EZ382" s="60" t="n">
        <f aca="false">$H$27/DI382*(ET382-1)-EV382-EU382*(2*CY382/DH382-$H$27/DI382)</f>
        <v>0.198812070380318</v>
      </c>
      <c r="FA382" s="60" t="n">
        <f aca="false">$I$27/DI382*(ET382-1)-EV382-EU382*(2*CZ382/DH382-$I$27/DI382)</f>
        <v>0.198812070380318</v>
      </c>
      <c r="FB382" s="60" t="n">
        <f aca="false">$J$27/DI382*(ET382-1)-EV382-EU382*(2*DA382/DH382-$J$27/DI382)</f>
        <v>0.198812070380318</v>
      </c>
      <c r="FC382" s="60" t="n">
        <f aca="false">$K$27/DI382*(ET382-1)-EV382-EU382*(2*DB382/DH382-$K$27/DI382)</f>
        <v>0.198812070380318</v>
      </c>
      <c r="FD382" s="60" t="n">
        <f aca="false">$L$27/DI382*(ET382-1)-EV382-EU382*(2*DC382/DH382-$L$27/DI382)</f>
        <v>0.198812070380318</v>
      </c>
      <c r="FE382" s="60" t="n">
        <f aca="false">$M$27/DI382*(ET382-1)-EV382-EU382*(2*DD382/DH382-$M$27/DI382)</f>
        <v>0.198812070380318</v>
      </c>
      <c r="FF382" s="60" t="n">
        <f aca="false">$N$27/DI382*(ET382-1)-EV382-EU382*(2*DE382/DH382-$N$27/DI382)</f>
        <v>0.198812070380318</v>
      </c>
      <c r="FG382" s="60" t="n">
        <f aca="false">$O$27/DI382*(ET382-1)-EV382-EU382*(2*DF382/DH382-$O$27/DI382)</f>
        <v>0.198812070380318</v>
      </c>
      <c r="FH382" s="60" t="n">
        <f aca="false">$P$27/DI382*(ET382-1)-EV382-EU382*(2*DG382/DH382-$P$27/DI382)</f>
        <v>0.198812070380318</v>
      </c>
      <c r="FI382" s="60" t="n">
        <f aca="false">DK382/ET382&gt;$C$22</f>
        <v>0</v>
      </c>
      <c r="FJ382" s="60" t="n">
        <f aca="false">$E$28*SUMPRODUCT($E$31:$P$31,CJ382:CU382,$E$28:$P$28)</f>
        <v>0.184416866619846</v>
      </c>
      <c r="FK382" s="60" t="n">
        <f aca="false">$F$28*SUMPRODUCT($E$32:$P$32,CJ382:CU382,$E$28:$P$28)</f>
        <v>0</v>
      </c>
      <c r="FL382" s="60" t="n">
        <f aca="false">$G$28*SUMPRODUCT($E$33:$P$33,CJ382:CU382,$E$28:$P$28)</f>
        <v>0</v>
      </c>
      <c r="FM382" s="60" t="n">
        <f aca="false">$H$28*SUMPRODUCT($E$34:$P$34,CJ382:CU382,$E$28:$P$28)</f>
        <v>0</v>
      </c>
      <c r="FN382" s="60" t="n">
        <f aca="false">$I$28*SUMPRODUCT($E$35:$P$35,CJ382:CU382,$E$28:$P$28)</f>
        <v>0</v>
      </c>
      <c r="FO382" s="60" t="n">
        <f aca="false">$J$28*SUMPRODUCT($E$36:$P$36,CJ382:CU382,$E$28:$P$28)</f>
        <v>0</v>
      </c>
      <c r="FP382" s="60" t="n">
        <f aca="false">$K$28*SUMPRODUCT($E$37:$P$37,CJ382:CU382,$E$28:$P$28)</f>
        <v>0</v>
      </c>
      <c r="FQ382" s="60" t="n">
        <f aca="false">$L$28*SUMPRODUCT($E$38:$P$38,CJ382:CU382,$E$28:$P$28)</f>
        <v>0</v>
      </c>
      <c r="FR382" s="60" t="n">
        <f aca="false">$M$28*SUMPRODUCT($E$39:$P$39,CJ382:CU382,$E$28:$P$28)</f>
        <v>0</v>
      </c>
      <c r="FS382" s="60" t="n">
        <f aca="false">$N$28*SUMPRODUCT($E$40:$P$40,CJ382:CU382,$E$28:$P$28)</f>
        <v>0</v>
      </c>
      <c r="FT382" s="60" t="n">
        <f aca="false">$O$28*SUMPRODUCT($E$41:$P$41,CJ382:CU382,$E$28:$P$28)</f>
        <v>0</v>
      </c>
      <c r="FU382" s="60" t="n">
        <f aca="false">$P$28*SUMPRODUCT($E$42:$P$42,CJ382:CU382,$E$28:$P$28)</f>
        <v>0</v>
      </c>
      <c r="FV382" s="60" t="n">
        <f aca="false">SUMPRODUCT(CJ382:CU382,FJ382:FU382)</f>
        <v>0.184416866619846</v>
      </c>
      <c r="FW382" s="60" t="n">
        <f aca="false">SUMPRODUCT(CJ382:CU382,$E$27:$P$27)</f>
        <v>2.67389635063809E-005</v>
      </c>
      <c r="FX382" s="60" t="n">
        <f aca="false">FV382*$C$9/($C$10*$C$8)^2</f>
        <v>0.21776909410545</v>
      </c>
      <c r="FY382" s="60" t="n">
        <f aca="false">FW382*$C$9/($C$10*$C$8)</f>
        <v>0.0918845243259994</v>
      </c>
      <c r="FZ382" s="60" t="n">
        <f aca="false">CHOOSE($C$7,-(1+FY382),-1,-(1-FY382))</f>
        <v>-0.908115475674001</v>
      </c>
      <c r="GA382" s="60" t="n">
        <f aca="false">CHOOSE($C$7,FX382,FX382-FY382-FY382^2,FX382-3*FY382^2-2*FY382)</f>
        <v>0.00867174802160559</v>
      </c>
      <c r="GB382" s="60" t="n">
        <f aca="false">CHOOSE($C$7,-FX382*FY382,-FX382*FY382,-(FX382*FY382-FY382^2-FY382^3))</f>
        <v>-0.0107910842936637</v>
      </c>
      <c r="GC382" s="60" t="n">
        <f aca="false">GA382-FZ382^2/3</f>
        <v>-0.266219491031267</v>
      </c>
      <c r="GD382" s="60" t="n">
        <f aca="false">2*FZ382^3/27-FZ382*GA382/3+GB382</f>
        <v>-0.0636400988362784</v>
      </c>
      <c r="GE382" s="60" t="n">
        <f aca="false">GD382^2/4+GC382^3/27</f>
        <v>0.000313710901361829</v>
      </c>
      <c r="GF382" s="60" t="n">
        <f aca="false">-GD382/2-IF(GD382&gt;=0,1,-1)*SQRT(MAX(GE382,0))</f>
        <v>0.0495319352963236</v>
      </c>
      <c r="GG382" s="60" t="n">
        <f aca="false">SIGN(GF382)*ABS(GF382)^(1/3)</f>
        <v>0.367249967174439</v>
      </c>
      <c r="GH382" s="60" t="n">
        <f aca="false">IF(GG382=0,0,GG382-GC382/(3*GG382))</f>
        <v>0.60888329127384</v>
      </c>
      <c r="GI382" s="60" t="n">
        <f aca="false">2*SQRT(MAX(-GC382,0)/3)</f>
        <v>0.595784626668918</v>
      </c>
      <c r="GJ382" s="60" t="n">
        <f aca="false">ACOS(IF(GI382=0,0,MAX(-1,MIN(1,3*GD382/(GC382*GI382)))))</f>
        <v>0</v>
      </c>
      <c r="GK382" s="60" t="n">
        <f aca="false">GI382*COS(GJ382/3)</f>
        <v>0.595784626668918</v>
      </c>
      <c r="GL382" s="60" t="n">
        <f aca="false">IF(GE382&lt;0,GK382,GH382)-FZ382/3</f>
        <v>0.91158844983184</v>
      </c>
      <c r="GM382" s="60" t="n">
        <f aca="false">IFERROR((((GL382+FZ382)*GL382+GA382)*GL382+GB382)/((3*GL382+2*FZ382)*GL382+GA382),0)</f>
        <v>0</v>
      </c>
      <c r="GN382" s="60" t="n">
        <f aca="false">IF(ABS(GM382)&lt;0.1*ABS(GL382),GL382-GM382,GL382)</f>
        <v>0.91158844983184</v>
      </c>
      <c r="GO382" s="60" t="n">
        <f aca="false">IFERROR((((GN382+FZ382)*GN382+GA382)*GN382+GB382)/((3*GN382+2*FZ382)*GN382+GA382),0)</f>
        <v>0</v>
      </c>
      <c r="GP382" s="60" t="n">
        <f aca="false">IF(ABS(GO382)&lt;0.1*ABS(GN382),GN382-GO382,GN382)</f>
        <v>0.91158844983184</v>
      </c>
      <c r="GQ382" s="60" t="n">
        <f aca="false">-GB382/GP382</f>
        <v>0.0118376711504565</v>
      </c>
      <c r="GR382" s="60" t="n">
        <f aca="false">(GA382-GQ382)/GP382</f>
        <v>-0.00347297415783941</v>
      </c>
      <c r="GS382" s="60" t="n">
        <f aca="false">GR382^2-4*GQ382</f>
        <v>-0.0473386230523248</v>
      </c>
      <c r="GT382" s="60" t="n">
        <f aca="false">IF(GS382&gt;=0,(GR382+IF(GR382&gt;=0,1,-1)*SQRT(GS382))/2,0)</f>
        <v>0</v>
      </c>
      <c r="GU382" s="60" t="n">
        <f aca="false">IF(AND(GS382&gt;=0,GT382&lt;&gt;0),MIN(GT382,GQ382/GT382),-1)</f>
        <v>-1</v>
      </c>
      <c r="GV382" s="60" t="n">
        <f aca="false">AND(GS382&gt;=0,GU382&gt;FY382,ABS(GP382-GU382)&gt;=0.00005*MAX(GP382,GU382))</f>
        <v>0</v>
      </c>
      <c r="GW382" s="60" t="n">
        <f aca="false">IF(GV382,IFERROR((((GU382+FZ382)*GU382+GA382)*GU382+GB382)/((3*GU382+2*FZ382)*GU382+GA382),0),0)</f>
        <v>0</v>
      </c>
      <c r="GX382" s="60" t="n">
        <f aca="false">IF(ABS(GW382)&lt;0.1*ABS(GU382),GU382-GW382,GU382)</f>
        <v>-1</v>
      </c>
      <c r="GY382" s="60" t="n">
        <f aca="false">IF(GV382,IFERROR((((GX382+FZ382)*GX382+GA382)*GX382+GB382)/((3*GX382+2*FZ382)*GX382+GA382),0),0)</f>
        <v>0</v>
      </c>
      <c r="GZ382" s="60" t="n">
        <f aca="false">IF(ABS(GY382)&lt;0.1*ABS(GX382),GX382-GY382,GX382)</f>
        <v>-1</v>
      </c>
      <c r="HA382" s="60" t="n">
        <f aca="false">IF(GV382,MAX(GP382,GZ382),GP382)</f>
        <v>0.91158844983184</v>
      </c>
      <c r="HB382" s="60" t="n">
        <f aca="false">IF(GV382,MIN(GP382,GZ382),-1)</f>
        <v>-1</v>
      </c>
      <c r="HC382" s="60" t="n">
        <f aca="false">CHOOSE($C$7,FX382/HA382,FX382/FY382*LN(1+FY382/HA382),FX382/(2*SQRT(2)*FY382)*LN((HA382+(1+SQRT(2))*FY382)/(HA382+(1-SQRT(2))*FY382)))</f>
        <v>0.218240791233887</v>
      </c>
      <c r="HD382" s="60" t="n">
        <f aca="false">HA382-1-LN(HA382-FY382)-HC382</f>
        <v>-0.107840271021729</v>
      </c>
      <c r="HE382" s="60" t="n">
        <f aca="false">IF(GV382,CHOOSE($C$7,FX382/HB382,FX382/FY382*LN(1+FY382/HB382),FX382/(2*SQRT(2)*FY382)*LN((HB382+(1+SQRT(2))*FY382)/(HB382+(1-SQRT(2))*FY382))),0)</f>
        <v>0</v>
      </c>
      <c r="HF382" s="60" t="n">
        <f aca="false">IF(GV382,HB382-1-LN(HB382-FY382)-HE382,0)</f>
        <v>0</v>
      </c>
      <c r="HG382" s="60" t="n">
        <f aca="false">AND(GV382,HF382&lt;HD382)</f>
        <v>0</v>
      </c>
      <c r="HH382" s="60" t="n">
        <f aca="false">IF(HG382,HB382,HA382)</f>
        <v>0.91158844983184</v>
      </c>
      <c r="HI382" s="60" t="n">
        <f aca="false">IF(HG382,HE382,HC382)</f>
        <v>0.218240791233887</v>
      </c>
      <c r="HJ382" s="60" t="n">
        <f aca="false">LN(HH382-FY382)</f>
        <v>-0.198812070380318</v>
      </c>
      <c r="HK382" s="60" t="n">
        <f aca="false">$E$27/FW382*(HH382-1)-HJ382-HI382*(2*FJ382/FV382-$E$27/FW382)</f>
        <v>-0.107840271021729</v>
      </c>
      <c r="HL382" s="60" t="n">
        <f aca="false">$F$27/FW382*(HH382-1)-HJ382-HI382*(2*FK382/FV382-$F$27/FW382)</f>
        <v>0.198812070380318</v>
      </c>
      <c r="HM382" s="60" t="n">
        <f aca="false">$G$27/FW382*(HH382-1)-HJ382-HI382*(2*FL382/FV382-$G$27/FW382)</f>
        <v>0.198812070380318</v>
      </c>
      <c r="HN382" s="60" t="n">
        <f aca="false">$H$27/FW382*(HH382-1)-HJ382-HI382*(2*FM382/FV382-$H$27/FW382)</f>
        <v>0.198812070380318</v>
      </c>
      <c r="HO382" s="60" t="n">
        <f aca="false">$I$27/FW382*(HH382-1)-HJ382-HI382*(2*FN382/FV382-$I$27/FW382)</f>
        <v>0.198812070380318</v>
      </c>
      <c r="HP382" s="60" t="n">
        <f aca="false">$J$27/FW382*(HH382-1)-HJ382-HI382*(2*FO382/FV382-$J$27/FW382)</f>
        <v>0.198812070380318</v>
      </c>
      <c r="HQ382" s="60" t="n">
        <f aca="false">$K$27/FW382*(HH382-1)-HJ382-HI382*(2*FP382/FV382-$K$27/FW382)</f>
        <v>0.198812070380318</v>
      </c>
      <c r="HR382" s="60" t="n">
        <f aca="false">$L$27/FW382*(HH382-1)-HJ382-HI382*(2*FQ382/FV382-$L$27/FW382)</f>
        <v>0.198812070380318</v>
      </c>
      <c r="HS382" s="60" t="n">
        <f aca="false">$M$27/FW382*(HH382-1)-HJ382-HI382*(2*FR382/FV382-$M$27/FW382)</f>
        <v>0.198812070380318</v>
      </c>
      <c r="HT382" s="60" t="n">
        <f aca="false">$N$27/FW382*(HH382-1)-HJ382-HI382*(2*FS382/FV382-$N$27/FW382)</f>
        <v>0.198812070380318</v>
      </c>
      <c r="HU382" s="60" t="n">
        <f aca="false">$O$27/FW382*(HH382-1)-HJ382-HI382*(2*FT382/FV382-$O$27/FW382)</f>
        <v>0.198812070380318</v>
      </c>
      <c r="HV382" s="60" t="n">
        <f aca="false">$P$27/FW382*(HH382-1)-HJ382-HI382*(2*FU382/FV382-$P$27/FW382)</f>
        <v>0.198812070380318</v>
      </c>
      <c r="HW382" s="60" t="n">
        <f aca="false">FY382/HH382&gt;$C$22</f>
        <v>0</v>
      </c>
      <c r="HX382" s="60" t="n">
        <f aca="false">IF($E$13&gt;0,MAX(-300,MIN(300,EW382-HK382)),0)</f>
        <v>0</v>
      </c>
      <c r="HY382" s="60" t="n">
        <f aca="false">IF($F$13&gt;0,MAX(-300,MIN(300,EX382-HL382)),0)</f>
        <v>0</v>
      </c>
      <c r="HZ382" s="60" t="n">
        <f aca="false">IF($G$13&gt;0,MAX(-300,MIN(300,EY382-HM382)),0)</f>
        <v>0</v>
      </c>
      <c r="IA382" s="60" t="n">
        <f aca="false">IF($H$13&gt;0,MAX(-300,MIN(300,EZ382-HN382)),0)</f>
        <v>0</v>
      </c>
      <c r="IB382" s="60" t="n">
        <f aca="false">IF($I$13&gt;0,MAX(-300,MIN(300,FA382-HO382)),0)</f>
        <v>0</v>
      </c>
      <c r="IC382" s="60" t="n">
        <f aca="false">IF($J$13&gt;0,MAX(-300,MIN(300,FB382-HP382)),0)</f>
        <v>0</v>
      </c>
      <c r="ID382" s="60" t="n">
        <f aca="false">IF($K$13&gt;0,MAX(-300,MIN(300,FC382-HQ382)),0)</f>
        <v>0</v>
      </c>
      <c r="IE382" s="60" t="n">
        <f aca="false">IF($L$13&gt;0,MAX(-300,MIN(300,FD382-HR382)),0)</f>
        <v>0</v>
      </c>
      <c r="IF382" s="60" t="n">
        <f aca="false">IF($M$13&gt;0,MAX(-300,MIN(300,FE382-HS382)),0)</f>
        <v>0</v>
      </c>
      <c r="IG382" s="60" t="n">
        <f aca="false">IF($N$13&gt;0,MAX(-300,MIN(300,FF382-HT382)),0)</f>
        <v>0</v>
      </c>
      <c r="IH382" s="60" t="n">
        <f aca="false">IF($O$13&gt;0,MAX(-300,MIN(300,FG382-HU382)),0)</f>
        <v>0</v>
      </c>
      <c r="II382" s="60" t="n">
        <f aca="false">IF($P$13&gt;0,MAX(-300,MIN(300,FH382-HV382)),0)</f>
        <v>0</v>
      </c>
      <c r="IJ382" s="60" t="n">
        <f aca="false">SUMXMY2(HX382:II382,B382:M382)</f>
        <v>0</v>
      </c>
      <c r="IK382" s="60" t="n">
        <f aca="false">SUMSQ(B382:M382)</f>
        <v>0</v>
      </c>
    </row>
    <row r="383" customFormat="false" ht="15" hidden="false" customHeight="false" outlineLevel="0" collapsed="false">
      <c r="A383" s="59" t="n">
        <v>22</v>
      </c>
      <c r="B383" s="60" t="n">
        <f aca="false">HX382</f>
        <v>0</v>
      </c>
      <c r="C383" s="60" t="n">
        <f aca="false">HY382</f>
        <v>0</v>
      </c>
      <c r="D383" s="60" t="n">
        <f aca="false">HZ382</f>
        <v>0</v>
      </c>
      <c r="E383" s="60" t="n">
        <f aca="false">IA382</f>
        <v>0</v>
      </c>
      <c r="F383" s="60" t="n">
        <f aca="false">IB382</f>
        <v>0</v>
      </c>
      <c r="G383" s="60" t="n">
        <f aca="false">IC382</f>
        <v>0</v>
      </c>
      <c r="H383" s="60" t="n">
        <f aca="false">ID382</f>
        <v>0</v>
      </c>
      <c r="I383" s="60" t="n">
        <f aca="false">IE382</f>
        <v>0</v>
      </c>
      <c r="J383" s="60" t="n">
        <f aca="false">IF382</f>
        <v>0</v>
      </c>
      <c r="K383" s="60" t="n">
        <f aca="false">IG382</f>
        <v>0</v>
      </c>
      <c r="L383" s="60" t="n">
        <f aca="false">IH382</f>
        <v>0</v>
      </c>
      <c r="M383" s="60" t="n">
        <f aca="false">II382</f>
        <v>0</v>
      </c>
      <c r="N383" s="60" t="n">
        <f aca="false">EXP(B383)</f>
        <v>1</v>
      </c>
      <c r="O383" s="60" t="n">
        <f aca="false">EXP(C383)</f>
        <v>1</v>
      </c>
      <c r="P383" s="60" t="n">
        <f aca="false">EXP(D383)</f>
        <v>1</v>
      </c>
      <c r="Q383" s="60" t="n">
        <f aca="false">EXP(E383)</f>
        <v>1</v>
      </c>
      <c r="R383" s="60" t="n">
        <f aca="false">EXP(F383)</f>
        <v>1</v>
      </c>
      <c r="S383" s="60" t="n">
        <f aca="false">EXP(G383)</f>
        <v>1</v>
      </c>
      <c r="T383" s="60" t="n">
        <f aca="false">EXP(H383)</f>
        <v>1</v>
      </c>
      <c r="U383" s="60" t="n">
        <f aca="false">EXP(I383)</f>
        <v>1</v>
      </c>
      <c r="V383" s="60" t="n">
        <f aca="false">EXP(J383)</f>
        <v>1</v>
      </c>
      <c r="W383" s="60" t="n">
        <f aca="false">EXP(K383)</f>
        <v>1</v>
      </c>
      <c r="X383" s="60" t="n">
        <f aca="false">EXP(L383)</f>
        <v>1</v>
      </c>
      <c r="Y383" s="60" t="n">
        <f aca="false">EXP(M383)</f>
        <v>1</v>
      </c>
      <c r="Z383" s="60" t="n">
        <f aca="false">MAX(N383:Y383)</f>
        <v>1</v>
      </c>
      <c r="AA383" s="60" t="n">
        <f aca="false">MIN(N383:Y383)</f>
        <v>1</v>
      </c>
      <c r="AB383" s="60" t="n">
        <f aca="false">AND(Z383&gt;1,AA383&lt;1)</f>
        <v>0</v>
      </c>
      <c r="AC383" s="60" t="n">
        <f aca="false">IF(AB383,1/(1-Z383),0)</f>
        <v>0</v>
      </c>
      <c r="AD383" s="60" t="n">
        <f aca="false">IF(AB383,1/(1-AA383),1)</f>
        <v>1</v>
      </c>
      <c r="AE383" s="60" t="n">
        <f aca="false">IF(AB383,MIN(MAX(BI382,AC383+0.000000001*(AD383-AC383)),AD383-0.000000001*(AD383-AC383)),IF(AA383&gt;=1,1,0))</f>
        <v>1</v>
      </c>
      <c r="AF383" s="60" t="n">
        <f aca="false">SUMPRODUCT($E$13:$P$13*(N383:Y383-1)/(1+AE383*(N383:Y383-1)))</f>
        <v>0</v>
      </c>
      <c r="AG383" s="60" t="n">
        <f aca="false">-SUMPRODUCT($E$13:$P$13*(N383:Y383-1)^2/(1+AE383*(N383:Y383-1))^2)</f>
        <v>-0</v>
      </c>
      <c r="AH383" s="60" t="n">
        <f aca="false">IF(OR(NOT(AB383),AG383=0),AE383,IF(AE383-AF383/AG383&lt;=AC383,(AE383+AC383)/2,IF(AE383-AF383/AG383&gt;=AD383,(AE383+AD383)/2,AE383-AF383/AG383)))</f>
        <v>1</v>
      </c>
      <c r="AI383" s="60" t="n">
        <f aca="false">SUMPRODUCT($E$13:$P$13*(N383:Y383-1)/(1+AH383*(N383:Y383-1)))</f>
        <v>0</v>
      </c>
      <c r="AJ383" s="60" t="n">
        <f aca="false">-SUMPRODUCT($E$13:$P$13*(N383:Y383-1)^2/(1+AH383*(N383:Y383-1))^2)</f>
        <v>-0</v>
      </c>
      <c r="AK383" s="60" t="n">
        <f aca="false">IF(OR(NOT(AB383),AJ383=0),AH383,IF(AH383-AI383/AJ383&lt;=AC383,(AH383+AC383)/2,IF(AH383-AI383/AJ383&gt;=AD383,(AH383+AD383)/2,AH383-AI383/AJ383)))</f>
        <v>1</v>
      </c>
      <c r="AL383" s="60" t="n">
        <f aca="false">SUMPRODUCT($E$13:$P$13*(N383:Y383-1)/(1+AK383*(N383:Y383-1)))</f>
        <v>0</v>
      </c>
      <c r="AM383" s="60" t="n">
        <f aca="false">-SUMPRODUCT($E$13:$P$13*(N383:Y383-1)^2/(1+AK383*(N383:Y383-1))^2)</f>
        <v>-0</v>
      </c>
      <c r="AN383" s="60" t="n">
        <f aca="false">IF(OR(NOT(AB383),AM383=0),AK383,IF(AK383-AL383/AM383&lt;=AC383,(AK383+AC383)/2,IF(AK383-AL383/AM383&gt;=AD383,(AK383+AD383)/2,AK383-AL383/AM383)))</f>
        <v>1</v>
      </c>
      <c r="AO383" s="60" t="n">
        <f aca="false">SUMPRODUCT($E$13:$P$13*(N383:Y383-1)/(1+AN383*(N383:Y383-1)))</f>
        <v>0</v>
      </c>
      <c r="AP383" s="60" t="n">
        <f aca="false">-SUMPRODUCT($E$13:$P$13*(N383:Y383-1)^2/(1+AN383*(N383:Y383-1))^2)</f>
        <v>-0</v>
      </c>
      <c r="AQ383" s="60" t="n">
        <f aca="false">IF(OR(NOT(AB383),AP383=0),AN383,IF(AN383-AO383/AP383&lt;=AC383,(AN383+AC383)/2,IF(AN383-AO383/AP383&gt;=AD383,(AN383+AD383)/2,AN383-AO383/AP383)))</f>
        <v>1</v>
      </c>
      <c r="AR383" s="60" t="n">
        <f aca="false">SUMPRODUCT($E$13:$P$13*(N383:Y383-1)/(1+AQ383*(N383:Y383-1)))</f>
        <v>0</v>
      </c>
      <c r="AS383" s="60" t="n">
        <f aca="false">-SUMPRODUCT($E$13:$P$13*(N383:Y383-1)^2/(1+AQ383*(N383:Y383-1))^2)</f>
        <v>-0</v>
      </c>
      <c r="AT383" s="60" t="n">
        <f aca="false">IF(OR(NOT(AB383),AS383=0),AQ383,IF(AQ383-AR383/AS383&lt;=AC383,(AQ383+AC383)/2,IF(AQ383-AR383/AS383&gt;=AD383,(AQ383+AD383)/2,AQ383-AR383/AS383)))</f>
        <v>1</v>
      </c>
      <c r="AU383" s="60" t="n">
        <f aca="false">SUMPRODUCT($E$13:$P$13*(N383:Y383-1)/(1+AT383*(N383:Y383-1)))</f>
        <v>0</v>
      </c>
      <c r="AV383" s="60" t="n">
        <f aca="false">-SUMPRODUCT($E$13:$P$13*(N383:Y383-1)^2/(1+AT383*(N383:Y383-1))^2)</f>
        <v>-0</v>
      </c>
      <c r="AW383" s="60" t="n">
        <f aca="false">IF(OR(NOT(AB383),AV383=0),AT383,IF(AT383-AU383/AV383&lt;=AC383,(AT383+AC383)/2,IF(AT383-AU383/AV383&gt;=AD383,(AT383+AD383)/2,AT383-AU383/AV383)))</f>
        <v>1</v>
      </c>
      <c r="AX383" s="60" t="n">
        <f aca="false">SUMPRODUCT($E$13:$P$13*(N383:Y383-1)/(1+AW383*(N383:Y383-1)))</f>
        <v>0</v>
      </c>
      <c r="AY383" s="60" t="n">
        <f aca="false">-SUMPRODUCT($E$13:$P$13*(N383:Y383-1)^2/(1+AW383*(N383:Y383-1))^2)</f>
        <v>-0</v>
      </c>
      <c r="AZ383" s="60" t="n">
        <f aca="false">IF(OR(NOT(AB383),AY383=0),AW383,IF(AW383-AX383/AY383&lt;=AC383,(AW383+AC383)/2,IF(AW383-AX383/AY383&gt;=AD383,(AW383+AD383)/2,AW383-AX383/AY383)))</f>
        <v>1</v>
      </c>
      <c r="BA383" s="60" t="n">
        <f aca="false">SUMPRODUCT($E$13:$P$13*(N383:Y383-1)/(1+AZ383*(N383:Y383-1)))</f>
        <v>0</v>
      </c>
      <c r="BB383" s="60" t="n">
        <f aca="false">-SUMPRODUCT($E$13:$P$13*(N383:Y383-1)^2/(1+AZ383*(N383:Y383-1))^2)</f>
        <v>-0</v>
      </c>
      <c r="BC383" s="60" t="n">
        <f aca="false">IF(OR(NOT(AB383),BB383=0),AZ383,IF(AZ383-BA383/BB383&lt;=AC383,(AZ383+AC383)/2,IF(AZ383-BA383/BB383&gt;=AD383,(AZ383+AD383)/2,AZ383-BA383/BB383)))</f>
        <v>1</v>
      </c>
      <c r="BD383" s="60" t="n">
        <f aca="false">SUMPRODUCT($E$13:$P$13*(N383:Y383-1)/(1+BC383*(N383:Y383-1)))</f>
        <v>0</v>
      </c>
      <c r="BE383" s="60" t="n">
        <f aca="false">-SUMPRODUCT($E$13:$P$13*(N383:Y383-1)^2/(1+BC383*(N383:Y383-1))^2)</f>
        <v>-0</v>
      </c>
      <c r="BF383" s="60" t="n">
        <f aca="false">IF(OR(NOT(AB383),BE383=0),BC383,IF(BC383-BD383/BE383&lt;=AC383,(BC383+AC383)/2,IF(BC383-BD383/BE383&gt;=AD383,(BC383+AD383)/2,BC383-BD383/BE383)))</f>
        <v>1</v>
      </c>
      <c r="BG383" s="60" t="n">
        <f aca="false">SUMPRODUCT($E$13:$P$13*(N383:Y383-1)/(1+BF383*(N383:Y383-1)))</f>
        <v>0</v>
      </c>
      <c r="BH383" s="60" t="n">
        <f aca="false">-SUMPRODUCT($E$13:$P$13*(N383:Y383-1)^2/(1+BF383*(N383:Y383-1))^2)</f>
        <v>-0</v>
      </c>
      <c r="BI383" s="60" t="n">
        <f aca="false">IF(OR(NOT(AB383),BH383=0),BF383,IF(BF383-BG383/BH383&lt;=AC383,(BF383+AC383)/2,IF(BF383-BG383/BH383&gt;=AD383,(BF383+AD383)/2,BF383-BG383/BH383)))</f>
        <v>1</v>
      </c>
      <c r="BJ383" s="60" t="n">
        <f aca="false">$E$13/(1+BI383*(N383-1))</f>
        <v>1</v>
      </c>
      <c r="BK383" s="60" t="n">
        <f aca="false">$F$13/(1+BI383*(O383-1))</f>
        <v>0</v>
      </c>
      <c r="BL383" s="60" t="n">
        <f aca="false">$G$13/(1+BI383*(P383-1))</f>
        <v>0</v>
      </c>
      <c r="BM383" s="60" t="n">
        <f aca="false">$H$13/(1+BI383*(Q383-1))</f>
        <v>0</v>
      </c>
      <c r="BN383" s="60" t="n">
        <f aca="false">$I$13/(1+BI383*(R383-1))</f>
        <v>0</v>
      </c>
      <c r="BO383" s="60" t="n">
        <f aca="false">$J$13/(1+BI383*(S383-1))</f>
        <v>0</v>
      </c>
      <c r="BP383" s="60" t="n">
        <f aca="false">$K$13/(1+BI383*(T383-1))</f>
        <v>0</v>
      </c>
      <c r="BQ383" s="60" t="n">
        <f aca="false">$L$13/(1+BI383*(U383-1))</f>
        <v>0</v>
      </c>
      <c r="BR383" s="60" t="n">
        <f aca="false">$M$13/(1+BI383*(V383-1))</f>
        <v>0</v>
      </c>
      <c r="BS383" s="60" t="n">
        <f aca="false">$N$13/(1+BI383*(W383-1))</f>
        <v>0</v>
      </c>
      <c r="BT383" s="60" t="n">
        <f aca="false">$O$13/(1+BI383*(X383-1))</f>
        <v>0</v>
      </c>
      <c r="BU383" s="60" t="n">
        <f aca="false">$P$13/(1+BI383*(Y383-1))</f>
        <v>0</v>
      </c>
      <c r="BV383" s="60" t="n">
        <f aca="false">SUM(BJ383:BU383)</f>
        <v>1</v>
      </c>
      <c r="BW383" s="60" t="n">
        <f aca="false">SUMPRODUCT(N383:Y383,BJ383:BU383)</f>
        <v>1</v>
      </c>
      <c r="BX383" s="60" t="n">
        <f aca="false">BJ383/BV383</f>
        <v>1</v>
      </c>
      <c r="BY383" s="60" t="n">
        <f aca="false">BK383/BV383</f>
        <v>0</v>
      </c>
      <c r="BZ383" s="60" t="n">
        <f aca="false">BL383/BV383</f>
        <v>0</v>
      </c>
      <c r="CA383" s="60" t="n">
        <f aca="false">BM383/BV383</f>
        <v>0</v>
      </c>
      <c r="CB383" s="60" t="n">
        <f aca="false">BN383/BV383</f>
        <v>0</v>
      </c>
      <c r="CC383" s="60" t="n">
        <f aca="false">BO383/BV383</f>
        <v>0</v>
      </c>
      <c r="CD383" s="60" t="n">
        <f aca="false">BP383/BV383</f>
        <v>0</v>
      </c>
      <c r="CE383" s="60" t="n">
        <f aca="false">BQ383/BV383</f>
        <v>0</v>
      </c>
      <c r="CF383" s="60" t="n">
        <f aca="false">BR383/BV383</f>
        <v>0</v>
      </c>
      <c r="CG383" s="60" t="n">
        <f aca="false">BS383/BV383</f>
        <v>0</v>
      </c>
      <c r="CH383" s="60" t="n">
        <f aca="false">BT383/BV383</f>
        <v>0</v>
      </c>
      <c r="CI383" s="60" t="n">
        <f aca="false">BU383/BV383</f>
        <v>0</v>
      </c>
      <c r="CJ383" s="60" t="n">
        <f aca="false">N383*BJ383/BW383</f>
        <v>1</v>
      </c>
      <c r="CK383" s="60" t="n">
        <f aca="false">O383*BK383/BW383</f>
        <v>0</v>
      </c>
      <c r="CL383" s="60" t="n">
        <f aca="false">P383*BL383/BW383</f>
        <v>0</v>
      </c>
      <c r="CM383" s="60" t="n">
        <f aca="false">Q383*BM383/BW383</f>
        <v>0</v>
      </c>
      <c r="CN383" s="60" t="n">
        <f aca="false">R383*BN383/BW383</f>
        <v>0</v>
      </c>
      <c r="CO383" s="60" t="n">
        <f aca="false">S383*BO383/BW383</f>
        <v>0</v>
      </c>
      <c r="CP383" s="60" t="n">
        <f aca="false">T383*BP383/BW383</f>
        <v>0</v>
      </c>
      <c r="CQ383" s="60" t="n">
        <f aca="false">U383*BQ383/BW383</f>
        <v>0</v>
      </c>
      <c r="CR383" s="60" t="n">
        <f aca="false">V383*BR383/BW383</f>
        <v>0</v>
      </c>
      <c r="CS383" s="60" t="n">
        <f aca="false">W383*BS383/BW383</f>
        <v>0</v>
      </c>
      <c r="CT383" s="60" t="n">
        <f aca="false">X383*BT383/BW383</f>
        <v>0</v>
      </c>
      <c r="CU383" s="60" t="n">
        <f aca="false">Y383*BU383/BW383</f>
        <v>0</v>
      </c>
      <c r="CV383" s="60" t="n">
        <f aca="false">$E$28*SUMPRODUCT($E$31:$P$31,BX383:CI383,$E$28:$P$28)</f>
        <v>0.184416866619846</v>
      </c>
      <c r="CW383" s="60" t="n">
        <f aca="false">$F$28*SUMPRODUCT($E$32:$P$32,BX383:CI383,$E$28:$P$28)</f>
        <v>0</v>
      </c>
      <c r="CX383" s="60" t="n">
        <f aca="false">$G$28*SUMPRODUCT($E$33:$P$33,BX383:CI383,$E$28:$P$28)</f>
        <v>0</v>
      </c>
      <c r="CY383" s="60" t="n">
        <f aca="false">$H$28*SUMPRODUCT($E$34:$P$34,BX383:CI383,$E$28:$P$28)</f>
        <v>0</v>
      </c>
      <c r="CZ383" s="60" t="n">
        <f aca="false">$I$28*SUMPRODUCT($E$35:$P$35,BX383:CI383,$E$28:$P$28)</f>
        <v>0</v>
      </c>
      <c r="DA383" s="60" t="n">
        <f aca="false">$J$28*SUMPRODUCT($E$36:$P$36,BX383:CI383,$E$28:$P$28)</f>
        <v>0</v>
      </c>
      <c r="DB383" s="60" t="n">
        <f aca="false">$K$28*SUMPRODUCT($E$37:$P$37,BX383:CI383,$E$28:$P$28)</f>
        <v>0</v>
      </c>
      <c r="DC383" s="60" t="n">
        <f aca="false">$L$28*SUMPRODUCT($E$38:$P$38,BX383:CI383,$E$28:$P$28)</f>
        <v>0</v>
      </c>
      <c r="DD383" s="60" t="n">
        <f aca="false">$M$28*SUMPRODUCT($E$39:$P$39,BX383:CI383,$E$28:$P$28)</f>
        <v>0</v>
      </c>
      <c r="DE383" s="60" t="n">
        <f aca="false">$N$28*SUMPRODUCT($E$40:$P$40,BX383:CI383,$E$28:$P$28)</f>
        <v>0</v>
      </c>
      <c r="DF383" s="60" t="n">
        <f aca="false">$O$28*SUMPRODUCT($E$41:$P$41,BX383:CI383,$E$28:$P$28)</f>
        <v>0</v>
      </c>
      <c r="DG383" s="60" t="n">
        <f aca="false">$P$28*SUMPRODUCT($E$42:$P$42,BX383:CI383,$E$28:$P$28)</f>
        <v>0</v>
      </c>
      <c r="DH383" s="60" t="n">
        <f aca="false">SUMPRODUCT(BX383:CI383,CV383:DG383)</f>
        <v>0.184416866619846</v>
      </c>
      <c r="DI383" s="60" t="n">
        <f aca="false">SUMPRODUCT(BX383:CI383,$E$27:$P$27)</f>
        <v>2.67389635063809E-005</v>
      </c>
      <c r="DJ383" s="60" t="n">
        <f aca="false">DH383*$C$9/($C$10*$C$8)^2</f>
        <v>0.21776909410545</v>
      </c>
      <c r="DK383" s="60" t="n">
        <f aca="false">DI383*$C$9/($C$10*$C$8)</f>
        <v>0.0918845243259994</v>
      </c>
      <c r="DL383" s="60" t="n">
        <f aca="false">CHOOSE($C$7,-(1+DK383),-1,-(1-DK383))</f>
        <v>-0.908115475674001</v>
      </c>
      <c r="DM383" s="60" t="n">
        <f aca="false">CHOOSE($C$7,DJ383,DJ383-DK383-DK383^2,DJ383-3*DK383^2-2*DK383)</f>
        <v>0.00867174802160559</v>
      </c>
      <c r="DN383" s="60" t="n">
        <f aca="false">CHOOSE($C$7,-DJ383*DK383,-DJ383*DK383,-(DJ383*DK383-DK383^2-DK383^3))</f>
        <v>-0.0107910842936637</v>
      </c>
      <c r="DO383" s="60" t="n">
        <f aca="false">DM383-DL383^2/3</f>
        <v>-0.266219491031267</v>
      </c>
      <c r="DP383" s="60" t="n">
        <f aca="false">2*DL383^3/27-DL383*DM383/3+DN383</f>
        <v>-0.0636400988362784</v>
      </c>
      <c r="DQ383" s="60" t="n">
        <f aca="false">DP383^2/4+DO383^3/27</f>
        <v>0.000313710901361829</v>
      </c>
      <c r="DR383" s="60" t="n">
        <f aca="false">-DP383/2-IF(DP383&gt;=0,1,-1)*SQRT(MAX(DQ383,0))</f>
        <v>0.0495319352963236</v>
      </c>
      <c r="DS383" s="60" t="n">
        <f aca="false">SIGN(DR383)*ABS(DR383)^(1/3)</f>
        <v>0.367249967174439</v>
      </c>
      <c r="DT383" s="60" t="n">
        <f aca="false">IF(DS383=0,0,DS383-DO383/(3*DS383))</f>
        <v>0.60888329127384</v>
      </c>
      <c r="DU383" s="60" t="n">
        <f aca="false">2*SQRT(MAX(-DO383,0)/3)</f>
        <v>0.595784626668918</v>
      </c>
      <c r="DV383" s="60" t="n">
        <f aca="false">ACOS(IF(DU383=0,0,MAX(-1,MIN(1,3*DP383/(DO383*DU383)))))</f>
        <v>0</v>
      </c>
      <c r="DW383" s="60" t="n">
        <f aca="false">DU383*COS(DV383/3)</f>
        <v>0.595784626668918</v>
      </c>
      <c r="DX383" s="60" t="n">
        <f aca="false">IF(DQ383&lt;0,DW383,DT383)-DL383/3</f>
        <v>0.91158844983184</v>
      </c>
      <c r="DY383" s="60" t="n">
        <f aca="false">IFERROR((((DX383+DL383)*DX383+DM383)*DX383+DN383)/((3*DX383+2*DL383)*DX383+DM383),0)</f>
        <v>0</v>
      </c>
      <c r="DZ383" s="60" t="n">
        <f aca="false">IF(ABS(DY383)&lt;0.1*ABS(DX383),DX383-DY383,DX383)</f>
        <v>0.91158844983184</v>
      </c>
      <c r="EA383" s="60" t="n">
        <f aca="false">IFERROR((((DZ383+DL383)*DZ383+DM383)*DZ383+DN383)/((3*DZ383+2*DL383)*DZ383+DM383),0)</f>
        <v>0</v>
      </c>
      <c r="EB383" s="60" t="n">
        <f aca="false">IF(ABS(EA383)&lt;0.1*ABS(DZ383),DZ383-EA383,DZ383)</f>
        <v>0.91158844983184</v>
      </c>
      <c r="EC383" s="60" t="n">
        <f aca="false">-DN383/EB383</f>
        <v>0.0118376711504565</v>
      </c>
      <c r="ED383" s="60" t="n">
        <f aca="false">(DM383-EC383)/EB383</f>
        <v>-0.00347297415783941</v>
      </c>
      <c r="EE383" s="60" t="n">
        <f aca="false">ED383^2-4*EC383</f>
        <v>-0.0473386230523248</v>
      </c>
      <c r="EF383" s="60" t="n">
        <f aca="false">IF(EE383&gt;=0,(ED383+IF(ED383&gt;=0,1,-1)*SQRT(EE383))/2,0)</f>
        <v>0</v>
      </c>
      <c r="EG383" s="60" t="n">
        <f aca="false">IF(AND(EE383&gt;=0,EF383&lt;&gt;0),MIN(EF383,EC383/EF383),-1)</f>
        <v>-1</v>
      </c>
      <c r="EH383" s="60" t="n">
        <f aca="false">AND(EE383&gt;=0,EG383&gt;DK383,ABS(EB383-EG383)&gt;=0.00005*MAX(EB383,EG383))</f>
        <v>0</v>
      </c>
      <c r="EI383" s="60" t="n">
        <f aca="false">IF(EH383,IFERROR((((EG383+DL383)*EG383+DM383)*EG383+DN383)/((3*EG383+2*DL383)*EG383+DM383),0),0)</f>
        <v>0</v>
      </c>
      <c r="EJ383" s="60" t="n">
        <f aca="false">IF(ABS(EI383)&lt;0.1*ABS(EG383),EG383-EI383,EG383)</f>
        <v>-1</v>
      </c>
      <c r="EK383" s="60" t="n">
        <f aca="false">IF(EH383,IFERROR((((EJ383+DL383)*EJ383+DM383)*EJ383+DN383)/((3*EJ383+2*DL383)*EJ383+DM383),0),0)</f>
        <v>0</v>
      </c>
      <c r="EL383" s="60" t="n">
        <f aca="false">IF(ABS(EK383)&lt;0.1*ABS(EJ383),EJ383-EK383,EJ383)</f>
        <v>-1</v>
      </c>
      <c r="EM383" s="60" t="n">
        <f aca="false">IF(EH383,MAX(EB383,EL383),EB383)</f>
        <v>0.91158844983184</v>
      </c>
      <c r="EN383" s="60" t="n">
        <f aca="false">IF(EH383,MIN(EB383,EL383),-1)</f>
        <v>-1</v>
      </c>
      <c r="EO383" s="60" t="n">
        <f aca="false">CHOOSE($C$7,DJ383/EM383,DJ383/DK383*LN(1+DK383/EM383),DJ383/(2*SQRT(2)*DK383)*LN((EM383+(1+SQRT(2))*DK383)/(EM383+(1-SQRT(2))*DK383)))</f>
        <v>0.218240791233887</v>
      </c>
      <c r="EP383" s="60" t="n">
        <f aca="false">EM383-1-LN(EM383-DK383)-EO383</f>
        <v>-0.107840271021729</v>
      </c>
      <c r="EQ383" s="60" t="n">
        <f aca="false">IF(EH383,CHOOSE($C$7,DJ383/EN383,DJ383/DK383*LN(1+DK383/EN383),DJ383/(2*SQRT(2)*DK383)*LN((EN383+(1+SQRT(2))*DK383)/(EN383+(1-SQRT(2))*DK383))),0)</f>
        <v>0</v>
      </c>
      <c r="ER383" s="60" t="n">
        <f aca="false">IF(EH383,EN383-1-LN(EN383-DK383)-EQ383,0)</f>
        <v>0</v>
      </c>
      <c r="ES383" s="60" t="n">
        <f aca="false">AND(EH383,ER383&lt;EP383)</f>
        <v>0</v>
      </c>
      <c r="ET383" s="60" t="n">
        <f aca="false">IF(ES383,EN383,EM383)</f>
        <v>0.91158844983184</v>
      </c>
      <c r="EU383" s="60" t="n">
        <f aca="false">IF(ES383,EQ383,EO383)</f>
        <v>0.218240791233887</v>
      </c>
      <c r="EV383" s="60" t="n">
        <f aca="false">LN(ET383-DK383)</f>
        <v>-0.198812070380318</v>
      </c>
      <c r="EW383" s="60" t="n">
        <f aca="false">$E$27/DI383*(ET383-1)-EV383-EU383*(2*CV383/DH383-$E$27/DI383)</f>
        <v>-0.107840271021729</v>
      </c>
      <c r="EX383" s="60" t="n">
        <f aca="false">$F$27/DI383*(ET383-1)-EV383-EU383*(2*CW383/DH383-$F$27/DI383)</f>
        <v>0.198812070380318</v>
      </c>
      <c r="EY383" s="60" t="n">
        <f aca="false">$G$27/DI383*(ET383-1)-EV383-EU383*(2*CX383/DH383-$G$27/DI383)</f>
        <v>0.198812070380318</v>
      </c>
      <c r="EZ383" s="60" t="n">
        <f aca="false">$H$27/DI383*(ET383-1)-EV383-EU383*(2*CY383/DH383-$H$27/DI383)</f>
        <v>0.198812070380318</v>
      </c>
      <c r="FA383" s="60" t="n">
        <f aca="false">$I$27/DI383*(ET383-1)-EV383-EU383*(2*CZ383/DH383-$I$27/DI383)</f>
        <v>0.198812070380318</v>
      </c>
      <c r="FB383" s="60" t="n">
        <f aca="false">$J$27/DI383*(ET383-1)-EV383-EU383*(2*DA383/DH383-$J$27/DI383)</f>
        <v>0.198812070380318</v>
      </c>
      <c r="FC383" s="60" t="n">
        <f aca="false">$K$27/DI383*(ET383-1)-EV383-EU383*(2*DB383/DH383-$K$27/DI383)</f>
        <v>0.198812070380318</v>
      </c>
      <c r="FD383" s="60" t="n">
        <f aca="false">$L$27/DI383*(ET383-1)-EV383-EU383*(2*DC383/DH383-$L$27/DI383)</f>
        <v>0.198812070380318</v>
      </c>
      <c r="FE383" s="60" t="n">
        <f aca="false">$M$27/DI383*(ET383-1)-EV383-EU383*(2*DD383/DH383-$M$27/DI383)</f>
        <v>0.198812070380318</v>
      </c>
      <c r="FF383" s="60" t="n">
        <f aca="false">$N$27/DI383*(ET383-1)-EV383-EU383*(2*DE383/DH383-$N$27/DI383)</f>
        <v>0.198812070380318</v>
      </c>
      <c r="FG383" s="60" t="n">
        <f aca="false">$O$27/DI383*(ET383-1)-EV383-EU383*(2*DF383/DH383-$O$27/DI383)</f>
        <v>0.198812070380318</v>
      </c>
      <c r="FH383" s="60" t="n">
        <f aca="false">$P$27/DI383*(ET383-1)-EV383-EU383*(2*DG383/DH383-$P$27/DI383)</f>
        <v>0.198812070380318</v>
      </c>
      <c r="FI383" s="60" t="n">
        <f aca="false">DK383/ET383&gt;$C$22</f>
        <v>0</v>
      </c>
      <c r="FJ383" s="60" t="n">
        <f aca="false">$E$28*SUMPRODUCT($E$31:$P$31,CJ383:CU383,$E$28:$P$28)</f>
        <v>0.184416866619846</v>
      </c>
      <c r="FK383" s="60" t="n">
        <f aca="false">$F$28*SUMPRODUCT($E$32:$P$32,CJ383:CU383,$E$28:$P$28)</f>
        <v>0</v>
      </c>
      <c r="FL383" s="60" t="n">
        <f aca="false">$G$28*SUMPRODUCT($E$33:$P$33,CJ383:CU383,$E$28:$P$28)</f>
        <v>0</v>
      </c>
      <c r="FM383" s="60" t="n">
        <f aca="false">$H$28*SUMPRODUCT($E$34:$P$34,CJ383:CU383,$E$28:$P$28)</f>
        <v>0</v>
      </c>
      <c r="FN383" s="60" t="n">
        <f aca="false">$I$28*SUMPRODUCT($E$35:$P$35,CJ383:CU383,$E$28:$P$28)</f>
        <v>0</v>
      </c>
      <c r="FO383" s="60" t="n">
        <f aca="false">$J$28*SUMPRODUCT($E$36:$P$36,CJ383:CU383,$E$28:$P$28)</f>
        <v>0</v>
      </c>
      <c r="FP383" s="60" t="n">
        <f aca="false">$K$28*SUMPRODUCT($E$37:$P$37,CJ383:CU383,$E$28:$P$28)</f>
        <v>0</v>
      </c>
      <c r="FQ383" s="60" t="n">
        <f aca="false">$L$28*SUMPRODUCT($E$38:$P$38,CJ383:CU383,$E$28:$P$28)</f>
        <v>0</v>
      </c>
      <c r="FR383" s="60" t="n">
        <f aca="false">$M$28*SUMPRODUCT($E$39:$P$39,CJ383:CU383,$E$28:$P$28)</f>
        <v>0</v>
      </c>
      <c r="FS383" s="60" t="n">
        <f aca="false">$N$28*SUMPRODUCT($E$40:$P$40,CJ383:CU383,$E$28:$P$28)</f>
        <v>0</v>
      </c>
      <c r="FT383" s="60" t="n">
        <f aca="false">$O$28*SUMPRODUCT($E$41:$P$41,CJ383:CU383,$E$28:$P$28)</f>
        <v>0</v>
      </c>
      <c r="FU383" s="60" t="n">
        <f aca="false">$P$28*SUMPRODUCT($E$42:$P$42,CJ383:CU383,$E$28:$P$28)</f>
        <v>0</v>
      </c>
      <c r="FV383" s="60" t="n">
        <f aca="false">SUMPRODUCT(CJ383:CU383,FJ383:FU383)</f>
        <v>0.184416866619846</v>
      </c>
      <c r="FW383" s="60" t="n">
        <f aca="false">SUMPRODUCT(CJ383:CU383,$E$27:$P$27)</f>
        <v>2.67389635063809E-005</v>
      </c>
      <c r="FX383" s="60" t="n">
        <f aca="false">FV383*$C$9/($C$10*$C$8)^2</f>
        <v>0.21776909410545</v>
      </c>
      <c r="FY383" s="60" t="n">
        <f aca="false">FW383*$C$9/($C$10*$C$8)</f>
        <v>0.0918845243259994</v>
      </c>
      <c r="FZ383" s="60" t="n">
        <f aca="false">CHOOSE($C$7,-(1+FY383),-1,-(1-FY383))</f>
        <v>-0.908115475674001</v>
      </c>
      <c r="GA383" s="60" t="n">
        <f aca="false">CHOOSE($C$7,FX383,FX383-FY383-FY383^2,FX383-3*FY383^2-2*FY383)</f>
        <v>0.00867174802160559</v>
      </c>
      <c r="GB383" s="60" t="n">
        <f aca="false">CHOOSE($C$7,-FX383*FY383,-FX383*FY383,-(FX383*FY383-FY383^2-FY383^3))</f>
        <v>-0.0107910842936637</v>
      </c>
      <c r="GC383" s="60" t="n">
        <f aca="false">GA383-FZ383^2/3</f>
        <v>-0.266219491031267</v>
      </c>
      <c r="GD383" s="60" t="n">
        <f aca="false">2*FZ383^3/27-FZ383*GA383/3+GB383</f>
        <v>-0.0636400988362784</v>
      </c>
      <c r="GE383" s="60" t="n">
        <f aca="false">GD383^2/4+GC383^3/27</f>
        <v>0.000313710901361829</v>
      </c>
      <c r="GF383" s="60" t="n">
        <f aca="false">-GD383/2-IF(GD383&gt;=0,1,-1)*SQRT(MAX(GE383,0))</f>
        <v>0.0495319352963236</v>
      </c>
      <c r="GG383" s="60" t="n">
        <f aca="false">SIGN(GF383)*ABS(GF383)^(1/3)</f>
        <v>0.367249967174439</v>
      </c>
      <c r="GH383" s="60" t="n">
        <f aca="false">IF(GG383=0,0,GG383-GC383/(3*GG383))</f>
        <v>0.60888329127384</v>
      </c>
      <c r="GI383" s="60" t="n">
        <f aca="false">2*SQRT(MAX(-GC383,0)/3)</f>
        <v>0.595784626668918</v>
      </c>
      <c r="GJ383" s="60" t="n">
        <f aca="false">ACOS(IF(GI383=0,0,MAX(-1,MIN(1,3*GD383/(GC383*GI383)))))</f>
        <v>0</v>
      </c>
      <c r="GK383" s="60" t="n">
        <f aca="false">GI383*COS(GJ383/3)</f>
        <v>0.595784626668918</v>
      </c>
      <c r="GL383" s="60" t="n">
        <f aca="false">IF(GE383&lt;0,GK383,GH383)-FZ383/3</f>
        <v>0.91158844983184</v>
      </c>
      <c r="GM383" s="60" t="n">
        <f aca="false">IFERROR((((GL383+FZ383)*GL383+GA383)*GL383+GB383)/((3*GL383+2*FZ383)*GL383+GA383),0)</f>
        <v>0</v>
      </c>
      <c r="GN383" s="60" t="n">
        <f aca="false">IF(ABS(GM383)&lt;0.1*ABS(GL383),GL383-GM383,GL383)</f>
        <v>0.91158844983184</v>
      </c>
      <c r="GO383" s="60" t="n">
        <f aca="false">IFERROR((((GN383+FZ383)*GN383+GA383)*GN383+GB383)/((3*GN383+2*FZ383)*GN383+GA383),0)</f>
        <v>0</v>
      </c>
      <c r="GP383" s="60" t="n">
        <f aca="false">IF(ABS(GO383)&lt;0.1*ABS(GN383),GN383-GO383,GN383)</f>
        <v>0.91158844983184</v>
      </c>
      <c r="GQ383" s="60" t="n">
        <f aca="false">-GB383/GP383</f>
        <v>0.0118376711504565</v>
      </c>
      <c r="GR383" s="60" t="n">
        <f aca="false">(GA383-GQ383)/GP383</f>
        <v>-0.00347297415783941</v>
      </c>
      <c r="GS383" s="60" t="n">
        <f aca="false">GR383^2-4*GQ383</f>
        <v>-0.0473386230523248</v>
      </c>
      <c r="GT383" s="60" t="n">
        <f aca="false">IF(GS383&gt;=0,(GR383+IF(GR383&gt;=0,1,-1)*SQRT(GS383))/2,0)</f>
        <v>0</v>
      </c>
      <c r="GU383" s="60" t="n">
        <f aca="false">IF(AND(GS383&gt;=0,GT383&lt;&gt;0),MIN(GT383,GQ383/GT383),-1)</f>
        <v>-1</v>
      </c>
      <c r="GV383" s="60" t="n">
        <f aca="false">AND(GS383&gt;=0,GU383&gt;FY383,ABS(GP383-GU383)&gt;=0.00005*MAX(GP383,GU383))</f>
        <v>0</v>
      </c>
      <c r="GW383" s="60" t="n">
        <f aca="false">IF(GV383,IFERROR((((GU383+FZ383)*GU383+GA383)*GU383+GB383)/((3*GU383+2*FZ383)*GU383+GA383),0),0)</f>
        <v>0</v>
      </c>
      <c r="GX383" s="60" t="n">
        <f aca="false">IF(ABS(GW383)&lt;0.1*ABS(GU383),GU383-GW383,GU383)</f>
        <v>-1</v>
      </c>
      <c r="GY383" s="60" t="n">
        <f aca="false">IF(GV383,IFERROR((((GX383+FZ383)*GX383+GA383)*GX383+GB383)/((3*GX383+2*FZ383)*GX383+GA383),0),0)</f>
        <v>0</v>
      </c>
      <c r="GZ383" s="60" t="n">
        <f aca="false">IF(ABS(GY383)&lt;0.1*ABS(GX383),GX383-GY383,GX383)</f>
        <v>-1</v>
      </c>
      <c r="HA383" s="60" t="n">
        <f aca="false">IF(GV383,MAX(GP383,GZ383),GP383)</f>
        <v>0.91158844983184</v>
      </c>
      <c r="HB383" s="60" t="n">
        <f aca="false">IF(GV383,MIN(GP383,GZ383),-1)</f>
        <v>-1</v>
      </c>
      <c r="HC383" s="60" t="n">
        <f aca="false">CHOOSE($C$7,FX383/HA383,FX383/FY383*LN(1+FY383/HA383),FX383/(2*SQRT(2)*FY383)*LN((HA383+(1+SQRT(2))*FY383)/(HA383+(1-SQRT(2))*FY383)))</f>
        <v>0.218240791233887</v>
      </c>
      <c r="HD383" s="60" t="n">
        <f aca="false">HA383-1-LN(HA383-FY383)-HC383</f>
        <v>-0.107840271021729</v>
      </c>
      <c r="HE383" s="60" t="n">
        <f aca="false">IF(GV383,CHOOSE($C$7,FX383/HB383,FX383/FY383*LN(1+FY383/HB383),FX383/(2*SQRT(2)*FY383)*LN((HB383+(1+SQRT(2))*FY383)/(HB383+(1-SQRT(2))*FY383))),0)</f>
        <v>0</v>
      </c>
      <c r="HF383" s="60" t="n">
        <f aca="false">IF(GV383,HB383-1-LN(HB383-FY383)-HE383,0)</f>
        <v>0</v>
      </c>
      <c r="HG383" s="60" t="n">
        <f aca="false">AND(GV383,HF383&lt;HD383)</f>
        <v>0</v>
      </c>
      <c r="HH383" s="60" t="n">
        <f aca="false">IF(HG383,HB383,HA383)</f>
        <v>0.91158844983184</v>
      </c>
      <c r="HI383" s="60" t="n">
        <f aca="false">IF(HG383,HE383,HC383)</f>
        <v>0.218240791233887</v>
      </c>
      <c r="HJ383" s="60" t="n">
        <f aca="false">LN(HH383-FY383)</f>
        <v>-0.198812070380318</v>
      </c>
      <c r="HK383" s="60" t="n">
        <f aca="false">$E$27/FW383*(HH383-1)-HJ383-HI383*(2*FJ383/FV383-$E$27/FW383)</f>
        <v>-0.107840271021729</v>
      </c>
      <c r="HL383" s="60" t="n">
        <f aca="false">$F$27/FW383*(HH383-1)-HJ383-HI383*(2*FK383/FV383-$F$27/FW383)</f>
        <v>0.198812070380318</v>
      </c>
      <c r="HM383" s="60" t="n">
        <f aca="false">$G$27/FW383*(HH383-1)-HJ383-HI383*(2*FL383/FV383-$G$27/FW383)</f>
        <v>0.198812070380318</v>
      </c>
      <c r="HN383" s="60" t="n">
        <f aca="false">$H$27/FW383*(HH383-1)-HJ383-HI383*(2*FM383/FV383-$H$27/FW383)</f>
        <v>0.198812070380318</v>
      </c>
      <c r="HO383" s="60" t="n">
        <f aca="false">$I$27/FW383*(HH383-1)-HJ383-HI383*(2*FN383/FV383-$I$27/FW383)</f>
        <v>0.198812070380318</v>
      </c>
      <c r="HP383" s="60" t="n">
        <f aca="false">$J$27/FW383*(HH383-1)-HJ383-HI383*(2*FO383/FV383-$J$27/FW383)</f>
        <v>0.198812070380318</v>
      </c>
      <c r="HQ383" s="60" t="n">
        <f aca="false">$K$27/FW383*(HH383-1)-HJ383-HI383*(2*FP383/FV383-$K$27/FW383)</f>
        <v>0.198812070380318</v>
      </c>
      <c r="HR383" s="60" t="n">
        <f aca="false">$L$27/FW383*(HH383-1)-HJ383-HI383*(2*FQ383/FV383-$L$27/FW383)</f>
        <v>0.198812070380318</v>
      </c>
      <c r="HS383" s="60" t="n">
        <f aca="false">$M$27/FW383*(HH383-1)-HJ383-HI383*(2*FR383/FV383-$M$27/FW383)</f>
        <v>0.198812070380318</v>
      </c>
      <c r="HT383" s="60" t="n">
        <f aca="false">$N$27/FW383*(HH383-1)-HJ383-HI383*(2*FS383/FV383-$N$27/FW383)</f>
        <v>0.198812070380318</v>
      </c>
      <c r="HU383" s="60" t="n">
        <f aca="false">$O$27/FW383*(HH383-1)-HJ383-HI383*(2*FT383/FV383-$O$27/FW383)</f>
        <v>0.198812070380318</v>
      </c>
      <c r="HV383" s="60" t="n">
        <f aca="false">$P$27/FW383*(HH383-1)-HJ383-HI383*(2*FU383/FV383-$P$27/FW383)</f>
        <v>0.198812070380318</v>
      </c>
      <c r="HW383" s="60" t="n">
        <f aca="false">FY383/HH383&gt;$C$22</f>
        <v>0</v>
      </c>
      <c r="HX383" s="60" t="n">
        <f aca="false">IF($E$13&gt;0,MAX(-300,MIN(300,EW383-HK383)),0)</f>
        <v>0</v>
      </c>
      <c r="HY383" s="60" t="n">
        <f aca="false">IF($F$13&gt;0,MAX(-300,MIN(300,EX383-HL383)),0)</f>
        <v>0</v>
      </c>
      <c r="HZ383" s="60" t="n">
        <f aca="false">IF($G$13&gt;0,MAX(-300,MIN(300,EY383-HM383)),0)</f>
        <v>0</v>
      </c>
      <c r="IA383" s="60" t="n">
        <f aca="false">IF($H$13&gt;0,MAX(-300,MIN(300,EZ383-HN383)),0)</f>
        <v>0</v>
      </c>
      <c r="IB383" s="60" t="n">
        <f aca="false">IF($I$13&gt;0,MAX(-300,MIN(300,FA383-HO383)),0)</f>
        <v>0</v>
      </c>
      <c r="IC383" s="60" t="n">
        <f aca="false">IF($J$13&gt;0,MAX(-300,MIN(300,FB383-HP383)),0)</f>
        <v>0</v>
      </c>
      <c r="ID383" s="60" t="n">
        <f aca="false">IF($K$13&gt;0,MAX(-300,MIN(300,FC383-HQ383)),0)</f>
        <v>0</v>
      </c>
      <c r="IE383" s="60" t="n">
        <f aca="false">IF($L$13&gt;0,MAX(-300,MIN(300,FD383-HR383)),0)</f>
        <v>0</v>
      </c>
      <c r="IF383" s="60" t="n">
        <f aca="false">IF($M$13&gt;0,MAX(-300,MIN(300,FE383-HS383)),0)</f>
        <v>0</v>
      </c>
      <c r="IG383" s="60" t="n">
        <f aca="false">IF($N$13&gt;0,MAX(-300,MIN(300,FF383-HT383)),0)</f>
        <v>0</v>
      </c>
      <c r="IH383" s="60" t="n">
        <f aca="false">IF($O$13&gt;0,MAX(-300,MIN(300,FG383-HU383)),0)</f>
        <v>0</v>
      </c>
      <c r="II383" s="60" t="n">
        <f aca="false">IF($P$13&gt;0,MAX(-300,MIN(300,FH383-HV383)),0)</f>
        <v>0</v>
      </c>
      <c r="IJ383" s="60" t="n">
        <f aca="false">SUMXMY2(HX383:II383,B383:M383)</f>
        <v>0</v>
      </c>
      <c r="IK383" s="60" t="n">
        <f aca="false">SUMSQ(B383:M383)</f>
        <v>0</v>
      </c>
    </row>
    <row r="384" customFormat="false" ht="15" hidden="false" customHeight="false" outlineLevel="0" collapsed="false">
      <c r="A384" s="59" t="n">
        <v>23</v>
      </c>
      <c r="B384" s="60" t="n">
        <f aca="false">HX383</f>
        <v>0</v>
      </c>
      <c r="C384" s="60" t="n">
        <f aca="false">HY383</f>
        <v>0</v>
      </c>
      <c r="D384" s="60" t="n">
        <f aca="false">HZ383</f>
        <v>0</v>
      </c>
      <c r="E384" s="60" t="n">
        <f aca="false">IA383</f>
        <v>0</v>
      </c>
      <c r="F384" s="60" t="n">
        <f aca="false">IB383</f>
        <v>0</v>
      </c>
      <c r="G384" s="60" t="n">
        <f aca="false">IC383</f>
        <v>0</v>
      </c>
      <c r="H384" s="60" t="n">
        <f aca="false">ID383</f>
        <v>0</v>
      </c>
      <c r="I384" s="60" t="n">
        <f aca="false">IE383</f>
        <v>0</v>
      </c>
      <c r="J384" s="60" t="n">
        <f aca="false">IF383</f>
        <v>0</v>
      </c>
      <c r="K384" s="60" t="n">
        <f aca="false">IG383</f>
        <v>0</v>
      </c>
      <c r="L384" s="60" t="n">
        <f aca="false">IH383</f>
        <v>0</v>
      </c>
      <c r="M384" s="60" t="n">
        <f aca="false">II383</f>
        <v>0</v>
      </c>
      <c r="N384" s="60" t="n">
        <f aca="false">EXP(B384)</f>
        <v>1</v>
      </c>
      <c r="O384" s="60" t="n">
        <f aca="false">EXP(C384)</f>
        <v>1</v>
      </c>
      <c r="P384" s="60" t="n">
        <f aca="false">EXP(D384)</f>
        <v>1</v>
      </c>
      <c r="Q384" s="60" t="n">
        <f aca="false">EXP(E384)</f>
        <v>1</v>
      </c>
      <c r="R384" s="60" t="n">
        <f aca="false">EXP(F384)</f>
        <v>1</v>
      </c>
      <c r="S384" s="60" t="n">
        <f aca="false">EXP(G384)</f>
        <v>1</v>
      </c>
      <c r="T384" s="60" t="n">
        <f aca="false">EXP(H384)</f>
        <v>1</v>
      </c>
      <c r="U384" s="60" t="n">
        <f aca="false">EXP(I384)</f>
        <v>1</v>
      </c>
      <c r="V384" s="60" t="n">
        <f aca="false">EXP(J384)</f>
        <v>1</v>
      </c>
      <c r="W384" s="60" t="n">
        <f aca="false">EXP(K384)</f>
        <v>1</v>
      </c>
      <c r="X384" s="60" t="n">
        <f aca="false">EXP(L384)</f>
        <v>1</v>
      </c>
      <c r="Y384" s="60" t="n">
        <f aca="false">EXP(M384)</f>
        <v>1</v>
      </c>
      <c r="Z384" s="60" t="n">
        <f aca="false">MAX(N384:Y384)</f>
        <v>1</v>
      </c>
      <c r="AA384" s="60" t="n">
        <f aca="false">MIN(N384:Y384)</f>
        <v>1</v>
      </c>
      <c r="AB384" s="60" t="n">
        <f aca="false">AND(Z384&gt;1,AA384&lt;1)</f>
        <v>0</v>
      </c>
      <c r="AC384" s="60" t="n">
        <f aca="false">IF(AB384,1/(1-Z384),0)</f>
        <v>0</v>
      </c>
      <c r="AD384" s="60" t="n">
        <f aca="false">IF(AB384,1/(1-AA384),1)</f>
        <v>1</v>
      </c>
      <c r="AE384" s="60" t="n">
        <f aca="false">IF(AB384,MIN(MAX(BI383,AC384+0.000000001*(AD384-AC384)),AD384-0.000000001*(AD384-AC384)),IF(AA384&gt;=1,1,0))</f>
        <v>1</v>
      </c>
      <c r="AF384" s="60" t="n">
        <f aca="false">SUMPRODUCT($E$13:$P$13*(N384:Y384-1)/(1+AE384*(N384:Y384-1)))</f>
        <v>0</v>
      </c>
      <c r="AG384" s="60" t="n">
        <f aca="false">-SUMPRODUCT($E$13:$P$13*(N384:Y384-1)^2/(1+AE384*(N384:Y384-1))^2)</f>
        <v>-0</v>
      </c>
      <c r="AH384" s="60" t="n">
        <f aca="false">IF(OR(NOT(AB384),AG384=0),AE384,IF(AE384-AF384/AG384&lt;=AC384,(AE384+AC384)/2,IF(AE384-AF384/AG384&gt;=AD384,(AE384+AD384)/2,AE384-AF384/AG384)))</f>
        <v>1</v>
      </c>
      <c r="AI384" s="60" t="n">
        <f aca="false">SUMPRODUCT($E$13:$P$13*(N384:Y384-1)/(1+AH384*(N384:Y384-1)))</f>
        <v>0</v>
      </c>
      <c r="AJ384" s="60" t="n">
        <f aca="false">-SUMPRODUCT($E$13:$P$13*(N384:Y384-1)^2/(1+AH384*(N384:Y384-1))^2)</f>
        <v>-0</v>
      </c>
      <c r="AK384" s="60" t="n">
        <f aca="false">IF(OR(NOT(AB384),AJ384=0),AH384,IF(AH384-AI384/AJ384&lt;=AC384,(AH384+AC384)/2,IF(AH384-AI384/AJ384&gt;=AD384,(AH384+AD384)/2,AH384-AI384/AJ384)))</f>
        <v>1</v>
      </c>
      <c r="AL384" s="60" t="n">
        <f aca="false">SUMPRODUCT($E$13:$P$13*(N384:Y384-1)/(1+AK384*(N384:Y384-1)))</f>
        <v>0</v>
      </c>
      <c r="AM384" s="60" t="n">
        <f aca="false">-SUMPRODUCT($E$13:$P$13*(N384:Y384-1)^2/(1+AK384*(N384:Y384-1))^2)</f>
        <v>-0</v>
      </c>
      <c r="AN384" s="60" t="n">
        <f aca="false">IF(OR(NOT(AB384),AM384=0),AK384,IF(AK384-AL384/AM384&lt;=AC384,(AK384+AC384)/2,IF(AK384-AL384/AM384&gt;=AD384,(AK384+AD384)/2,AK384-AL384/AM384)))</f>
        <v>1</v>
      </c>
      <c r="AO384" s="60" t="n">
        <f aca="false">SUMPRODUCT($E$13:$P$13*(N384:Y384-1)/(1+AN384*(N384:Y384-1)))</f>
        <v>0</v>
      </c>
      <c r="AP384" s="60" t="n">
        <f aca="false">-SUMPRODUCT($E$13:$P$13*(N384:Y384-1)^2/(1+AN384*(N384:Y384-1))^2)</f>
        <v>-0</v>
      </c>
      <c r="AQ384" s="60" t="n">
        <f aca="false">IF(OR(NOT(AB384),AP384=0),AN384,IF(AN384-AO384/AP384&lt;=AC384,(AN384+AC384)/2,IF(AN384-AO384/AP384&gt;=AD384,(AN384+AD384)/2,AN384-AO384/AP384)))</f>
        <v>1</v>
      </c>
      <c r="AR384" s="60" t="n">
        <f aca="false">SUMPRODUCT($E$13:$P$13*(N384:Y384-1)/(1+AQ384*(N384:Y384-1)))</f>
        <v>0</v>
      </c>
      <c r="AS384" s="60" t="n">
        <f aca="false">-SUMPRODUCT($E$13:$P$13*(N384:Y384-1)^2/(1+AQ384*(N384:Y384-1))^2)</f>
        <v>-0</v>
      </c>
      <c r="AT384" s="60" t="n">
        <f aca="false">IF(OR(NOT(AB384),AS384=0),AQ384,IF(AQ384-AR384/AS384&lt;=AC384,(AQ384+AC384)/2,IF(AQ384-AR384/AS384&gt;=AD384,(AQ384+AD384)/2,AQ384-AR384/AS384)))</f>
        <v>1</v>
      </c>
      <c r="AU384" s="60" t="n">
        <f aca="false">SUMPRODUCT($E$13:$P$13*(N384:Y384-1)/(1+AT384*(N384:Y384-1)))</f>
        <v>0</v>
      </c>
      <c r="AV384" s="60" t="n">
        <f aca="false">-SUMPRODUCT($E$13:$P$13*(N384:Y384-1)^2/(1+AT384*(N384:Y384-1))^2)</f>
        <v>-0</v>
      </c>
      <c r="AW384" s="60" t="n">
        <f aca="false">IF(OR(NOT(AB384),AV384=0),AT384,IF(AT384-AU384/AV384&lt;=AC384,(AT384+AC384)/2,IF(AT384-AU384/AV384&gt;=AD384,(AT384+AD384)/2,AT384-AU384/AV384)))</f>
        <v>1</v>
      </c>
      <c r="AX384" s="60" t="n">
        <f aca="false">SUMPRODUCT($E$13:$P$13*(N384:Y384-1)/(1+AW384*(N384:Y384-1)))</f>
        <v>0</v>
      </c>
      <c r="AY384" s="60" t="n">
        <f aca="false">-SUMPRODUCT($E$13:$P$13*(N384:Y384-1)^2/(1+AW384*(N384:Y384-1))^2)</f>
        <v>-0</v>
      </c>
      <c r="AZ384" s="60" t="n">
        <f aca="false">IF(OR(NOT(AB384),AY384=0),AW384,IF(AW384-AX384/AY384&lt;=AC384,(AW384+AC384)/2,IF(AW384-AX384/AY384&gt;=AD384,(AW384+AD384)/2,AW384-AX384/AY384)))</f>
        <v>1</v>
      </c>
      <c r="BA384" s="60" t="n">
        <f aca="false">SUMPRODUCT($E$13:$P$13*(N384:Y384-1)/(1+AZ384*(N384:Y384-1)))</f>
        <v>0</v>
      </c>
      <c r="BB384" s="60" t="n">
        <f aca="false">-SUMPRODUCT($E$13:$P$13*(N384:Y384-1)^2/(1+AZ384*(N384:Y384-1))^2)</f>
        <v>-0</v>
      </c>
      <c r="BC384" s="60" t="n">
        <f aca="false">IF(OR(NOT(AB384),BB384=0),AZ384,IF(AZ384-BA384/BB384&lt;=AC384,(AZ384+AC384)/2,IF(AZ384-BA384/BB384&gt;=AD384,(AZ384+AD384)/2,AZ384-BA384/BB384)))</f>
        <v>1</v>
      </c>
      <c r="BD384" s="60" t="n">
        <f aca="false">SUMPRODUCT($E$13:$P$13*(N384:Y384-1)/(1+BC384*(N384:Y384-1)))</f>
        <v>0</v>
      </c>
      <c r="BE384" s="60" t="n">
        <f aca="false">-SUMPRODUCT($E$13:$P$13*(N384:Y384-1)^2/(1+BC384*(N384:Y384-1))^2)</f>
        <v>-0</v>
      </c>
      <c r="BF384" s="60" t="n">
        <f aca="false">IF(OR(NOT(AB384),BE384=0),BC384,IF(BC384-BD384/BE384&lt;=AC384,(BC384+AC384)/2,IF(BC384-BD384/BE384&gt;=AD384,(BC384+AD384)/2,BC384-BD384/BE384)))</f>
        <v>1</v>
      </c>
      <c r="BG384" s="60" t="n">
        <f aca="false">SUMPRODUCT($E$13:$P$13*(N384:Y384-1)/(1+BF384*(N384:Y384-1)))</f>
        <v>0</v>
      </c>
      <c r="BH384" s="60" t="n">
        <f aca="false">-SUMPRODUCT($E$13:$P$13*(N384:Y384-1)^2/(1+BF384*(N384:Y384-1))^2)</f>
        <v>-0</v>
      </c>
      <c r="BI384" s="60" t="n">
        <f aca="false">IF(OR(NOT(AB384),BH384=0),BF384,IF(BF384-BG384/BH384&lt;=AC384,(BF384+AC384)/2,IF(BF384-BG384/BH384&gt;=AD384,(BF384+AD384)/2,BF384-BG384/BH384)))</f>
        <v>1</v>
      </c>
      <c r="BJ384" s="60" t="n">
        <f aca="false">$E$13/(1+BI384*(N384-1))</f>
        <v>1</v>
      </c>
      <c r="BK384" s="60" t="n">
        <f aca="false">$F$13/(1+BI384*(O384-1))</f>
        <v>0</v>
      </c>
      <c r="BL384" s="60" t="n">
        <f aca="false">$G$13/(1+BI384*(P384-1))</f>
        <v>0</v>
      </c>
      <c r="BM384" s="60" t="n">
        <f aca="false">$H$13/(1+BI384*(Q384-1))</f>
        <v>0</v>
      </c>
      <c r="BN384" s="60" t="n">
        <f aca="false">$I$13/(1+BI384*(R384-1))</f>
        <v>0</v>
      </c>
      <c r="BO384" s="60" t="n">
        <f aca="false">$J$13/(1+BI384*(S384-1))</f>
        <v>0</v>
      </c>
      <c r="BP384" s="60" t="n">
        <f aca="false">$K$13/(1+BI384*(T384-1))</f>
        <v>0</v>
      </c>
      <c r="BQ384" s="60" t="n">
        <f aca="false">$L$13/(1+BI384*(U384-1))</f>
        <v>0</v>
      </c>
      <c r="BR384" s="60" t="n">
        <f aca="false">$M$13/(1+BI384*(V384-1))</f>
        <v>0</v>
      </c>
      <c r="BS384" s="60" t="n">
        <f aca="false">$N$13/(1+BI384*(W384-1))</f>
        <v>0</v>
      </c>
      <c r="BT384" s="60" t="n">
        <f aca="false">$O$13/(1+BI384*(X384-1))</f>
        <v>0</v>
      </c>
      <c r="BU384" s="60" t="n">
        <f aca="false">$P$13/(1+BI384*(Y384-1))</f>
        <v>0</v>
      </c>
      <c r="BV384" s="60" t="n">
        <f aca="false">SUM(BJ384:BU384)</f>
        <v>1</v>
      </c>
      <c r="BW384" s="60" t="n">
        <f aca="false">SUMPRODUCT(N384:Y384,BJ384:BU384)</f>
        <v>1</v>
      </c>
      <c r="BX384" s="60" t="n">
        <f aca="false">BJ384/BV384</f>
        <v>1</v>
      </c>
      <c r="BY384" s="60" t="n">
        <f aca="false">BK384/BV384</f>
        <v>0</v>
      </c>
      <c r="BZ384" s="60" t="n">
        <f aca="false">BL384/BV384</f>
        <v>0</v>
      </c>
      <c r="CA384" s="60" t="n">
        <f aca="false">BM384/BV384</f>
        <v>0</v>
      </c>
      <c r="CB384" s="60" t="n">
        <f aca="false">BN384/BV384</f>
        <v>0</v>
      </c>
      <c r="CC384" s="60" t="n">
        <f aca="false">BO384/BV384</f>
        <v>0</v>
      </c>
      <c r="CD384" s="60" t="n">
        <f aca="false">BP384/BV384</f>
        <v>0</v>
      </c>
      <c r="CE384" s="60" t="n">
        <f aca="false">BQ384/BV384</f>
        <v>0</v>
      </c>
      <c r="CF384" s="60" t="n">
        <f aca="false">BR384/BV384</f>
        <v>0</v>
      </c>
      <c r="CG384" s="60" t="n">
        <f aca="false">BS384/BV384</f>
        <v>0</v>
      </c>
      <c r="CH384" s="60" t="n">
        <f aca="false">BT384/BV384</f>
        <v>0</v>
      </c>
      <c r="CI384" s="60" t="n">
        <f aca="false">BU384/BV384</f>
        <v>0</v>
      </c>
      <c r="CJ384" s="60" t="n">
        <f aca="false">N384*BJ384/BW384</f>
        <v>1</v>
      </c>
      <c r="CK384" s="60" t="n">
        <f aca="false">O384*BK384/BW384</f>
        <v>0</v>
      </c>
      <c r="CL384" s="60" t="n">
        <f aca="false">P384*BL384/BW384</f>
        <v>0</v>
      </c>
      <c r="CM384" s="60" t="n">
        <f aca="false">Q384*BM384/BW384</f>
        <v>0</v>
      </c>
      <c r="CN384" s="60" t="n">
        <f aca="false">R384*BN384/BW384</f>
        <v>0</v>
      </c>
      <c r="CO384" s="60" t="n">
        <f aca="false">S384*BO384/BW384</f>
        <v>0</v>
      </c>
      <c r="CP384" s="60" t="n">
        <f aca="false">T384*BP384/BW384</f>
        <v>0</v>
      </c>
      <c r="CQ384" s="60" t="n">
        <f aca="false">U384*BQ384/BW384</f>
        <v>0</v>
      </c>
      <c r="CR384" s="60" t="n">
        <f aca="false">V384*BR384/BW384</f>
        <v>0</v>
      </c>
      <c r="CS384" s="60" t="n">
        <f aca="false">W384*BS384/BW384</f>
        <v>0</v>
      </c>
      <c r="CT384" s="60" t="n">
        <f aca="false">X384*BT384/BW384</f>
        <v>0</v>
      </c>
      <c r="CU384" s="60" t="n">
        <f aca="false">Y384*BU384/BW384</f>
        <v>0</v>
      </c>
      <c r="CV384" s="60" t="n">
        <f aca="false">$E$28*SUMPRODUCT($E$31:$P$31,BX384:CI384,$E$28:$P$28)</f>
        <v>0.184416866619846</v>
      </c>
      <c r="CW384" s="60" t="n">
        <f aca="false">$F$28*SUMPRODUCT($E$32:$P$32,BX384:CI384,$E$28:$P$28)</f>
        <v>0</v>
      </c>
      <c r="CX384" s="60" t="n">
        <f aca="false">$G$28*SUMPRODUCT($E$33:$P$33,BX384:CI384,$E$28:$P$28)</f>
        <v>0</v>
      </c>
      <c r="CY384" s="60" t="n">
        <f aca="false">$H$28*SUMPRODUCT($E$34:$P$34,BX384:CI384,$E$28:$P$28)</f>
        <v>0</v>
      </c>
      <c r="CZ384" s="60" t="n">
        <f aca="false">$I$28*SUMPRODUCT($E$35:$P$35,BX384:CI384,$E$28:$P$28)</f>
        <v>0</v>
      </c>
      <c r="DA384" s="60" t="n">
        <f aca="false">$J$28*SUMPRODUCT($E$36:$P$36,BX384:CI384,$E$28:$P$28)</f>
        <v>0</v>
      </c>
      <c r="DB384" s="60" t="n">
        <f aca="false">$K$28*SUMPRODUCT($E$37:$P$37,BX384:CI384,$E$28:$P$28)</f>
        <v>0</v>
      </c>
      <c r="DC384" s="60" t="n">
        <f aca="false">$L$28*SUMPRODUCT($E$38:$P$38,BX384:CI384,$E$28:$P$28)</f>
        <v>0</v>
      </c>
      <c r="DD384" s="60" t="n">
        <f aca="false">$M$28*SUMPRODUCT($E$39:$P$39,BX384:CI384,$E$28:$P$28)</f>
        <v>0</v>
      </c>
      <c r="DE384" s="60" t="n">
        <f aca="false">$N$28*SUMPRODUCT($E$40:$P$40,BX384:CI384,$E$28:$P$28)</f>
        <v>0</v>
      </c>
      <c r="DF384" s="60" t="n">
        <f aca="false">$O$28*SUMPRODUCT($E$41:$P$41,BX384:CI384,$E$28:$P$28)</f>
        <v>0</v>
      </c>
      <c r="DG384" s="60" t="n">
        <f aca="false">$P$28*SUMPRODUCT($E$42:$P$42,BX384:CI384,$E$28:$P$28)</f>
        <v>0</v>
      </c>
      <c r="DH384" s="60" t="n">
        <f aca="false">SUMPRODUCT(BX384:CI384,CV384:DG384)</f>
        <v>0.184416866619846</v>
      </c>
      <c r="DI384" s="60" t="n">
        <f aca="false">SUMPRODUCT(BX384:CI384,$E$27:$P$27)</f>
        <v>2.67389635063809E-005</v>
      </c>
      <c r="DJ384" s="60" t="n">
        <f aca="false">DH384*$C$9/($C$10*$C$8)^2</f>
        <v>0.21776909410545</v>
      </c>
      <c r="DK384" s="60" t="n">
        <f aca="false">DI384*$C$9/($C$10*$C$8)</f>
        <v>0.0918845243259994</v>
      </c>
      <c r="DL384" s="60" t="n">
        <f aca="false">CHOOSE($C$7,-(1+DK384),-1,-(1-DK384))</f>
        <v>-0.908115475674001</v>
      </c>
      <c r="DM384" s="60" t="n">
        <f aca="false">CHOOSE($C$7,DJ384,DJ384-DK384-DK384^2,DJ384-3*DK384^2-2*DK384)</f>
        <v>0.00867174802160559</v>
      </c>
      <c r="DN384" s="60" t="n">
        <f aca="false">CHOOSE($C$7,-DJ384*DK384,-DJ384*DK384,-(DJ384*DK384-DK384^2-DK384^3))</f>
        <v>-0.0107910842936637</v>
      </c>
      <c r="DO384" s="60" t="n">
        <f aca="false">DM384-DL384^2/3</f>
        <v>-0.266219491031267</v>
      </c>
      <c r="DP384" s="60" t="n">
        <f aca="false">2*DL384^3/27-DL384*DM384/3+DN384</f>
        <v>-0.0636400988362784</v>
      </c>
      <c r="DQ384" s="60" t="n">
        <f aca="false">DP384^2/4+DO384^3/27</f>
        <v>0.000313710901361829</v>
      </c>
      <c r="DR384" s="60" t="n">
        <f aca="false">-DP384/2-IF(DP384&gt;=0,1,-1)*SQRT(MAX(DQ384,0))</f>
        <v>0.0495319352963236</v>
      </c>
      <c r="DS384" s="60" t="n">
        <f aca="false">SIGN(DR384)*ABS(DR384)^(1/3)</f>
        <v>0.367249967174439</v>
      </c>
      <c r="DT384" s="60" t="n">
        <f aca="false">IF(DS384=0,0,DS384-DO384/(3*DS384))</f>
        <v>0.60888329127384</v>
      </c>
      <c r="DU384" s="60" t="n">
        <f aca="false">2*SQRT(MAX(-DO384,0)/3)</f>
        <v>0.595784626668918</v>
      </c>
      <c r="DV384" s="60" t="n">
        <f aca="false">ACOS(IF(DU384=0,0,MAX(-1,MIN(1,3*DP384/(DO384*DU384)))))</f>
        <v>0</v>
      </c>
      <c r="DW384" s="60" t="n">
        <f aca="false">DU384*COS(DV384/3)</f>
        <v>0.595784626668918</v>
      </c>
      <c r="DX384" s="60" t="n">
        <f aca="false">IF(DQ384&lt;0,DW384,DT384)-DL384/3</f>
        <v>0.91158844983184</v>
      </c>
      <c r="DY384" s="60" t="n">
        <f aca="false">IFERROR((((DX384+DL384)*DX384+DM384)*DX384+DN384)/((3*DX384+2*DL384)*DX384+DM384),0)</f>
        <v>0</v>
      </c>
      <c r="DZ384" s="60" t="n">
        <f aca="false">IF(ABS(DY384)&lt;0.1*ABS(DX384),DX384-DY384,DX384)</f>
        <v>0.91158844983184</v>
      </c>
      <c r="EA384" s="60" t="n">
        <f aca="false">IFERROR((((DZ384+DL384)*DZ384+DM384)*DZ384+DN384)/((3*DZ384+2*DL384)*DZ384+DM384),0)</f>
        <v>0</v>
      </c>
      <c r="EB384" s="60" t="n">
        <f aca="false">IF(ABS(EA384)&lt;0.1*ABS(DZ384),DZ384-EA384,DZ384)</f>
        <v>0.91158844983184</v>
      </c>
      <c r="EC384" s="60" t="n">
        <f aca="false">-DN384/EB384</f>
        <v>0.0118376711504565</v>
      </c>
      <c r="ED384" s="60" t="n">
        <f aca="false">(DM384-EC384)/EB384</f>
        <v>-0.00347297415783941</v>
      </c>
      <c r="EE384" s="60" t="n">
        <f aca="false">ED384^2-4*EC384</f>
        <v>-0.0473386230523248</v>
      </c>
      <c r="EF384" s="60" t="n">
        <f aca="false">IF(EE384&gt;=0,(ED384+IF(ED384&gt;=0,1,-1)*SQRT(EE384))/2,0)</f>
        <v>0</v>
      </c>
      <c r="EG384" s="60" t="n">
        <f aca="false">IF(AND(EE384&gt;=0,EF384&lt;&gt;0),MIN(EF384,EC384/EF384),-1)</f>
        <v>-1</v>
      </c>
      <c r="EH384" s="60" t="n">
        <f aca="false">AND(EE384&gt;=0,EG384&gt;DK384,ABS(EB384-EG384)&gt;=0.00005*MAX(EB384,EG384))</f>
        <v>0</v>
      </c>
      <c r="EI384" s="60" t="n">
        <f aca="false">IF(EH384,IFERROR((((EG384+DL384)*EG384+DM384)*EG384+DN384)/((3*EG384+2*DL384)*EG384+DM384),0),0)</f>
        <v>0</v>
      </c>
      <c r="EJ384" s="60" t="n">
        <f aca="false">IF(ABS(EI384)&lt;0.1*ABS(EG384),EG384-EI384,EG384)</f>
        <v>-1</v>
      </c>
      <c r="EK384" s="60" t="n">
        <f aca="false">IF(EH384,IFERROR((((EJ384+DL384)*EJ384+DM384)*EJ384+DN384)/((3*EJ384+2*DL384)*EJ384+DM384),0),0)</f>
        <v>0</v>
      </c>
      <c r="EL384" s="60" t="n">
        <f aca="false">IF(ABS(EK384)&lt;0.1*ABS(EJ384),EJ384-EK384,EJ384)</f>
        <v>-1</v>
      </c>
      <c r="EM384" s="60" t="n">
        <f aca="false">IF(EH384,MAX(EB384,EL384),EB384)</f>
        <v>0.91158844983184</v>
      </c>
      <c r="EN384" s="60" t="n">
        <f aca="false">IF(EH384,MIN(EB384,EL384),-1)</f>
        <v>-1</v>
      </c>
      <c r="EO384" s="60" t="n">
        <f aca="false">CHOOSE($C$7,DJ384/EM384,DJ384/DK384*LN(1+DK384/EM384),DJ384/(2*SQRT(2)*DK384)*LN((EM384+(1+SQRT(2))*DK384)/(EM384+(1-SQRT(2))*DK384)))</f>
        <v>0.218240791233887</v>
      </c>
      <c r="EP384" s="60" t="n">
        <f aca="false">EM384-1-LN(EM384-DK384)-EO384</f>
        <v>-0.107840271021729</v>
      </c>
      <c r="EQ384" s="60" t="n">
        <f aca="false">IF(EH384,CHOOSE($C$7,DJ384/EN384,DJ384/DK384*LN(1+DK384/EN384),DJ384/(2*SQRT(2)*DK384)*LN((EN384+(1+SQRT(2))*DK384)/(EN384+(1-SQRT(2))*DK384))),0)</f>
        <v>0</v>
      </c>
      <c r="ER384" s="60" t="n">
        <f aca="false">IF(EH384,EN384-1-LN(EN384-DK384)-EQ384,0)</f>
        <v>0</v>
      </c>
      <c r="ES384" s="60" t="n">
        <f aca="false">AND(EH384,ER384&lt;EP384)</f>
        <v>0</v>
      </c>
      <c r="ET384" s="60" t="n">
        <f aca="false">IF(ES384,EN384,EM384)</f>
        <v>0.91158844983184</v>
      </c>
      <c r="EU384" s="60" t="n">
        <f aca="false">IF(ES384,EQ384,EO384)</f>
        <v>0.218240791233887</v>
      </c>
      <c r="EV384" s="60" t="n">
        <f aca="false">LN(ET384-DK384)</f>
        <v>-0.198812070380318</v>
      </c>
      <c r="EW384" s="60" t="n">
        <f aca="false">$E$27/DI384*(ET384-1)-EV384-EU384*(2*CV384/DH384-$E$27/DI384)</f>
        <v>-0.107840271021729</v>
      </c>
      <c r="EX384" s="60" t="n">
        <f aca="false">$F$27/DI384*(ET384-1)-EV384-EU384*(2*CW384/DH384-$F$27/DI384)</f>
        <v>0.198812070380318</v>
      </c>
      <c r="EY384" s="60" t="n">
        <f aca="false">$G$27/DI384*(ET384-1)-EV384-EU384*(2*CX384/DH384-$G$27/DI384)</f>
        <v>0.198812070380318</v>
      </c>
      <c r="EZ384" s="60" t="n">
        <f aca="false">$H$27/DI384*(ET384-1)-EV384-EU384*(2*CY384/DH384-$H$27/DI384)</f>
        <v>0.198812070380318</v>
      </c>
      <c r="FA384" s="60" t="n">
        <f aca="false">$I$27/DI384*(ET384-1)-EV384-EU384*(2*CZ384/DH384-$I$27/DI384)</f>
        <v>0.198812070380318</v>
      </c>
      <c r="FB384" s="60" t="n">
        <f aca="false">$J$27/DI384*(ET384-1)-EV384-EU384*(2*DA384/DH384-$J$27/DI384)</f>
        <v>0.198812070380318</v>
      </c>
      <c r="FC384" s="60" t="n">
        <f aca="false">$K$27/DI384*(ET384-1)-EV384-EU384*(2*DB384/DH384-$K$27/DI384)</f>
        <v>0.198812070380318</v>
      </c>
      <c r="FD384" s="60" t="n">
        <f aca="false">$L$27/DI384*(ET384-1)-EV384-EU384*(2*DC384/DH384-$L$27/DI384)</f>
        <v>0.198812070380318</v>
      </c>
      <c r="FE384" s="60" t="n">
        <f aca="false">$M$27/DI384*(ET384-1)-EV384-EU384*(2*DD384/DH384-$M$27/DI384)</f>
        <v>0.198812070380318</v>
      </c>
      <c r="FF384" s="60" t="n">
        <f aca="false">$N$27/DI384*(ET384-1)-EV384-EU384*(2*DE384/DH384-$N$27/DI384)</f>
        <v>0.198812070380318</v>
      </c>
      <c r="FG384" s="60" t="n">
        <f aca="false">$O$27/DI384*(ET384-1)-EV384-EU384*(2*DF384/DH384-$O$27/DI384)</f>
        <v>0.198812070380318</v>
      </c>
      <c r="FH384" s="60" t="n">
        <f aca="false">$P$27/DI384*(ET384-1)-EV384-EU384*(2*DG384/DH384-$P$27/DI384)</f>
        <v>0.198812070380318</v>
      </c>
      <c r="FI384" s="60" t="n">
        <f aca="false">DK384/ET384&gt;$C$22</f>
        <v>0</v>
      </c>
      <c r="FJ384" s="60" t="n">
        <f aca="false">$E$28*SUMPRODUCT($E$31:$P$31,CJ384:CU384,$E$28:$P$28)</f>
        <v>0.184416866619846</v>
      </c>
      <c r="FK384" s="60" t="n">
        <f aca="false">$F$28*SUMPRODUCT($E$32:$P$32,CJ384:CU384,$E$28:$P$28)</f>
        <v>0</v>
      </c>
      <c r="FL384" s="60" t="n">
        <f aca="false">$G$28*SUMPRODUCT($E$33:$P$33,CJ384:CU384,$E$28:$P$28)</f>
        <v>0</v>
      </c>
      <c r="FM384" s="60" t="n">
        <f aca="false">$H$28*SUMPRODUCT($E$34:$P$34,CJ384:CU384,$E$28:$P$28)</f>
        <v>0</v>
      </c>
      <c r="FN384" s="60" t="n">
        <f aca="false">$I$28*SUMPRODUCT($E$35:$P$35,CJ384:CU384,$E$28:$P$28)</f>
        <v>0</v>
      </c>
      <c r="FO384" s="60" t="n">
        <f aca="false">$J$28*SUMPRODUCT($E$36:$P$36,CJ384:CU384,$E$28:$P$28)</f>
        <v>0</v>
      </c>
      <c r="FP384" s="60" t="n">
        <f aca="false">$K$28*SUMPRODUCT($E$37:$P$37,CJ384:CU384,$E$28:$P$28)</f>
        <v>0</v>
      </c>
      <c r="FQ384" s="60" t="n">
        <f aca="false">$L$28*SUMPRODUCT($E$38:$P$38,CJ384:CU384,$E$28:$P$28)</f>
        <v>0</v>
      </c>
      <c r="FR384" s="60" t="n">
        <f aca="false">$M$28*SUMPRODUCT($E$39:$P$39,CJ384:CU384,$E$28:$P$28)</f>
        <v>0</v>
      </c>
      <c r="FS384" s="60" t="n">
        <f aca="false">$N$28*SUMPRODUCT($E$40:$P$40,CJ384:CU384,$E$28:$P$28)</f>
        <v>0</v>
      </c>
      <c r="FT384" s="60" t="n">
        <f aca="false">$O$28*SUMPRODUCT($E$41:$P$41,CJ384:CU384,$E$28:$P$28)</f>
        <v>0</v>
      </c>
      <c r="FU384" s="60" t="n">
        <f aca="false">$P$28*SUMPRODUCT($E$42:$P$42,CJ384:CU384,$E$28:$P$28)</f>
        <v>0</v>
      </c>
      <c r="FV384" s="60" t="n">
        <f aca="false">SUMPRODUCT(CJ384:CU384,FJ384:FU384)</f>
        <v>0.184416866619846</v>
      </c>
      <c r="FW384" s="60" t="n">
        <f aca="false">SUMPRODUCT(CJ384:CU384,$E$27:$P$27)</f>
        <v>2.67389635063809E-005</v>
      </c>
      <c r="FX384" s="60" t="n">
        <f aca="false">FV384*$C$9/($C$10*$C$8)^2</f>
        <v>0.21776909410545</v>
      </c>
      <c r="FY384" s="60" t="n">
        <f aca="false">FW384*$C$9/($C$10*$C$8)</f>
        <v>0.0918845243259994</v>
      </c>
      <c r="FZ384" s="60" t="n">
        <f aca="false">CHOOSE($C$7,-(1+FY384),-1,-(1-FY384))</f>
        <v>-0.908115475674001</v>
      </c>
      <c r="GA384" s="60" t="n">
        <f aca="false">CHOOSE($C$7,FX384,FX384-FY384-FY384^2,FX384-3*FY384^2-2*FY384)</f>
        <v>0.00867174802160559</v>
      </c>
      <c r="GB384" s="60" t="n">
        <f aca="false">CHOOSE($C$7,-FX384*FY384,-FX384*FY384,-(FX384*FY384-FY384^2-FY384^3))</f>
        <v>-0.0107910842936637</v>
      </c>
      <c r="GC384" s="60" t="n">
        <f aca="false">GA384-FZ384^2/3</f>
        <v>-0.266219491031267</v>
      </c>
      <c r="GD384" s="60" t="n">
        <f aca="false">2*FZ384^3/27-FZ384*GA384/3+GB384</f>
        <v>-0.0636400988362784</v>
      </c>
      <c r="GE384" s="60" t="n">
        <f aca="false">GD384^2/4+GC384^3/27</f>
        <v>0.000313710901361829</v>
      </c>
      <c r="GF384" s="60" t="n">
        <f aca="false">-GD384/2-IF(GD384&gt;=0,1,-1)*SQRT(MAX(GE384,0))</f>
        <v>0.0495319352963236</v>
      </c>
      <c r="GG384" s="60" t="n">
        <f aca="false">SIGN(GF384)*ABS(GF384)^(1/3)</f>
        <v>0.367249967174439</v>
      </c>
      <c r="GH384" s="60" t="n">
        <f aca="false">IF(GG384=0,0,GG384-GC384/(3*GG384))</f>
        <v>0.60888329127384</v>
      </c>
      <c r="GI384" s="60" t="n">
        <f aca="false">2*SQRT(MAX(-GC384,0)/3)</f>
        <v>0.595784626668918</v>
      </c>
      <c r="GJ384" s="60" t="n">
        <f aca="false">ACOS(IF(GI384=0,0,MAX(-1,MIN(1,3*GD384/(GC384*GI384)))))</f>
        <v>0</v>
      </c>
      <c r="GK384" s="60" t="n">
        <f aca="false">GI384*COS(GJ384/3)</f>
        <v>0.595784626668918</v>
      </c>
      <c r="GL384" s="60" t="n">
        <f aca="false">IF(GE384&lt;0,GK384,GH384)-FZ384/3</f>
        <v>0.91158844983184</v>
      </c>
      <c r="GM384" s="60" t="n">
        <f aca="false">IFERROR((((GL384+FZ384)*GL384+GA384)*GL384+GB384)/((3*GL384+2*FZ384)*GL384+GA384),0)</f>
        <v>0</v>
      </c>
      <c r="GN384" s="60" t="n">
        <f aca="false">IF(ABS(GM384)&lt;0.1*ABS(GL384),GL384-GM384,GL384)</f>
        <v>0.91158844983184</v>
      </c>
      <c r="GO384" s="60" t="n">
        <f aca="false">IFERROR((((GN384+FZ384)*GN384+GA384)*GN384+GB384)/((3*GN384+2*FZ384)*GN384+GA384),0)</f>
        <v>0</v>
      </c>
      <c r="GP384" s="60" t="n">
        <f aca="false">IF(ABS(GO384)&lt;0.1*ABS(GN384),GN384-GO384,GN384)</f>
        <v>0.91158844983184</v>
      </c>
      <c r="GQ384" s="60" t="n">
        <f aca="false">-GB384/GP384</f>
        <v>0.0118376711504565</v>
      </c>
      <c r="GR384" s="60" t="n">
        <f aca="false">(GA384-GQ384)/GP384</f>
        <v>-0.00347297415783941</v>
      </c>
      <c r="GS384" s="60" t="n">
        <f aca="false">GR384^2-4*GQ384</f>
        <v>-0.0473386230523248</v>
      </c>
      <c r="GT384" s="60" t="n">
        <f aca="false">IF(GS384&gt;=0,(GR384+IF(GR384&gt;=0,1,-1)*SQRT(GS384))/2,0)</f>
        <v>0</v>
      </c>
      <c r="GU384" s="60" t="n">
        <f aca="false">IF(AND(GS384&gt;=0,GT384&lt;&gt;0),MIN(GT384,GQ384/GT384),-1)</f>
        <v>-1</v>
      </c>
      <c r="GV384" s="60" t="n">
        <f aca="false">AND(GS384&gt;=0,GU384&gt;FY384,ABS(GP384-GU384)&gt;=0.00005*MAX(GP384,GU384))</f>
        <v>0</v>
      </c>
      <c r="GW384" s="60" t="n">
        <f aca="false">IF(GV384,IFERROR((((GU384+FZ384)*GU384+GA384)*GU384+GB384)/((3*GU384+2*FZ384)*GU384+GA384),0),0)</f>
        <v>0</v>
      </c>
      <c r="GX384" s="60" t="n">
        <f aca="false">IF(ABS(GW384)&lt;0.1*ABS(GU384),GU384-GW384,GU384)</f>
        <v>-1</v>
      </c>
      <c r="GY384" s="60" t="n">
        <f aca="false">IF(GV384,IFERROR((((GX384+FZ384)*GX384+GA384)*GX384+GB384)/((3*GX384+2*FZ384)*GX384+GA384),0),0)</f>
        <v>0</v>
      </c>
      <c r="GZ384" s="60" t="n">
        <f aca="false">IF(ABS(GY384)&lt;0.1*ABS(GX384),GX384-GY384,GX384)</f>
        <v>-1</v>
      </c>
      <c r="HA384" s="60" t="n">
        <f aca="false">IF(GV384,MAX(GP384,GZ384),GP384)</f>
        <v>0.91158844983184</v>
      </c>
      <c r="HB384" s="60" t="n">
        <f aca="false">IF(GV384,MIN(GP384,GZ384),-1)</f>
        <v>-1</v>
      </c>
      <c r="HC384" s="60" t="n">
        <f aca="false">CHOOSE($C$7,FX384/HA384,FX384/FY384*LN(1+FY384/HA384),FX384/(2*SQRT(2)*FY384)*LN((HA384+(1+SQRT(2))*FY384)/(HA384+(1-SQRT(2))*FY384)))</f>
        <v>0.218240791233887</v>
      </c>
      <c r="HD384" s="60" t="n">
        <f aca="false">HA384-1-LN(HA384-FY384)-HC384</f>
        <v>-0.107840271021729</v>
      </c>
      <c r="HE384" s="60" t="n">
        <f aca="false">IF(GV384,CHOOSE($C$7,FX384/HB384,FX384/FY384*LN(1+FY384/HB384),FX384/(2*SQRT(2)*FY384)*LN((HB384+(1+SQRT(2))*FY384)/(HB384+(1-SQRT(2))*FY384))),0)</f>
        <v>0</v>
      </c>
      <c r="HF384" s="60" t="n">
        <f aca="false">IF(GV384,HB384-1-LN(HB384-FY384)-HE384,0)</f>
        <v>0</v>
      </c>
      <c r="HG384" s="60" t="n">
        <f aca="false">AND(GV384,HF384&lt;HD384)</f>
        <v>0</v>
      </c>
      <c r="HH384" s="60" t="n">
        <f aca="false">IF(HG384,HB384,HA384)</f>
        <v>0.91158844983184</v>
      </c>
      <c r="HI384" s="60" t="n">
        <f aca="false">IF(HG384,HE384,HC384)</f>
        <v>0.218240791233887</v>
      </c>
      <c r="HJ384" s="60" t="n">
        <f aca="false">LN(HH384-FY384)</f>
        <v>-0.198812070380318</v>
      </c>
      <c r="HK384" s="60" t="n">
        <f aca="false">$E$27/FW384*(HH384-1)-HJ384-HI384*(2*FJ384/FV384-$E$27/FW384)</f>
        <v>-0.107840271021729</v>
      </c>
      <c r="HL384" s="60" t="n">
        <f aca="false">$F$27/FW384*(HH384-1)-HJ384-HI384*(2*FK384/FV384-$F$27/FW384)</f>
        <v>0.198812070380318</v>
      </c>
      <c r="HM384" s="60" t="n">
        <f aca="false">$G$27/FW384*(HH384-1)-HJ384-HI384*(2*FL384/FV384-$G$27/FW384)</f>
        <v>0.198812070380318</v>
      </c>
      <c r="HN384" s="60" t="n">
        <f aca="false">$H$27/FW384*(HH384-1)-HJ384-HI384*(2*FM384/FV384-$H$27/FW384)</f>
        <v>0.198812070380318</v>
      </c>
      <c r="HO384" s="60" t="n">
        <f aca="false">$I$27/FW384*(HH384-1)-HJ384-HI384*(2*FN384/FV384-$I$27/FW384)</f>
        <v>0.198812070380318</v>
      </c>
      <c r="HP384" s="60" t="n">
        <f aca="false">$J$27/FW384*(HH384-1)-HJ384-HI384*(2*FO384/FV384-$J$27/FW384)</f>
        <v>0.198812070380318</v>
      </c>
      <c r="HQ384" s="60" t="n">
        <f aca="false">$K$27/FW384*(HH384-1)-HJ384-HI384*(2*FP384/FV384-$K$27/FW384)</f>
        <v>0.198812070380318</v>
      </c>
      <c r="HR384" s="60" t="n">
        <f aca="false">$L$27/FW384*(HH384-1)-HJ384-HI384*(2*FQ384/FV384-$L$27/FW384)</f>
        <v>0.198812070380318</v>
      </c>
      <c r="HS384" s="60" t="n">
        <f aca="false">$M$27/FW384*(HH384-1)-HJ384-HI384*(2*FR384/FV384-$M$27/FW384)</f>
        <v>0.198812070380318</v>
      </c>
      <c r="HT384" s="60" t="n">
        <f aca="false">$N$27/FW384*(HH384-1)-HJ384-HI384*(2*FS384/FV384-$N$27/FW384)</f>
        <v>0.198812070380318</v>
      </c>
      <c r="HU384" s="60" t="n">
        <f aca="false">$O$27/FW384*(HH384-1)-HJ384-HI384*(2*FT384/FV384-$O$27/FW384)</f>
        <v>0.198812070380318</v>
      </c>
      <c r="HV384" s="60" t="n">
        <f aca="false">$P$27/FW384*(HH384-1)-HJ384-HI384*(2*FU384/FV384-$P$27/FW384)</f>
        <v>0.198812070380318</v>
      </c>
      <c r="HW384" s="60" t="n">
        <f aca="false">FY384/HH384&gt;$C$22</f>
        <v>0</v>
      </c>
      <c r="HX384" s="60" t="n">
        <f aca="false">IF($E$13&gt;0,MAX(-300,MIN(300,EW384-HK384)),0)</f>
        <v>0</v>
      </c>
      <c r="HY384" s="60" t="n">
        <f aca="false">IF($F$13&gt;0,MAX(-300,MIN(300,EX384-HL384)),0)</f>
        <v>0</v>
      </c>
      <c r="HZ384" s="60" t="n">
        <f aca="false">IF($G$13&gt;0,MAX(-300,MIN(300,EY384-HM384)),0)</f>
        <v>0</v>
      </c>
      <c r="IA384" s="60" t="n">
        <f aca="false">IF($H$13&gt;0,MAX(-300,MIN(300,EZ384-HN384)),0)</f>
        <v>0</v>
      </c>
      <c r="IB384" s="60" t="n">
        <f aca="false">IF($I$13&gt;0,MAX(-300,MIN(300,FA384-HO384)),0)</f>
        <v>0</v>
      </c>
      <c r="IC384" s="60" t="n">
        <f aca="false">IF($J$13&gt;0,MAX(-300,MIN(300,FB384-HP384)),0)</f>
        <v>0</v>
      </c>
      <c r="ID384" s="60" t="n">
        <f aca="false">IF($K$13&gt;0,MAX(-300,MIN(300,FC384-HQ384)),0)</f>
        <v>0</v>
      </c>
      <c r="IE384" s="60" t="n">
        <f aca="false">IF($L$13&gt;0,MAX(-300,MIN(300,FD384-HR384)),0)</f>
        <v>0</v>
      </c>
      <c r="IF384" s="60" t="n">
        <f aca="false">IF($M$13&gt;0,MAX(-300,MIN(300,FE384-HS384)),0)</f>
        <v>0</v>
      </c>
      <c r="IG384" s="60" t="n">
        <f aca="false">IF($N$13&gt;0,MAX(-300,MIN(300,FF384-HT384)),0)</f>
        <v>0</v>
      </c>
      <c r="IH384" s="60" t="n">
        <f aca="false">IF($O$13&gt;0,MAX(-300,MIN(300,FG384-HU384)),0)</f>
        <v>0</v>
      </c>
      <c r="II384" s="60" t="n">
        <f aca="false">IF($P$13&gt;0,MAX(-300,MIN(300,FH384-HV384)),0)</f>
        <v>0</v>
      </c>
      <c r="IJ384" s="60" t="n">
        <f aca="false">SUMXMY2(HX384:II384,B384:M384)</f>
        <v>0</v>
      </c>
      <c r="IK384" s="60" t="n">
        <f aca="false">SUMSQ(B384:M384)</f>
        <v>0</v>
      </c>
    </row>
    <row r="385" customFormat="false" ht="15" hidden="false" customHeight="false" outlineLevel="0" collapsed="false">
      <c r="A385" s="59" t="n">
        <v>24</v>
      </c>
      <c r="B385" s="60" t="n">
        <f aca="false">HX384</f>
        <v>0</v>
      </c>
      <c r="C385" s="60" t="n">
        <f aca="false">HY384</f>
        <v>0</v>
      </c>
      <c r="D385" s="60" t="n">
        <f aca="false">HZ384</f>
        <v>0</v>
      </c>
      <c r="E385" s="60" t="n">
        <f aca="false">IA384</f>
        <v>0</v>
      </c>
      <c r="F385" s="60" t="n">
        <f aca="false">IB384</f>
        <v>0</v>
      </c>
      <c r="G385" s="60" t="n">
        <f aca="false">IC384</f>
        <v>0</v>
      </c>
      <c r="H385" s="60" t="n">
        <f aca="false">ID384</f>
        <v>0</v>
      </c>
      <c r="I385" s="60" t="n">
        <f aca="false">IE384</f>
        <v>0</v>
      </c>
      <c r="J385" s="60" t="n">
        <f aca="false">IF384</f>
        <v>0</v>
      </c>
      <c r="K385" s="60" t="n">
        <f aca="false">IG384</f>
        <v>0</v>
      </c>
      <c r="L385" s="60" t="n">
        <f aca="false">IH384</f>
        <v>0</v>
      </c>
      <c r="M385" s="60" t="n">
        <f aca="false">II384</f>
        <v>0</v>
      </c>
      <c r="N385" s="60" t="n">
        <f aca="false">EXP(B385)</f>
        <v>1</v>
      </c>
      <c r="O385" s="60" t="n">
        <f aca="false">EXP(C385)</f>
        <v>1</v>
      </c>
      <c r="P385" s="60" t="n">
        <f aca="false">EXP(D385)</f>
        <v>1</v>
      </c>
      <c r="Q385" s="60" t="n">
        <f aca="false">EXP(E385)</f>
        <v>1</v>
      </c>
      <c r="R385" s="60" t="n">
        <f aca="false">EXP(F385)</f>
        <v>1</v>
      </c>
      <c r="S385" s="60" t="n">
        <f aca="false">EXP(G385)</f>
        <v>1</v>
      </c>
      <c r="T385" s="60" t="n">
        <f aca="false">EXP(H385)</f>
        <v>1</v>
      </c>
      <c r="U385" s="60" t="n">
        <f aca="false">EXP(I385)</f>
        <v>1</v>
      </c>
      <c r="V385" s="60" t="n">
        <f aca="false">EXP(J385)</f>
        <v>1</v>
      </c>
      <c r="W385" s="60" t="n">
        <f aca="false">EXP(K385)</f>
        <v>1</v>
      </c>
      <c r="X385" s="60" t="n">
        <f aca="false">EXP(L385)</f>
        <v>1</v>
      </c>
      <c r="Y385" s="60" t="n">
        <f aca="false">EXP(M385)</f>
        <v>1</v>
      </c>
      <c r="Z385" s="60" t="n">
        <f aca="false">MAX(N385:Y385)</f>
        <v>1</v>
      </c>
      <c r="AA385" s="60" t="n">
        <f aca="false">MIN(N385:Y385)</f>
        <v>1</v>
      </c>
      <c r="AB385" s="60" t="n">
        <f aca="false">AND(Z385&gt;1,AA385&lt;1)</f>
        <v>0</v>
      </c>
      <c r="AC385" s="60" t="n">
        <f aca="false">IF(AB385,1/(1-Z385),0)</f>
        <v>0</v>
      </c>
      <c r="AD385" s="60" t="n">
        <f aca="false">IF(AB385,1/(1-AA385),1)</f>
        <v>1</v>
      </c>
      <c r="AE385" s="60" t="n">
        <f aca="false">IF(AB385,MIN(MAX(BI384,AC385+0.000000001*(AD385-AC385)),AD385-0.000000001*(AD385-AC385)),IF(AA385&gt;=1,1,0))</f>
        <v>1</v>
      </c>
      <c r="AF385" s="60" t="n">
        <f aca="false">SUMPRODUCT($E$13:$P$13*(N385:Y385-1)/(1+AE385*(N385:Y385-1)))</f>
        <v>0</v>
      </c>
      <c r="AG385" s="60" t="n">
        <f aca="false">-SUMPRODUCT($E$13:$P$13*(N385:Y385-1)^2/(1+AE385*(N385:Y385-1))^2)</f>
        <v>-0</v>
      </c>
      <c r="AH385" s="60" t="n">
        <f aca="false">IF(OR(NOT(AB385),AG385=0),AE385,IF(AE385-AF385/AG385&lt;=AC385,(AE385+AC385)/2,IF(AE385-AF385/AG385&gt;=AD385,(AE385+AD385)/2,AE385-AF385/AG385)))</f>
        <v>1</v>
      </c>
      <c r="AI385" s="60" t="n">
        <f aca="false">SUMPRODUCT($E$13:$P$13*(N385:Y385-1)/(1+AH385*(N385:Y385-1)))</f>
        <v>0</v>
      </c>
      <c r="AJ385" s="60" t="n">
        <f aca="false">-SUMPRODUCT($E$13:$P$13*(N385:Y385-1)^2/(1+AH385*(N385:Y385-1))^2)</f>
        <v>-0</v>
      </c>
      <c r="AK385" s="60" t="n">
        <f aca="false">IF(OR(NOT(AB385),AJ385=0),AH385,IF(AH385-AI385/AJ385&lt;=AC385,(AH385+AC385)/2,IF(AH385-AI385/AJ385&gt;=AD385,(AH385+AD385)/2,AH385-AI385/AJ385)))</f>
        <v>1</v>
      </c>
      <c r="AL385" s="60" t="n">
        <f aca="false">SUMPRODUCT($E$13:$P$13*(N385:Y385-1)/(1+AK385*(N385:Y385-1)))</f>
        <v>0</v>
      </c>
      <c r="AM385" s="60" t="n">
        <f aca="false">-SUMPRODUCT($E$13:$P$13*(N385:Y385-1)^2/(1+AK385*(N385:Y385-1))^2)</f>
        <v>-0</v>
      </c>
      <c r="AN385" s="60" t="n">
        <f aca="false">IF(OR(NOT(AB385),AM385=0),AK385,IF(AK385-AL385/AM385&lt;=AC385,(AK385+AC385)/2,IF(AK385-AL385/AM385&gt;=AD385,(AK385+AD385)/2,AK385-AL385/AM385)))</f>
        <v>1</v>
      </c>
      <c r="AO385" s="60" t="n">
        <f aca="false">SUMPRODUCT($E$13:$P$13*(N385:Y385-1)/(1+AN385*(N385:Y385-1)))</f>
        <v>0</v>
      </c>
      <c r="AP385" s="60" t="n">
        <f aca="false">-SUMPRODUCT($E$13:$P$13*(N385:Y385-1)^2/(1+AN385*(N385:Y385-1))^2)</f>
        <v>-0</v>
      </c>
      <c r="AQ385" s="60" t="n">
        <f aca="false">IF(OR(NOT(AB385),AP385=0),AN385,IF(AN385-AO385/AP385&lt;=AC385,(AN385+AC385)/2,IF(AN385-AO385/AP385&gt;=AD385,(AN385+AD385)/2,AN385-AO385/AP385)))</f>
        <v>1</v>
      </c>
      <c r="AR385" s="60" t="n">
        <f aca="false">SUMPRODUCT($E$13:$P$13*(N385:Y385-1)/(1+AQ385*(N385:Y385-1)))</f>
        <v>0</v>
      </c>
      <c r="AS385" s="60" t="n">
        <f aca="false">-SUMPRODUCT($E$13:$P$13*(N385:Y385-1)^2/(1+AQ385*(N385:Y385-1))^2)</f>
        <v>-0</v>
      </c>
      <c r="AT385" s="60" t="n">
        <f aca="false">IF(OR(NOT(AB385),AS385=0),AQ385,IF(AQ385-AR385/AS385&lt;=AC385,(AQ385+AC385)/2,IF(AQ385-AR385/AS385&gt;=AD385,(AQ385+AD385)/2,AQ385-AR385/AS385)))</f>
        <v>1</v>
      </c>
      <c r="AU385" s="60" t="n">
        <f aca="false">SUMPRODUCT($E$13:$P$13*(N385:Y385-1)/(1+AT385*(N385:Y385-1)))</f>
        <v>0</v>
      </c>
      <c r="AV385" s="60" t="n">
        <f aca="false">-SUMPRODUCT($E$13:$P$13*(N385:Y385-1)^2/(1+AT385*(N385:Y385-1))^2)</f>
        <v>-0</v>
      </c>
      <c r="AW385" s="60" t="n">
        <f aca="false">IF(OR(NOT(AB385),AV385=0),AT385,IF(AT385-AU385/AV385&lt;=AC385,(AT385+AC385)/2,IF(AT385-AU385/AV385&gt;=AD385,(AT385+AD385)/2,AT385-AU385/AV385)))</f>
        <v>1</v>
      </c>
      <c r="AX385" s="60" t="n">
        <f aca="false">SUMPRODUCT($E$13:$P$13*(N385:Y385-1)/(1+AW385*(N385:Y385-1)))</f>
        <v>0</v>
      </c>
      <c r="AY385" s="60" t="n">
        <f aca="false">-SUMPRODUCT($E$13:$P$13*(N385:Y385-1)^2/(1+AW385*(N385:Y385-1))^2)</f>
        <v>-0</v>
      </c>
      <c r="AZ385" s="60" t="n">
        <f aca="false">IF(OR(NOT(AB385),AY385=0),AW385,IF(AW385-AX385/AY385&lt;=AC385,(AW385+AC385)/2,IF(AW385-AX385/AY385&gt;=AD385,(AW385+AD385)/2,AW385-AX385/AY385)))</f>
        <v>1</v>
      </c>
      <c r="BA385" s="60" t="n">
        <f aca="false">SUMPRODUCT($E$13:$P$13*(N385:Y385-1)/(1+AZ385*(N385:Y385-1)))</f>
        <v>0</v>
      </c>
      <c r="BB385" s="60" t="n">
        <f aca="false">-SUMPRODUCT($E$13:$P$13*(N385:Y385-1)^2/(1+AZ385*(N385:Y385-1))^2)</f>
        <v>-0</v>
      </c>
      <c r="BC385" s="60" t="n">
        <f aca="false">IF(OR(NOT(AB385),BB385=0),AZ385,IF(AZ385-BA385/BB385&lt;=AC385,(AZ385+AC385)/2,IF(AZ385-BA385/BB385&gt;=AD385,(AZ385+AD385)/2,AZ385-BA385/BB385)))</f>
        <v>1</v>
      </c>
      <c r="BD385" s="60" t="n">
        <f aca="false">SUMPRODUCT($E$13:$P$13*(N385:Y385-1)/(1+BC385*(N385:Y385-1)))</f>
        <v>0</v>
      </c>
      <c r="BE385" s="60" t="n">
        <f aca="false">-SUMPRODUCT($E$13:$P$13*(N385:Y385-1)^2/(1+BC385*(N385:Y385-1))^2)</f>
        <v>-0</v>
      </c>
      <c r="BF385" s="60" t="n">
        <f aca="false">IF(OR(NOT(AB385),BE385=0),BC385,IF(BC385-BD385/BE385&lt;=AC385,(BC385+AC385)/2,IF(BC385-BD385/BE385&gt;=AD385,(BC385+AD385)/2,BC385-BD385/BE385)))</f>
        <v>1</v>
      </c>
      <c r="BG385" s="60" t="n">
        <f aca="false">SUMPRODUCT($E$13:$P$13*(N385:Y385-1)/(1+BF385*(N385:Y385-1)))</f>
        <v>0</v>
      </c>
      <c r="BH385" s="60" t="n">
        <f aca="false">-SUMPRODUCT($E$13:$P$13*(N385:Y385-1)^2/(1+BF385*(N385:Y385-1))^2)</f>
        <v>-0</v>
      </c>
      <c r="BI385" s="60" t="n">
        <f aca="false">IF(OR(NOT(AB385),BH385=0),BF385,IF(BF385-BG385/BH385&lt;=AC385,(BF385+AC385)/2,IF(BF385-BG385/BH385&gt;=AD385,(BF385+AD385)/2,BF385-BG385/BH385)))</f>
        <v>1</v>
      </c>
      <c r="BJ385" s="60" t="n">
        <f aca="false">$E$13/(1+BI385*(N385-1))</f>
        <v>1</v>
      </c>
      <c r="BK385" s="60" t="n">
        <f aca="false">$F$13/(1+BI385*(O385-1))</f>
        <v>0</v>
      </c>
      <c r="BL385" s="60" t="n">
        <f aca="false">$G$13/(1+BI385*(P385-1))</f>
        <v>0</v>
      </c>
      <c r="BM385" s="60" t="n">
        <f aca="false">$H$13/(1+BI385*(Q385-1))</f>
        <v>0</v>
      </c>
      <c r="BN385" s="60" t="n">
        <f aca="false">$I$13/(1+BI385*(R385-1))</f>
        <v>0</v>
      </c>
      <c r="BO385" s="60" t="n">
        <f aca="false">$J$13/(1+BI385*(S385-1))</f>
        <v>0</v>
      </c>
      <c r="BP385" s="60" t="n">
        <f aca="false">$K$13/(1+BI385*(T385-1))</f>
        <v>0</v>
      </c>
      <c r="BQ385" s="60" t="n">
        <f aca="false">$L$13/(1+BI385*(U385-1))</f>
        <v>0</v>
      </c>
      <c r="BR385" s="60" t="n">
        <f aca="false">$M$13/(1+BI385*(V385-1))</f>
        <v>0</v>
      </c>
      <c r="BS385" s="60" t="n">
        <f aca="false">$N$13/(1+BI385*(W385-1))</f>
        <v>0</v>
      </c>
      <c r="BT385" s="60" t="n">
        <f aca="false">$O$13/(1+BI385*(X385-1))</f>
        <v>0</v>
      </c>
      <c r="BU385" s="60" t="n">
        <f aca="false">$P$13/(1+BI385*(Y385-1))</f>
        <v>0</v>
      </c>
      <c r="BV385" s="60" t="n">
        <f aca="false">SUM(BJ385:BU385)</f>
        <v>1</v>
      </c>
      <c r="BW385" s="60" t="n">
        <f aca="false">SUMPRODUCT(N385:Y385,BJ385:BU385)</f>
        <v>1</v>
      </c>
      <c r="BX385" s="60" t="n">
        <f aca="false">BJ385/BV385</f>
        <v>1</v>
      </c>
      <c r="BY385" s="60" t="n">
        <f aca="false">BK385/BV385</f>
        <v>0</v>
      </c>
      <c r="BZ385" s="60" t="n">
        <f aca="false">BL385/BV385</f>
        <v>0</v>
      </c>
      <c r="CA385" s="60" t="n">
        <f aca="false">BM385/BV385</f>
        <v>0</v>
      </c>
      <c r="CB385" s="60" t="n">
        <f aca="false">BN385/BV385</f>
        <v>0</v>
      </c>
      <c r="CC385" s="60" t="n">
        <f aca="false">BO385/BV385</f>
        <v>0</v>
      </c>
      <c r="CD385" s="60" t="n">
        <f aca="false">BP385/BV385</f>
        <v>0</v>
      </c>
      <c r="CE385" s="60" t="n">
        <f aca="false">BQ385/BV385</f>
        <v>0</v>
      </c>
      <c r="CF385" s="60" t="n">
        <f aca="false">BR385/BV385</f>
        <v>0</v>
      </c>
      <c r="CG385" s="60" t="n">
        <f aca="false">BS385/BV385</f>
        <v>0</v>
      </c>
      <c r="CH385" s="60" t="n">
        <f aca="false">BT385/BV385</f>
        <v>0</v>
      </c>
      <c r="CI385" s="60" t="n">
        <f aca="false">BU385/BV385</f>
        <v>0</v>
      </c>
      <c r="CJ385" s="60" t="n">
        <f aca="false">N385*BJ385/BW385</f>
        <v>1</v>
      </c>
      <c r="CK385" s="60" t="n">
        <f aca="false">O385*BK385/BW385</f>
        <v>0</v>
      </c>
      <c r="CL385" s="60" t="n">
        <f aca="false">P385*BL385/BW385</f>
        <v>0</v>
      </c>
      <c r="CM385" s="60" t="n">
        <f aca="false">Q385*BM385/BW385</f>
        <v>0</v>
      </c>
      <c r="CN385" s="60" t="n">
        <f aca="false">R385*BN385/BW385</f>
        <v>0</v>
      </c>
      <c r="CO385" s="60" t="n">
        <f aca="false">S385*BO385/BW385</f>
        <v>0</v>
      </c>
      <c r="CP385" s="60" t="n">
        <f aca="false">T385*BP385/BW385</f>
        <v>0</v>
      </c>
      <c r="CQ385" s="60" t="n">
        <f aca="false">U385*BQ385/BW385</f>
        <v>0</v>
      </c>
      <c r="CR385" s="60" t="n">
        <f aca="false">V385*BR385/BW385</f>
        <v>0</v>
      </c>
      <c r="CS385" s="60" t="n">
        <f aca="false">W385*BS385/BW385</f>
        <v>0</v>
      </c>
      <c r="CT385" s="60" t="n">
        <f aca="false">X385*BT385/BW385</f>
        <v>0</v>
      </c>
      <c r="CU385" s="60" t="n">
        <f aca="false">Y385*BU385/BW385</f>
        <v>0</v>
      </c>
      <c r="CV385" s="60" t="n">
        <f aca="false">$E$28*SUMPRODUCT($E$31:$P$31,BX385:CI385,$E$28:$P$28)</f>
        <v>0.184416866619846</v>
      </c>
      <c r="CW385" s="60" t="n">
        <f aca="false">$F$28*SUMPRODUCT($E$32:$P$32,BX385:CI385,$E$28:$P$28)</f>
        <v>0</v>
      </c>
      <c r="CX385" s="60" t="n">
        <f aca="false">$G$28*SUMPRODUCT($E$33:$P$33,BX385:CI385,$E$28:$P$28)</f>
        <v>0</v>
      </c>
      <c r="CY385" s="60" t="n">
        <f aca="false">$H$28*SUMPRODUCT($E$34:$P$34,BX385:CI385,$E$28:$P$28)</f>
        <v>0</v>
      </c>
      <c r="CZ385" s="60" t="n">
        <f aca="false">$I$28*SUMPRODUCT($E$35:$P$35,BX385:CI385,$E$28:$P$28)</f>
        <v>0</v>
      </c>
      <c r="DA385" s="60" t="n">
        <f aca="false">$J$28*SUMPRODUCT($E$36:$P$36,BX385:CI385,$E$28:$P$28)</f>
        <v>0</v>
      </c>
      <c r="DB385" s="60" t="n">
        <f aca="false">$K$28*SUMPRODUCT($E$37:$P$37,BX385:CI385,$E$28:$P$28)</f>
        <v>0</v>
      </c>
      <c r="DC385" s="60" t="n">
        <f aca="false">$L$28*SUMPRODUCT($E$38:$P$38,BX385:CI385,$E$28:$P$28)</f>
        <v>0</v>
      </c>
      <c r="DD385" s="60" t="n">
        <f aca="false">$M$28*SUMPRODUCT($E$39:$P$39,BX385:CI385,$E$28:$P$28)</f>
        <v>0</v>
      </c>
      <c r="DE385" s="60" t="n">
        <f aca="false">$N$28*SUMPRODUCT($E$40:$P$40,BX385:CI385,$E$28:$P$28)</f>
        <v>0</v>
      </c>
      <c r="DF385" s="60" t="n">
        <f aca="false">$O$28*SUMPRODUCT($E$41:$P$41,BX385:CI385,$E$28:$P$28)</f>
        <v>0</v>
      </c>
      <c r="DG385" s="60" t="n">
        <f aca="false">$P$28*SUMPRODUCT($E$42:$P$42,BX385:CI385,$E$28:$P$28)</f>
        <v>0</v>
      </c>
      <c r="DH385" s="60" t="n">
        <f aca="false">SUMPRODUCT(BX385:CI385,CV385:DG385)</f>
        <v>0.184416866619846</v>
      </c>
      <c r="DI385" s="60" t="n">
        <f aca="false">SUMPRODUCT(BX385:CI385,$E$27:$P$27)</f>
        <v>2.67389635063809E-005</v>
      </c>
      <c r="DJ385" s="60" t="n">
        <f aca="false">DH385*$C$9/($C$10*$C$8)^2</f>
        <v>0.21776909410545</v>
      </c>
      <c r="DK385" s="60" t="n">
        <f aca="false">DI385*$C$9/($C$10*$C$8)</f>
        <v>0.0918845243259994</v>
      </c>
      <c r="DL385" s="60" t="n">
        <f aca="false">CHOOSE($C$7,-(1+DK385),-1,-(1-DK385))</f>
        <v>-0.908115475674001</v>
      </c>
      <c r="DM385" s="60" t="n">
        <f aca="false">CHOOSE($C$7,DJ385,DJ385-DK385-DK385^2,DJ385-3*DK385^2-2*DK385)</f>
        <v>0.00867174802160559</v>
      </c>
      <c r="DN385" s="60" t="n">
        <f aca="false">CHOOSE($C$7,-DJ385*DK385,-DJ385*DK385,-(DJ385*DK385-DK385^2-DK385^3))</f>
        <v>-0.0107910842936637</v>
      </c>
      <c r="DO385" s="60" t="n">
        <f aca="false">DM385-DL385^2/3</f>
        <v>-0.266219491031267</v>
      </c>
      <c r="DP385" s="60" t="n">
        <f aca="false">2*DL385^3/27-DL385*DM385/3+DN385</f>
        <v>-0.0636400988362784</v>
      </c>
      <c r="DQ385" s="60" t="n">
        <f aca="false">DP385^2/4+DO385^3/27</f>
        <v>0.000313710901361829</v>
      </c>
      <c r="DR385" s="60" t="n">
        <f aca="false">-DP385/2-IF(DP385&gt;=0,1,-1)*SQRT(MAX(DQ385,0))</f>
        <v>0.0495319352963236</v>
      </c>
      <c r="DS385" s="60" t="n">
        <f aca="false">SIGN(DR385)*ABS(DR385)^(1/3)</f>
        <v>0.367249967174439</v>
      </c>
      <c r="DT385" s="60" t="n">
        <f aca="false">IF(DS385=0,0,DS385-DO385/(3*DS385))</f>
        <v>0.60888329127384</v>
      </c>
      <c r="DU385" s="60" t="n">
        <f aca="false">2*SQRT(MAX(-DO385,0)/3)</f>
        <v>0.595784626668918</v>
      </c>
      <c r="DV385" s="60" t="n">
        <f aca="false">ACOS(IF(DU385=0,0,MAX(-1,MIN(1,3*DP385/(DO385*DU385)))))</f>
        <v>0</v>
      </c>
      <c r="DW385" s="60" t="n">
        <f aca="false">DU385*COS(DV385/3)</f>
        <v>0.595784626668918</v>
      </c>
      <c r="DX385" s="60" t="n">
        <f aca="false">IF(DQ385&lt;0,DW385,DT385)-DL385/3</f>
        <v>0.91158844983184</v>
      </c>
      <c r="DY385" s="60" t="n">
        <f aca="false">IFERROR((((DX385+DL385)*DX385+DM385)*DX385+DN385)/((3*DX385+2*DL385)*DX385+DM385),0)</f>
        <v>0</v>
      </c>
      <c r="DZ385" s="60" t="n">
        <f aca="false">IF(ABS(DY385)&lt;0.1*ABS(DX385),DX385-DY385,DX385)</f>
        <v>0.91158844983184</v>
      </c>
      <c r="EA385" s="60" t="n">
        <f aca="false">IFERROR((((DZ385+DL385)*DZ385+DM385)*DZ385+DN385)/((3*DZ385+2*DL385)*DZ385+DM385),0)</f>
        <v>0</v>
      </c>
      <c r="EB385" s="60" t="n">
        <f aca="false">IF(ABS(EA385)&lt;0.1*ABS(DZ385),DZ385-EA385,DZ385)</f>
        <v>0.91158844983184</v>
      </c>
      <c r="EC385" s="60" t="n">
        <f aca="false">-DN385/EB385</f>
        <v>0.0118376711504565</v>
      </c>
      <c r="ED385" s="60" t="n">
        <f aca="false">(DM385-EC385)/EB385</f>
        <v>-0.00347297415783941</v>
      </c>
      <c r="EE385" s="60" t="n">
        <f aca="false">ED385^2-4*EC385</f>
        <v>-0.0473386230523248</v>
      </c>
      <c r="EF385" s="60" t="n">
        <f aca="false">IF(EE385&gt;=0,(ED385+IF(ED385&gt;=0,1,-1)*SQRT(EE385))/2,0)</f>
        <v>0</v>
      </c>
      <c r="EG385" s="60" t="n">
        <f aca="false">IF(AND(EE385&gt;=0,EF385&lt;&gt;0),MIN(EF385,EC385/EF385),-1)</f>
        <v>-1</v>
      </c>
      <c r="EH385" s="60" t="n">
        <f aca="false">AND(EE385&gt;=0,EG385&gt;DK385,ABS(EB385-EG385)&gt;=0.00005*MAX(EB385,EG385))</f>
        <v>0</v>
      </c>
      <c r="EI385" s="60" t="n">
        <f aca="false">IF(EH385,IFERROR((((EG385+DL385)*EG385+DM385)*EG385+DN385)/((3*EG385+2*DL385)*EG385+DM385),0),0)</f>
        <v>0</v>
      </c>
      <c r="EJ385" s="60" t="n">
        <f aca="false">IF(ABS(EI385)&lt;0.1*ABS(EG385),EG385-EI385,EG385)</f>
        <v>-1</v>
      </c>
      <c r="EK385" s="60" t="n">
        <f aca="false">IF(EH385,IFERROR((((EJ385+DL385)*EJ385+DM385)*EJ385+DN385)/((3*EJ385+2*DL385)*EJ385+DM385),0),0)</f>
        <v>0</v>
      </c>
      <c r="EL385" s="60" t="n">
        <f aca="false">IF(ABS(EK385)&lt;0.1*ABS(EJ385),EJ385-EK385,EJ385)</f>
        <v>-1</v>
      </c>
      <c r="EM385" s="60" t="n">
        <f aca="false">IF(EH385,MAX(EB385,EL385),EB385)</f>
        <v>0.91158844983184</v>
      </c>
      <c r="EN385" s="60" t="n">
        <f aca="false">IF(EH385,MIN(EB385,EL385),-1)</f>
        <v>-1</v>
      </c>
      <c r="EO385" s="60" t="n">
        <f aca="false">CHOOSE($C$7,DJ385/EM385,DJ385/DK385*LN(1+DK385/EM385),DJ385/(2*SQRT(2)*DK385)*LN((EM385+(1+SQRT(2))*DK385)/(EM385+(1-SQRT(2))*DK385)))</f>
        <v>0.218240791233887</v>
      </c>
      <c r="EP385" s="60" t="n">
        <f aca="false">EM385-1-LN(EM385-DK385)-EO385</f>
        <v>-0.107840271021729</v>
      </c>
      <c r="EQ385" s="60" t="n">
        <f aca="false">IF(EH385,CHOOSE($C$7,DJ385/EN385,DJ385/DK385*LN(1+DK385/EN385),DJ385/(2*SQRT(2)*DK385)*LN((EN385+(1+SQRT(2))*DK385)/(EN385+(1-SQRT(2))*DK385))),0)</f>
        <v>0</v>
      </c>
      <c r="ER385" s="60" t="n">
        <f aca="false">IF(EH385,EN385-1-LN(EN385-DK385)-EQ385,0)</f>
        <v>0</v>
      </c>
      <c r="ES385" s="60" t="n">
        <f aca="false">AND(EH385,ER385&lt;EP385)</f>
        <v>0</v>
      </c>
      <c r="ET385" s="60" t="n">
        <f aca="false">IF(ES385,EN385,EM385)</f>
        <v>0.91158844983184</v>
      </c>
      <c r="EU385" s="60" t="n">
        <f aca="false">IF(ES385,EQ385,EO385)</f>
        <v>0.218240791233887</v>
      </c>
      <c r="EV385" s="60" t="n">
        <f aca="false">LN(ET385-DK385)</f>
        <v>-0.198812070380318</v>
      </c>
      <c r="EW385" s="60" t="n">
        <f aca="false">$E$27/DI385*(ET385-1)-EV385-EU385*(2*CV385/DH385-$E$27/DI385)</f>
        <v>-0.107840271021729</v>
      </c>
      <c r="EX385" s="60" t="n">
        <f aca="false">$F$27/DI385*(ET385-1)-EV385-EU385*(2*CW385/DH385-$F$27/DI385)</f>
        <v>0.198812070380318</v>
      </c>
      <c r="EY385" s="60" t="n">
        <f aca="false">$G$27/DI385*(ET385-1)-EV385-EU385*(2*CX385/DH385-$G$27/DI385)</f>
        <v>0.198812070380318</v>
      </c>
      <c r="EZ385" s="60" t="n">
        <f aca="false">$H$27/DI385*(ET385-1)-EV385-EU385*(2*CY385/DH385-$H$27/DI385)</f>
        <v>0.198812070380318</v>
      </c>
      <c r="FA385" s="60" t="n">
        <f aca="false">$I$27/DI385*(ET385-1)-EV385-EU385*(2*CZ385/DH385-$I$27/DI385)</f>
        <v>0.198812070380318</v>
      </c>
      <c r="FB385" s="60" t="n">
        <f aca="false">$J$27/DI385*(ET385-1)-EV385-EU385*(2*DA385/DH385-$J$27/DI385)</f>
        <v>0.198812070380318</v>
      </c>
      <c r="FC385" s="60" t="n">
        <f aca="false">$K$27/DI385*(ET385-1)-EV385-EU385*(2*DB385/DH385-$K$27/DI385)</f>
        <v>0.198812070380318</v>
      </c>
      <c r="FD385" s="60" t="n">
        <f aca="false">$L$27/DI385*(ET385-1)-EV385-EU385*(2*DC385/DH385-$L$27/DI385)</f>
        <v>0.198812070380318</v>
      </c>
      <c r="FE385" s="60" t="n">
        <f aca="false">$M$27/DI385*(ET385-1)-EV385-EU385*(2*DD385/DH385-$M$27/DI385)</f>
        <v>0.198812070380318</v>
      </c>
      <c r="FF385" s="60" t="n">
        <f aca="false">$N$27/DI385*(ET385-1)-EV385-EU385*(2*DE385/DH385-$N$27/DI385)</f>
        <v>0.198812070380318</v>
      </c>
      <c r="FG385" s="60" t="n">
        <f aca="false">$O$27/DI385*(ET385-1)-EV385-EU385*(2*DF385/DH385-$O$27/DI385)</f>
        <v>0.198812070380318</v>
      </c>
      <c r="FH385" s="60" t="n">
        <f aca="false">$P$27/DI385*(ET385-1)-EV385-EU385*(2*DG385/DH385-$P$27/DI385)</f>
        <v>0.198812070380318</v>
      </c>
      <c r="FI385" s="60" t="n">
        <f aca="false">DK385/ET385&gt;$C$22</f>
        <v>0</v>
      </c>
      <c r="FJ385" s="60" t="n">
        <f aca="false">$E$28*SUMPRODUCT($E$31:$P$31,CJ385:CU385,$E$28:$P$28)</f>
        <v>0.184416866619846</v>
      </c>
      <c r="FK385" s="60" t="n">
        <f aca="false">$F$28*SUMPRODUCT($E$32:$P$32,CJ385:CU385,$E$28:$P$28)</f>
        <v>0</v>
      </c>
      <c r="FL385" s="60" t="n">
        <f aca="false">$G$28*SUMPRODUCT($E$33:$P$33,CJ385:CU385,$E$28:$P$28)</f>
        <v>0</v>
      </c>
      <c r="FM385" s="60" t="n">
        <f aca="false">$H$28*SUMPRODUCT($E$34:$P$34,CJ385:CU385,$E$28:$P$28)</f>
        <v>0</v>
      </c>
      <c r="FN385" s="60" t="n">
        <f aca="false">$I$28*SUMPRODUCT($E$35:$P$35,CJ385:CU385,$E$28:$P$28)</f>
        <v>0</v>
      </c>
      <c r="FO385" s="60" t="n">
        <f aca="false">$J$28*SUMPRODUCT($E$36:$P$36,CJ385:CU385,$E$28:$P$28)</f>
        <v>0</v>
      </c>
      <c r="FP385" s="60" t="n">
        <f aca="false">$K$28*SUMPRODUCT($E$37:$P$37,CJ385:CU385,$E$28:$P$28)</f>
        <v>0</v>
      </c>
      <c r="FQ385" s="60" t="n">
        <f aca="false">$L$28*SUMPRODUCT($E$38:$P$38,CJ385:CU385,$E$28:$P$28)</f>
        <v>0</v>
      </c>
      <c r="FR385" s="60" t="n">
        <f aca="false">$M$28*SUMPRODUCT($E$39:$P$39,CJ385:CU385,$E$28:$P$28)</f>
        <v>0</v>
      </c>
      <c r="FS385" s="60" t="n">
        <f aca="false">$N$28*SUMPRODUCT($E$40:$P$40,CJ385:CU385,$E$28:$P$28)</f>
        <v>0</v>
      </c>
      <c r="FT385" s="60" t="n">
        <f aca="false">$O$28*SUMPRODUCT($E$41:$P$41,CJ385:CU385,$E$28:$P$28)</f>
        <v>0</v>
      </c>
      <c r="FU385" s="60" t="n">
        <f aca="false">$P$28*SUMPRODUCT($E$42:$P$42,CJ385:CU385,$E$28:$P$28)</f>
        <v>0</v>
      </c>
      <c r="FV385" s="60" t="n">
        <f aca="false">SUMPRODUCT(CJ385:CU385,FJ385:FU385)</f>
        <v>0.184416866619846</v>
      </c>
      <c r="FW385" s="60" t="n">
        <f aca="false">SUMPRODUCT(CJ385:CU385,$E$27:$P$27)</f>
        <v>2.67389635063809E-005</v>
      </c>
      <c r="FX385" s="60" t="n">
        <f aca="false">FV385*$C$9/($C$10*$C$8)^2</f>
        <v>0.21776909410545</v>
      </c>
      <c r="FY385" s="60" t="n">
        <f aca="false">FW385*$C$9/($C$10*$C$8)</f>
        <v>0.0918845243259994</v>
      </c>
      <c r="FZ385" s="60" t="n">
        <f aca="false">CHOOSE($C$7,-(1+FY385),-1,-(1-FY385))</f>
        <v>-0.908115475674001</v>
      </c>
      <c r="GA385" s="60" t="n">
        <f aca="false">CHOOSE($C$7,FX385,FX385-FY385-FY385^2,FX385-3*FY385^2-2*FY385)</f>
        <v>0.00867174802160559</v>
      </c>
      <c r="GB385" s="60" t="n">
        <f aca="false">CHOOSE($C$7,-FX385*FY385,-FX385*FY385,-(FX385*FY385-FY385^2-FY385^3))</f>
        <v>-0.0107910842936637</v>
      </c>
      <c r="GC385" s="60" t="n">
        <f aca="false">GA385-FZ385^2/3</f>
        <v>-0.266219491031267</v>
      </c>
      <c r="GD385" s="60" t="n">
        <f aca="false">2*FZ385^3/27-FZ385*GA385/3+GB385</f>
        <v>-0.0636400988362784</v>
      </c>
      <c r="GE385" s="60" t="n">
        <f aca="false">GD385^2/4+GC385^3/27</f>
        <v>0.000313710901361829</v>
      </c>
      <c r="GF385" s="60" t="n">
        <f aca="false">-GD385/2-IF(GD385&gt;=0,1,-1)*SQRT(MAX(GE385,0))</f>
        <v>0.0495319352963236</v>
      </c>
      <c r="GG385" s="60" t="n">
        <f aca="false">SIGN(GF385)*ABS(GF385)^(1/3)</f>
        <v>0.367249967174439</v>
      </c>
      <c r="GH385" s="60" t="n">
        <f aca="false">IF(GG385=0,0,GG385-GC385/(3*GG385))</f>
        <v>0.60888329127384</v>
      </c>
      <c r="GI385" s="60" t="n">
        <f aca="false">2*SQRT(MAX(-GC385,0)/3)</f>
        <v>0.595784626668918</v>
      </c>
      <c r="GJ385" s="60" t="n">
        <f aca="false">ACOS(IF(GI385=0,0,MAX(-1,MIN(1,3*GD385/(GC385*GI385)))))</f>
        <v>0</v>
      </c>
      <c r="GK385" s="60" t="n">
        <f aca="false">GI385*COS(GJ385/3)</f>
        <v>0.595784626668918</v>
      </c>
      <c r="GL385" s="60" t="n">
        <f aca="false">IF(GE385&lt;0,GK385,GH385)-FZ385/3</f>
        <v>0.91158844983184</v>
      </c>
      <c r="GM385" s="60" t="n">
        <f aca="false">IFERROR((((GL385+FZ385)*GL385+GA385)*GL385+GB385)/((3*GL385+2*FZ385)*GL385+GA385),0)</f>
        <v>0</v>
      </c>
      <c r="GN385" s="60" t="n">
        <f aca="false">IF(ABS(GM385)&lt;0.1*ABS(GL385),GL385-GM385,GL385)</f>
        <v>0.91158844983184</v>
      </c>
      <c r="GO385" s="60" t="n">
        <f aca="false">IFERROR((((GN385+FZ385)*GN385+GA385)*GN385+GB385)/((3*GN385+2*FZ385)*GN385+GA385),0)</f>
        <v>0</v>
      </c>
      <c r="GP385" s="60" t="n">
        <f aca="false">IF(ABS(GO385)&lt;0.1*ABS(GN385),GN385-GO385,GN385)</f>
        <v>0.91158844983184</v>
      </c>
      <c r="GQ385" s="60" t="n">
        <f aca="false">-GB385/GP385</f>
        <v>0.0118376711504565</v>
      </c>
      <c r="GR385" s="60" t="n">
        <f aca="false">(GA385-GQ385)/GP385</f>
        <v>-0.00347297415783941</v>
      </c>
      <c r="GS385" s="60" t="n">
        <f aca="false">GR385^2-4*GQ385</f>
        <v>-0.0473386230523248</v>
      </c>
      <c r="GT385" s="60" t="n">
        <f aca="false">IF(GS385&gt;=0,(GR385+IF(GR385&gt;=0,1,-1)*SQRT(GS385))/2,0)</f>
        <v>0</v>
      </c>
      <c r="GU385" s="60" t="n">
        <f aca="false">IF(AND(GS385&gt;=0,GT385&lt;&gt;0),MIN(GT385,GQ385/GT385),-1)</f>
        <v>-1</v>
      </c>
      <c r="GV385" s="60" t="n">
        <f aca="false">AND(GS385&gt;=0,GU385&gt;FY385,ABS(GP385-GU385)&gt;=0.00005*MAX(GP385,GU385))</f>
        <v>0</v>
      </c>
      <c r="GW385" s="60" t="n">
        <f aca="false">IF(GV385,IFERROR((((GU385+FZ385)*GU385+GA385)*GU385+GB385)/((3*GU385+2*FZ385)*GU385+GA385),0),0)</f>
        <v>0</v>
      </c>
      <c r="GX385" s="60" t="n">
        <f aca="false">IF(ABS(GW385)&lt;0.1*ABS(GU385),GU385-GW385,GU385)</f>
        <v>-1</v>
      </c>
      <c r="GY385" s="60" t="n">
        <f aca="false">IF(GV385,IFERROR((((GX385+FZ385)*GX385+GA385)*GX385+GB385)/((3*GX385+2*FZ385)*GX385+GA385),0),0)</f>
        <v>0</v>
      </c>
      <c r="GZ385" s="60" t="n">
        <f aca="false">IF(ABS(GY385)&lt;0.1*ABS(GX385),GX385-GY385,GX385)</f>
        <v>-1</v>
      </c>
      <c r="HA385" s="60" t="n">
        <f aca="false">IF(GV385,MAX(GP385,GZ385),GP385)</f>
        <v>0.91158844983184</v>
      </c>
      <c r="HB385" s="60" t="n">
        <f aca="false">IF(GV385,MIN(GP385,GZ385),-1)</f>
        <v>-1</v>
      </c>
      <c r="HC385" s="60" t="n">
        <f aca="false">CHOOSE($C$7,FX385/HA385,FX385/FY385*LN(1+FY385/HA385),FX385/(2*SQRT(2)*FY385)*LN((HA385+(1+SQRT(2))*FY385)/(HA385+(1-SQRT(2))*FY385)))</f>
        <v>0.218240791233887</v>
      </c>
      <c r="HD385" s="60" t="n">
        <f aca="false">HA385-1-LN(HA385-FY385)-HC385</f>
        <v>-0.107840271021729</v>
      </c>
      <c r="HE385" s="60" t="n">
        <f aca="false">IF(GV385,CHOOSE($C$7,FX385/HB385,FX385/FY385*LN(1+FY385/HB385),FX385/(2*SQRT(2)*FY385)*LN((HB385+(1+SQRT(2))*FY385)/(HB385+(1-SQRT(2))*FY385))),0)</f>
        <v>0</v>
      </c>
      <c r="HF385" s="60" t="n">
        <f aca="false">IF(GV385,HB385-1-LN(HB385-FY385)-HE385,0)</f>
        <v>0</v>
      </c>
      <c r="HG385" s="60" t="n">
        <f aca="false">AND(GV385,HF385&lt;HD385)</f>
        <v>0</v>
      </c>
      <c r="HH385" s="60" t="n">
        <f aca="false">IF(HG385,HB385,HA385)</f>
        <v>0.91158844983184</v>
      </c>
      <c r="HI385" s="60" t="n">
        <f aca="false">IF(HG385,HE385,HC385)</f>
        <v>0.218240791233887</v>
      </c>
      <c r="HJ385" s="60" t="n">
        <f aca="false">LN(HH385-FY385)</f>
        <v>-0.198812070380318</v>
      </c>
      <c r="HK385" s="60" t="n">
        <f aca="false">$E$27/FW385*(HH385-1)-HJ385-HI385*(2*FJ385/FV385-$E$27/FW385)</f>
        <v>-0.107840271021729</v>
      </c>
      <c r="HL385" s="60" t="n">
        <f aca="false">$F$27/FW385*(HH385-1)-HJ385-HI385*(2*FK385/FV385-$F$27/FW385)</f>
        <v>0.198812070380318</v>
      </c>
      <c r="HM385" s="60" t="n">
        <f aca="false">$G$27/FW385*(HH385-1)-HJ385-HI385*(2*FL385/FV385-$G$27/FW385)</f>
        <v>0.198812070380318</v>
      </c>
      <c r="HN385" s="60" t="n">
        <f aca="false">$H$27/FW385*(HH385-1)-HJ385-HI385*(2*FM385/FV385-$H$27/FW385)</f>
        <v>0.198812070380318</v>
      </c>
      <c r="HO385" s="60" t="n">
        <f aca="false">$I$27/FW385*(HH385-1)-HJ385-HI385*(2*FN385/FV385-$I$27/FW385)</f>
        <v>0.198812070380318</v>
      </c>
      <c r="HP385" s="60" t="n">
        <f aca="false">$J$27/FW385*(HH385-1)-HJ385-HI385*(2*FO385/FV385-$J$27/FW385)</f>
        <v>0.198812070380318</v>
      </c>
      <c r="HQ385" s="60" t="n">
        <f aca="false">$K$27/FW385*(HH385-1)-HJ385-HI385*(2*FP385/FV385-$K$27/FW385)</f>
        <v>0.198812070380318</v>
      </c>
      <c r="HR385" s="60" t="n">
        <f aca="false">$L$27/FW385*(HH385-1)-HJ385-HI385*(2*FQ385/FV385-$L$27/FW385)</f>
        <v>0.198812070380318</v>
      </c>
      <c r="HS385" s="60" t="n">
        <f aca="false">$M$27/FW385*(HH385-1)-HJ385-HI385*(2*FR385/FV385-$M$27/FW385)</f>
        <v>0.198812070380318</v>
      </c>
      <c r="HT385" s="60" t="n">
        <f aca="false">$N$27/FW385*(HH385-1)-HJ385-HI385*(2*FS385/FV385-$N$27/FW385)</f>
        <v>0.198812070380318</v>
      </c>
      <c r="HU385" s="60" t="n">
        <f aca="false">$O$27/FW385*(HH385-1)-HJ385-HI385*(2*FT385/FV385-$O$27/FW385)</f>
        <v>0.198812070380318</v>
      </c>
      <c r="HV385" s="60" t="n">
        <f aca="false">$P$27/FW385*(HH385-1)-HJ385-HI385*(2*FU385/FV385-$P$27/FW385)</f>
        <v>0.198812070380318</v>
      </c>
      <c r="HW385" s="60" t="n">
        <f aca="false">FY385/HH385&gt;$C$22</f>
        <v>0</v>
      </c>
      <c r="HX385" s="60" t="n">
        <f aca="false">IF($E$13&gt;0,MAX(-300,MIN(300,EW385-HK385)),0)</f>
        <v>0</v>
      </c>
      <c r="HY385" s="60" t="n">
        <f aca="false">IF($F$13&gt;0,MAX(-300,MIN(300,EX385-HL385)),0)</f>
        <v>0</v>
      </c>
      <c r="HZ385" s="60" t="n">
        <f aca="false">IF($G$13&gt;0,MAX(-300,MIN(300,EY385-HM385)),0)</f>
        <v>0</v>
      </c>
      <c r="IA385" s="60" t="n">
        <f aca="false">IF($H$13&gt;0,MAX(-300,MIN(300,EZ385-HN385)),0)</f>
        <v>0</v>
      </c>
      <c r="IB385" s="60" t="n">
        <f aca="false">IF($I$13&gt;0,MAX(-300,MIN(300,FA385-HO385)),0)</f>
        <v>0</v>
      </c>
      <c r="IC385" s="60" t="n">
        <f aca="false">IF($J$13&gt;0,MAX(-300,MIN(300,FB385-HP385)),0)</f>
        <v>0</v>
      </c>
      <c r="ID385" s="60" t="n">
        <f aca="false">IF($K$13&gt;0,MAX(-300,MIN(300,FC385-HQ385)),0)</f>
        <v>0</v>
      </c>
      <c r="IE385" s="60" t="n">
        <f aca="false">IF($L$13&gt;0,MAX(-300,MIN(300,FD385-HR385)),0)</f>
        <v>0</v>
      </c>
      <c r="IF385" s="60" t="n">
        <f aca="false">IF($M$13&gt;0,MAX(-300,MIN(300,FE385-HS385)),0)</f>
        <v>0</v>
      </c>
      <c r="IG385" s="60" t="n">
        <f aca="false">IF($N$13&gt;0,MAX(-300,MIN(300,FF385-HT385)),0)</f>
        <v>0</v>
      </c>
      <c r="IH385" s="60" t="n">
        <f aca="false">IF($O$13&gt;0,MAX(-300,MIN(300,FG385-HU385)),0)</f>
        <v>0</v>
      </c>
      <c r="II385" s="60" t="n">
        <f aca="false">IF($P$13&gt;0,MAX(-300,MIN(300,FH385-HV385)),0)</f>
        <v>0</v>
      </c>
      <c r="IJ385" s="60" t="n">
        <f aca="false">SUMXMY2(HX385:II385,B385:M385)</f>
        <v>0</v>
      </c>
      <c r="IK385" s="60" t="n">
        <f aca="false">SUMSQ(B385:M385)</f>
        <v>0</v>
      </c>
    </row>
    <row r="386" customFormat="false" ht="15" hidden="false" customHeight="false" outlineLevel="0" collapsed="false">
      <c r="A386" s="59" t="n">
        <v>25</v>
      </c>
      <c r="B386" s="60" t="n">
        <f aca="false">HX385</f>
        <v>0</v>
      </c>
      <c r="C386" s="60" t="n">
        <f aca="false">HY385</f>
        <v>0</v>
      </c>
      <c r="D386" s="60" t="n">
        <f aca="false">HZ385</f>
        <v>0</v>
      </c>
      <c r="E386" s="60" t="n">
        <f aca="false">IA385</f>
        <v>0</v>
      </c>
      <c r="F386" s="60" t="n">
        <f aca="false">IB385</f>
        <v>0</v>
      </c>
      <c r="G386" s="60" t="n">
        <f aca="false">IC385</f>
        <v>0</v>
      </c>
      <c r="H386" s="60" t="n">
        <f aca="false">ID385</f>
        <v>0</v>
      </c>
      <c r="I386" s="60" t="n">
        <f aca="false">IE385</f>
        <v>0</v>
      </c>
      <c r="J386" s="60" t="n">
        <f aca="false">IF385</f>
        <v>0</v>
      </c>
      <c r="K386" s="60" t="n">
        <f aca="false">IG385</f>
        <v>0</v>
      </c>
      <c r="L386" s="60" t="n">
        <f aca="false">IH385</f>
        <v>0</v>
      </c>
      <c r="M386" s="60" t="n">
        <f aca="false">II385</f>
        <v>0</v>
      </c>
      <c r="N386" s="60" t="n">
        <f aca="false">EXP(B386)</f>
        <v>1</v>
      </c>
      <c r="O386" s="60" t="n">
        <f aca="false">EXP(C386)</f>
        <v>1</v>
      </c>
      <c r="P386" s="60" t="n">
        <f aca="false">EXP(D386)</f>
        <v>1</v>
      </c>
      <c r="Q386" s="60" t="n">
        <f aca="false">EXP(E386)</f>
        <v>1</v>
      </c>
      <c r="R386" s="60" t="n">
        <f aca="false">EXP(F386)</f>
        <v>1</v>
      </c>
      <c r="S386" s="60" t="n">
        <f aca="false">EXP(G386)</f>
        <v>1</v>
      </c>
      <c r="T386" s="60" t="n">
        <f aca="false">EXP(H386)</f>
        <v>1</v>
      </c>
      <c r="U386" s="60" t="n">
        <f aca="false">EXP(I386)</f>
        <v>1</v>
      </c>
      <c r="V386" s="60" t="n">
        <f aca="false">EXP(J386)</f>
        <v>1</v>
      </c>
      <c r="W386" s="60" t="n">
        <f aca="false">EXP(K386)</f>
        <v>1</v>
      </c>
      <c r="X386" s="60" t="n">
        <f aca="false">EXP(L386)</f>
        <v>1</v>
      </c>
      <c r="Y386" s="60" t="n">
        <f aca="false">EXP(M386)</f>
        <v>1</v>
      </c>
      <c r="Z386" s="60" t="n">
        <f aca="false">MAX(N386:Y386)</f>
        <v>1</v>
      </c>
      <c r="AA386" s="60" t="n">
        <f aca="false">MIN(N386:Y386)</f>
        <v>1</v>
      </c>
      <c r="AB386" s="60" t="n">
        <f aca="false">AND(Z386&gt;1,AA386&lt;1)</f>
        <v>0</v>
      </c>
      <c r="AC386" s="60" t="n">
        <f aca="false">IF(AB386,1/(1-Z386),0)</f>
        <v>0</v>
      </c>
      <c r="AD386" s="60" t="n">
        <f aca="false">IF(AB386,1/(1-AA386),1)</f>
        <v>1</v>
      </c>
      <c r="AE386" s="60" t="n">
        <f aca="false">IF(AB386,MIN(MAX(BI385,AC386+0.000000001*(AD386-AC386)),AD386-0.000000001*(AD386-AC386)),IF(AA386&gt;=1,1,0))</f>
        <v>1</v>
      </c>
      <c r="AF386" s="60" t="n">
        <f aca="false">SUMPRODUCT($E$13:$P$13*(N386:Y386-1)/(1+AE386*(N386:Y386-1)))</f>
        <v>0</v>
      </c>
      <c r="AG386" s="60" t="n">
        <f aca="false">-SUMPRODUCT($E$13:$P$13*(N386:Y386-1)^2/(1+AE386*(N386:Y386-1))^2)</f>
        <v>-0</v>
      </c>
      <c r="AH386" s="60" t="n">
        <f aca="false">IF(OR(NOT(AB386),AG386=0),AE386,IF(AE386-AF386/AG386&lt;=AC386,(AE386+AC386)/2,IF(AE386-AF386/AG386&gt;=AD386,(AE386+AD386)/2,AE386-AF386/AG386)))</f>
        <v>1</v>
      </c>
      <c r="AI386" s="60" t="n">
        <f aca="false">SUMPRODUCT($E$13:$P$13*(N386:Y386-1)/(1+AH386*(N386:Y386-1)))</f>
        <v>0</v>
      </c>
      <c r="AJ386" s="60" t="n">
        <f aca="false">-SUMPRODUCT($E$13:$P$13*(N386:Y386-1)^2/(1+AH386*(N386:Y386-1))^2)</f>
        <v>-0</v>
      </c>
      <c r="AK386" s="60" t="n">
        <f aca="false">IF(OR(NOT(AB386),AJ386=0),AH386,IF(AH386-AI386/AJ386&lt;=AC386,(AH386+AC386)/2,IF(AH386-AI386/AJ386&gt;=AD386,(AH386+AD386)/2,AH386-AI386/AJ386)))</f>
        <v>1</v>
      </c>
      <c r="AL386" s="60" t="n">
        <f aca="false">SUMPRODUCT($E$13:$P$13*(N386:Y386-1)/(1+AK386*(N386:Y386-1)))</f>
        <v>0</v>
      </c>
      <c r="AM386" s="60" t="n">
        <f aca="false">-SUMPRODUCT($E$13:$P$13*(N386:Y386-1)^2/(1+AK386*(N386:Y386-1))^2)</f>
        <v>-0</v>
      </c>
      <c r="AN386" s="60" t="n">
        <f aca="false">IF(OR(NOT(AB386),AM386=0),AK386,IF(AK386-AL386/AM386&lt;=AC386,(AK386+AC386)/2,IF(AK386-AL386/AM386&gt;=AD386,(AK386+AD386)/2,AK386-AL386/AM386)))</f>
        <v>1</v>
      </c>
      <c r="AO386" s="60" t="n">
        <f aca="false">SUMPRODUCT($E$13:$P$13*(N386:Y386-1)/(1+AN386*(N386:Y386-1)))</f>
        <v>0</v>
      </c>
      <c r="AP386" s="60" t="n">
        <f aca="false">-SUMPRODUCT($E$13:$P$13*(N386:Y386-1)^2/(1+AN386*(N386:Y386-1))^2)</f>
        <v>-0</v>
      </c>
      <c r="AQ386" s="60" t="n">
        <f aca="false">IF(OR(NOT(AB386),AP386=0),AN386,IF(AN386-AO386/AP386&lt;=AC386,(AN386+AC386)/2,IF(AN386-AO386/AP386&gt;=AD386,(AN386+AD386)/2,AN386-AO386/AP386)))</f>
        <v>1</v>
      </c>
      <c r="AR386" s="60" t="n">
        <f aca="false">SUMPRODUCT($E$13:$P$13*(N386:Y386-1)/(1+AQ386*(N386:Y386-1)))</f>
        <v>0</v>
      </c>
      <c r="AS386" s="60" t="n">
        <f aca="false">-SUMPRODUCT($E$13:$P$13*(N386:Y386-1)^2/(1+AQ386*(N386:Y386-1))^2)</f>
        <v>-0</v>
      </c>
      <c r="AT386" s="60" t="n">
        <f aca="false">IF(OR(NOT(AB386),AS386=0),AQ386,IF(AQ386-AR386/AS386&lt;=AC386,(AQ386+AC386)/2,IF(AQ386-AR386/AS386&gt;=AD386,(AQ386+AD386)/2,AQ386-AR386/AS386)))</f>
        <v>1</v>
      </c>
      <c r="AU386" s="60" t="n">
        <f aca="false">SUMPRODUCT($E$13:$P$13*(N386:Y386-1)/(1+AT386*(N386:Y386-1)))</f>
        <v>0</v>
      </c>
      <c r="AV386" s="60" t="n">
        <f aca="false">-SUMPRODUCT($E$13:$P$13*(N386:Y386-1)^2/(1+AT386*(N386:Y386-1))^2)</f>
        <v>-0</v>
      </c>
      <c r="AW386" s="60" t="n">
        <f aca="false">IF(OR(NOT(AB386),AV386=0),AT386,IF(AT386-AU386/AV386&lt;=AC386,(AT386+AC386)/2,IF(AT386-AU386/AV386&gt;=AD386,(AT386+AD386)/2,AT386-AU386/AV386)))</f>
        <v>1</v>
      </c>
      <c r="AX386" s="60" t="n">
        <f aca="false">SUMPRODUCT($E$13:$P$13*(N386:Y386-1)/(1+AW386*(N386:Y386-1)))</f>
        <v>0</v>
      </c>
      <c r="AY386" s="60" t="n">
        <f aca="false">-SUMPRODUCT($E$13:$P$13*(N386:Y386-1)^2/(1+AW386*(N386:Y386-1))^2)</f>
        <v>-0</v>
      </c>
      <c r="AZ386" s="60" t="n">
        <f aca="false">IF(OR(NOT(AB386),AY386=0),AW386,IF(AW386-AX386/AY386&lt;=AC386,(AW386+AC386)/2,IF(AW386-AX386/AY386&gt;=AD386,(AW386+AD386)/2,AW386-AX386/AY386)))</f>
        <v>1</v>
      </c>
      <c r="BA386" s="60" t="n">
        <f aca="false">SUMPRODUCT($E$13:$P$13*(N386:Y386-1)/(1+AZ386*(N386:Y386-1)))</f>
        <v>0</v>
      </c>
      <c r="BB386" s="60" t="n">
        <f aca="false">-SUMPRODUCT($E$13:$P$13*(N386:Y386-1)^2/(1+AZ386*(N386:Y386-1))^2)</f>
        <v>-0</v>
      </c>
      <c r="BC386" s="60" t="n">
        <f aca="false">IF(OR(NOT(AB386),BB386=0),AZ386,IF(AZ386-BA386/BB386&lt;=AC386,(AZ386+AC386)/2,IF(AZ386-BA386/BB386&gt;=AD386,(AZ386+AD386)/2,AZ386-BA386/BB386)))</f>
        <v>1</v>
      </c>
      <c r="BD386" s="60" t="n">
        <f aca="false">SUMPRODUCT($E$13:$P$13*(N386:Y386-1)/(1+BC386*(N386:Y386-1)))</f>
        <v>0</v>
      </c>
      <c r="BE386" s="60" t="n">
        <f aca="false">-SUMPRODUCT($E$13:$P$13*(N386:Y386-1)^2/(1+BC386*(N386:Y386-1))^2)</f>
        <v>-0</v>
      </c>
      <c r="BF386" s="60" t="n">
        <f aca="false">IF(OR(NOT(AB386),BE386=0),BC386,IF(BC386-BD386/BE386&lt;=AC386,(BC386+AC386)/2,IF(BC386-BD386/BE386&gt;=AD386,(BC386+AD386)/2,BC386-BD386/BE386)))</f>
        <v>1</v>
      </c>
      <c r="BG386" s="60" t="n">
        <f aca="false">SUMPRODUCT($E$13:$P$13*(N386:Y386-1)/(1+BF386*(N386:Y386-1)))</f>
        <v>0</v>
      </c>
      <c r="BH386" s="60" t="n">
        <f aca="false">-SUMPRODUCT($E$13:$P$13*(N386:Y386-1)^2/(1+BF386*(N386:Y386-1))^2)</f>
        <v>-0</v>
      </c>
      <c r="BI386" s="60" t="n">
        <f aca="false">IF(OR(NOT(AB386),BH386=0),BF386,IF(BF386-BG386/BH386&lt;=AC386,(BF386+AC386)/2,IF(BF386-BG386/BH386&gt;=AD386,(BF386+AD386)/2,BF386-BG386/BH386)))</f>
        <v>1</v>
      </c>
      <c r="BJ386" s="60" t="n">
        <f aca="false">$E$13/(1+BI386*(N386-1))</f>
        <v>1</v>
      </c>
      <c r="BK386" s="60" t="n">
        <f aca="false">$F$13/(1+BI386*(O386-1))</f>
        <v>0</v>
      </c>
      <c r="BL386" s="60" t="n">
        <f aca="false">$G$13/(1+BI386*(P386-1))</f>
        <v>0</v>
      </c>
      <c r="BM386" s="60" t="n">
        <f aca="false">$H$13/(1+BI386*(Q386-1))</f>
        <v>0</v>
      </c>
      <c r="BN386" s="60" t="n">
        <f aca="false">$I$13/(1+BI386*(R386-1))</f>
        <v>0</v>
      </c>
      <c r="BO386" s="60" t="n">
        <f aca="false">$J$13/(1+BI386*(S386-1))</f>
        <v>0</v>
      </c>
      <c r="BP386" s="60" t="n">
        <f aca="false">$K$13/(1+BI386*(T386-1))</f>
        <v>0</v>
      </c>
      <c r="BQ386" s="60" t="n">
        <f aca="false">$L$13/(1+BI386*(U386-1))</f>
        <v>0</v>
      </c>
      <c r="BR386" s="60" t="n">
        <f aca="false">$M$13/(1+BI386*(V386-1))</f>
        <v>0</v>
      </c>
      <c r="BS386" s="60" t="n">
        <f aca="false">$N$13/(1+BI386*(W386-1))</f>
        <v>0</v>
      </c>
      <c r="BT386" s="60" t="n">
        <f aca="false">$O$13/(1+BI386*(X386-1))</f>
        <v>0</v>
      </c>
      <c r="BU386" s="60" t="n">
        <f aca="false">$P$13/(1+BI386*(Y386-1))</f>
        <v>0</v>
      </c>
      <c r="BV386" s="60" t="n">
        <f aca="false">SUM(BJ386:BU386)</f>
        <v>1</v>
      </c>
      <c r="BW386" s="60" t="n">
        <f aca="false">SUMPRODUCT(N386:Y386,BJ386:BU386)</f>
        <v>1</v>
      </c>
      <c r="BX386" s="60" t="n">
        <f aca="false">BJ386/BV386</f>
        <v>1</v>
      </c>
      <c r="BY386" s="60" t="n">
        <f aca="false">BK386/BV386</f>
        <v>0</v>
      </c>
      <c r="BZ386" s="60" t="n">
        <f aca="false">BL386/BV386</f>
        <v>0</v>
      </c>
      <c r="CA386" s="60" t="n">
        <f aca="false">BM386/BV386</f>
        <v>0</v>
      </c>
      <c r="CB386" s="60" t="n">
        <f aca="false">BN386/BV386</f>
        <v>0</v>
      </c>
      <c r="CC386" s="60" t="n">
        <f aca="false">BO386/BV386</f>
        <v>0</v>
      </c>
      <c r="CD386" s="60" t="n">
        <f aca="false">BP386/BV386</f>
        <v>0</v>
      </c>
      <c r="CE386" s="60" t="n">
        <f aca="false">BQ386/BV386</f>
        <v>0</v>
      </c>
      <c r="CF386" s="60" t="n">
        <f aca="false">BR386/BV386</f>
        <v>0</v>
      </c>
      <c r="CG386" s="60" t="n">
        <f aca="false">BS386/BV386</f>
        <v>0</v>
      </c>
      <c r="CH386" s="60" t="n">
        <f aca="false">BT386/BV386</f>
        <v>0</v>
      </c>
      <c r="CI386" s="60" t="n">
        <f aca="false">BU386/BV386</f>
        <v>0</v>
      </c>
      <c r="CJ386" s="60" t="n">
        <f aca="false">N386*BJ386/BW386</f>
        <v>1</v>
      </c>
      <c r="CK386" s="60" t="n">
        <f aca="false">O386*BK386/BW386</f>
        <v>0</v>
      </c>
      <c r="CL386" s="60" t="n">
        <f aca="false">P386*BL386/BW386</f>
        <v>0</v>
      </c>
      <c r="CM386" s="60" t="n">
        <f aca="false">Q386*BM386/BW386</f>
        <v>0</v>
      </c>
      <c r="CN386" s="60" t="n">
        <f aca="false">R386*BN386/BW386</f>
        <v>0</v>
      </c>
      <c r="CO386" s="60" t="n">
        <f aca="false">S386*BO386/BW386</f>
        <v>0</v>
      </c>
      <c r="CP386" s="60" t="n">
        <f aca="false">T386*BP386/BW386</f>
        <v>0</v>
      </c>
      <c r="CQ386" s="60" t="n">
        <f aca="false">U386*BQ386/BW386</f>
        <v>0</v>
      </c>
      <c r="CR386" s="60" t="n">
        <f aca="false">V386*BR386/BW386</f>
        <v>0</v>
      </c>
      <c r="CS386" s="60" t="n">
        <f aca="false">W386*BS386/BW386</f>
        <v>0</v>
      </c>
      <c r="CT386" s="60" t="n">
        <f aca="false">X386*BT386/BW386</f>
        <v>0</v>
      </c>
      <c r="CU386" s="60" t="n">
        <f aca="false">Y386*BU386/BW386</f>
        <v>0</v>
      </c>
      <c r="CV386" s="60" t="n">
        <f aca="false">$E$28*SUMPRODUCT($E$31:$P$31,BX386:CI386,$E$28:$P$28)</f>
        <v>0.184416866619846</v>
      </c>
      <c r="CW386" s="60" t="n">
        <f aca="false">$F$28*SUMPRODUCT($E$32:$P$32,BX386:CI386,$E$28:$P$28)</f>
        <v>0</v>
      </c>
      <c r="CX386" s="60" t="n">
        <f aca="false">$G$28*SUMPRODUCT($E$33:$P$33,BX386:CI386,$E$28:$P$28)</f>
        <v>0</v>
      </c>
      <c r="CY386" s="60" t="n">
        <f aca="false">$H$28*SUMPRODUCT($E$34:$P$34,BX386:CI386,$E$28:$P$28)</f>
        <v>0</v>
      </c>
      <c r="CZ386" s="60" t="n">
        <f aca="false">$I$28*SUMPRODUCT($E$35:$P$35,BX386:CI386,$E$28:$P$28)</f>
        <v>0</v>
      </c>
      <c r="DA386" s="60" t="n">
        <f aca="false">$J$28*SUMPRODUCT($E$36:$P$36,BX386:CI386,$E$28:$P$28)</f>
        <v>0</v>
      </c>
      <c r="DB386" s="60" t="n">
        <f aca="false">$K$28*SUMPRODUCT($E$37:$P$37,BX386:CI386,$E$28:$P$28)</f>
        <v>0</v>
      </c>
      <c r="DC386" s="60" t="n">
        <f aca="false">$L$28*SUMPRODUCT($E$38:$P$38,BX386:CI386,$E$28:$P$28)</f>
        <v>0</v>
      </c>
      <c r="DD386" s="60" t="n">
        <f aca="false">$M$28*SUMPRODUCT($E$39:$P$39,BX386:CI386,$E$28:$P$28)</f>
        <v>0</v>
      </c>
      <c r="DE386" s="60" t="n">
        <f aca="false">$N$28*SUMPRODUCT($E$40:$P$40,BX386:CI386,$E$28:$P$28)</f>
        <v>0</v>
      </c>
      <c r="DF386" s="60" t="n">
        <f aca="false">$O$28*SUMPRODUCT($E$41:$P$41,BX386:CI386,$E$28:$P$28)</f>
        <v>0</v>
      </c>
      <c r="DG386" s="60" t="n">
        <f aca="false">$P$28*SUMPRODUCT($E$42:$P$42,BX386:CI386,$E$28:$P$28)</f>
        <v>0</v>
      </c>
      <c r="DH386" s="60" t="n">
        <f aca="false">SUMPRODUCT(BX386:CI386,CV386:DG386)</f>
        <v>0.184416866619846</v>
      </c>
      <c r="DI386" s="60" t="n">
        <f aca="false">SUMPRODUCT(BX386:CI386,$E$27:$P$27)</f>
        <v>2.67389635063809E-005</v>
      </c>
      <c r="DJ386" s="60" t="n">
        <f aca="false">DH386*$C$9/($C$10*$C$8)^2</f>
        <v>0.21776909410545</v>
      </c>
      <c r="DK386" s="60" t="n">
        <f aca="false">DI386*$C$9/($C$10*$C$8)</f>
        <v>0.0918845243259994</v>
      </c>
      <c r="DL386" s="60" t="n">
        <f aca="false">CHOOSE($C$7,-(1+DK386),-1,-(1-DK386))</f>
        <v>-0.908115475674001</v>
      </c>
      <c r="DM386" s="60" t="n">
        <f aca="false">CHOOSE($C$7,DJ386,DJ386-DK386-DK386^2,DJ386-3*DK386^2-2*DK386)</f>
        <v>0.00867174802160559</v>
      </c>
      <c r="DN386" s="60" t="n">
        <f aca="false">CHOOSE($C$7,-DJ386*DK386,-DJ386*DK386,-(DJ386*DK386-DK386^2-DK386^3))</f>
        <v>-0.0107910842936637</v>
      </c>
      <c r="DO386" s="60" t="n">
        <f aca="false">DM386-DL386^2/3</f>
        <v>-0.266219491031267</v>
      </c>
      <c r="DP386" s="60" t="n">
        <f aca="false">2*DL386^3/27-DL386*DM386/3+DN386</f>
        <v>-0.0636400988362784</v>
      </c>
      <c r="DQ386" s="60" t="n">
        <f aca="false">DP386^2/4+DO386^3/27</f>
        <v>0.000313710901361829</v>
      </c>
      <c r="DR386" s="60" t="n">
        <f aca="false">-DP386/2-IF(DP386&gt;=0,1,-1)*SQRT(MAX(DQ386,0))</f>
        <v>0.0495319352963236</v>
      </c>
      <c r="DS386" s="60" t="n">
        <f aca="false">SIGN(DR386)*ABS(DR386)^(1/3)</f>
        <v>0.367249967174439</v>
      </c>
      <c r="DT386" s="60" t="n">
        <f aca="false">IF(DS386=0,0,DS386-DO386/(3*DS386))</f>
        <v>0.60888329127384</v>
      </c>
      <c r="DU386" s="60" t="n">
        <f aca="false">2*SQRT(MAX(-DO386,0)/3)</f>
        <v>0.595784626668918</v>
      </c>
      <c r="DV386" s="60" t="n">
        <f aca="false">ACOS(IF(DU386=0,0,MAX(-1,MIN(1,3*DP386/(DO386*DU386)))))</f>
        <v>0</v>
      </c>
      <c r="DW386" s="60" t="n">
        <f aca="false">DU386*COS(DV386/3)</f>
        <v>0.595784626668918</v>
      </c>
      <c r="DX386" s="60" t="n">
        <f aca="false">IF(DQ386&lt;0,DW386,DT386)-DL386/3</f>
        <v>0.91158844983184</v>
      </c>
      <c r="DY386" s="60" t="n">
        <f aca="false">IFERROR((((DX386+DL386)*DX386+DM386)*DX386+DN386)/((3*DX386+2*DL386)*DX386+DM386),0)</f>
        <v>0</v>
      </c>
      <c r="DZ386" s="60" t="n">
        <f aca="false">IF(ABS(DY386)&lt;0.1*ABS(DX386),DX386-DY386,DX386)</f>
        <v>0.91158844983184</v>
      </c>
      <c r="EA386" s="60" t="n">
        <f aca="false">IFERROR((((DZ386+DL386)*DZ386+DM386)*DZ386+DN386)/((3*DZ386+2*DL386)*DZ386+DM386),0)</f>
        <v>0</v>
      </c>
      <c r="EB386" s="60" t="n">
        <f aca="false">IF(ABS(EA386)&lt;0.1*ABS(DZ386),DZ386-EA386,DZ386)</f>
        <v>0.91158844983184</v>
      </c>
      <c r="EC386" s="60" t="n">
        <f aca="false">-DN386/EB386</f>
        <v>0.0118376711504565</v>
      </c>
      <c r="ED386" s="60" t="n">
        <f aca="false">(DM386-EC386)/EB386</f>
        <v>-0.00347297415783941</v>
      </c>
      <c r="EE386" s="60" t="n">
        <f aca="false">ED386^2-4*EC386</f>
        <v>-0.0473386230523248</v>
      </c>
      <c r="EF386" s="60" t="n">
        <f aca="false">IF(EE386&gt;=0,(ED386+IF(ED386&gt;=0,1,-1)*SQRT(EE386))/2,0)</f>
        <v>0</v>
      </c>
      <c r="EG386" s="60" t="n">
        <f aca="false">IF(AND(EE386&gt;=0,EF386&lt;&gt;0),MIN(EF386,EC386/EF386),-1)</f>
        <v>-1</v>
      </c>
      <c r="EH386" s="60" t="n">
        <f aca="false">AND(EE386&gt;=0,EG386&gt;DK386,ABS(EB386-EG386)&gt;=0.00005*MAX(EB386,EG386))</f>
        <v>0</v>
      </c>
      <c r="EI386" s="60" t="n">
        <f aca="false">IF(EH386,IFERROR((((EG386+DL386)*EG386+DM386)*EG386+DN386)/((3*EG386+2*DL386)*EG386+DM386),0),0)</f>
        <v>0</v>
      </c>
      <c r="EJ386" s="60" t="n">
        <f aca="false">IF(ABS(EI386)&lt;0.1*ABS(EG386),EG386-EI386,EG386)</f>
        <v>-1</v>
      </c>
      <c r="EK386" s="60" t="n">
        <f aca="false">IF(EH386,IFERROR((((EJ386+DL386)*EJ386+DM386)*EJ386+DN386)/((3*EJ386+2*DL386)*EJ386+DM386),0),0)</f>
        <v>0</v>
      </c>
      <c r="EL386" s="60" t="n">
        <f aca="false">IF(ABS(EK386)&lt;0.1*ABS(EJ386),EJ386-EK386,EJ386)</f>
        <v>-1</v>
      </c>
      <c r="EM386" s="60" t="n">
        <f aca="false">IF(EH386,MAX(EB386,EL386),EB386)</f>
        <v>0.91158844983184</v>
      </c>
      <c r="EN386" s="60" t="n">
        <f aca="false">IF(EH386,MIN(EB386,EL386),-1)</f>
        <v>-1</v>
      </c>
      <c r="EO386" s="60" t="n">
        <f aca="false">CHOOSE($C$7,DJ386/EM386,DJ386/DK386*LN(1+DK386/EM386),DJ386/(2*SQRT(2)*DK386)*LN((EM386+(1+SQRT(2))*DK386)/(EM386+(1-SQRT(2))*DK386)))</f>
        <v>0.218240791233887</v>
      </c>
      <c r="EP386" s="60" t="n">
        <f aca="false">EM386-1-LN(EM386-DK386)-EO386</f>
        <v>-0.107840271021729</v>
      </c>
      <c r="EQ386" s="60" t="n">
        <f aca="false">IF(EH386,CHOOSE($C$7,DJ386/EN386,DJ386/DK386*LN(1+DK386/EN386),DJ386/(2*SQRT(2)*DK386)*LN((EN386+(1+SQRT(2))*DK386)/(EN386+(1-SQRT(2))*DK386))),0)</f>
        <v>0</v>
      </c>
      <c r="ER386" s="60" t="n">
        <f aca="false">IF(EH386,EN386-1-LN(EN386-DK386)-EQ386,0)</f>
        <v>0</v>
      </c>
      <c r="ES386" s="60" t="n">
        <f aca="false">AND(EH386,ER386&lt;EP386)</f>
        <v>0</v>
      </c>
      <c r="ET386" s="60" t="n">
        <f aca="false">IF(ES386,EN386,EM386)</f>
        <v>0.91158844983184</v>
      </c>
      <c r="EU386" s="60" t="n">
        <f aca="false">IF(ES386,EQ386,EO386)</f>
        <v>0.218240791233887</v>
      </c>
      <c r="EV386" s="60" t="n">
        <f aca="false">LN(ET386-DK386)</f>
        <v>-0.198812070380318</v>
      </c>
      <c r="EW386" s="60" t="n">
        <f aca="false">$E$27/DI386*(ET386-1)-EV386-EU386*(2*CV386/DH386-$E$27/DI386)</f>
        <v>-0.107840271021729</v>
      </c>
      <c r="EX386" s="60" t="n">
        <f aca="false">$F$27/DI386*(ET386-1)-EV386-EU386*(2*CW386/DH386-$F$27/DI386)</f>
        <v>0.198812070380318</v>
      </c>
      <c r="EY386" s="60" t="n">
        <f aca="false">$G$27/DI386*(ET386-1)-EV386-EU386*(2*CX386/DH386-$G$27/DI386)</f>
        <v>0.198812070380318</v>
      </c>
      <c r="EZ386" s="60" t="n">
        <f aca="false">$H$27/DI386*(ET386-1)-EV386-EU386*(2*CY386/DH386-$H$27/DI386)</f>
        <v>0.198812070380318</v>
      </c>
      <c r="FA386" s="60" t="n">
        <f aca="false">$I$27/DI386*(ET386-1)-EV386-EU386*(2*CZ386/DH386-$I$27/DI386)</f>
        <v>0.198812070380318</v>
      </c>
      <c r="FB386" s="60" t="n">
        <f aca="false">$J$27/DI386*(ET386-1)-EV386-EU386*(2*DA386/DH386-$J$27/DI386)</f>
        <v>0.198812070380318</v>
      </c>
      <c r="FC386" s="60" t="n">
        <f aca="false">$K$27/DI386*(ET386-1)-EV386-EU386*(2*DB386/DH386-$K$27/DI386)</f>
        <v>0.198812070380318</v>
      </c>
      <c r="FD386" s="60" t="n">
        <f aca="false">$L$27/DI386*(ET386-1)-EV386-EU386*(2*DC386/DH386-$L$27/DI386)</f>
        <v>0.198812070380318</v>
      </c>
      <c r="FE386" s="60" t="n">
        <f aca="false">$M$27/DI386*(ET386-1)-EV386-EU386*(2*DD386/DH386-$M$27/DI386)</f>
        <v>0.198812070380318</v>
      </c>
      <c r="FF386" s="60" t="n">
        <f aca="false">$N$27/DI386*(ET386-1)-EV386-EU386*(2*DE386/DH386-$N$27/DI386)</f>
        <v>0.198812070380318</v>
      </c>
      <c r="FG386" s="60" t="n">
        <f aca="false">$O$27/DI386*(ET386-1)-EV386-EU386*(2*DF386/DH386-$O$27/DI386)</f>
        <v>0.198812070380318</v>
      </c>
      <c r="FH386" s="60" t="n">
        <f aca="false">$P$27/DI386*(ET386-1)-EV386-EU386*(2*DG386/DH386-$P$27/DI386)</f>
        <v>0.198812070380318</v>
      </c>
      <c r="FI386" s="60" t="n">
        <f aca="false">DK386/ET386&gt;$C$22</f>
        <v>0</v>
      </c>
      <c r="FJ386" s="60" t="n">
        <f aca="false">$E$28*SUMPRODUCT($E$31:$P$31,CJ386:CU386,$E$28:$P$28)</f>
        <v>0.184416866619846</v>
      </c>
      <c r="FK386" s="60" t="n">
        <f aca="false">$F$28*SUMPRODUCT($E$32:$P$32,CJ386:CU386,$E$28:$P$28)</f>
        <v>0</v>
      </c>
      <c r="FL386" s="60" t="n">
        <f aca="false">$G$28*SUMPRODUCT($E$33:$P$33,CJ386:CU386,$E$28:$P$28)</f>
        <v>0</v>
      </c>
      <c r="FM386" s="60" t="n">
        <f aca="false">$H$28*SUMPRODUCT($E$34:$P$34,CJ386:CU386,$E$28:$P$28)</f>
        <v>0</v>
      </c>
      <c r="FN386" s="60" t="n">
        <f aca="false">$I$28*SUMPRODUCT($E$35:$P$35,CJ386:CU386,$E$28:$P$28)</f>
        <v>0</v>
      </c>
      <c r="FO386" s="60" t="n">
        <f aca="false">$J$28*SUMPRODUCT($E$36:$P$36,CJ386:CU386,$E$28:$P$28)</f>
        <v>0</v>
      </c>
      <c r="FP386" s="60" t="n">
        <f aca="false">$K$28*SUMPRODUCT($E$37:$P$37,CJ386:CU386,$E$28:$P$28)</f>
        <v>0</v>
      </c>
      <c r="FQ386" s="60" t="n">
        <f aca="false">$L$28*SUMPRODUCT($E$38:$P$38,CJ386:CU386,$E$28:$P$28)</f>
        <v>0</v>
      </c>
      <c r="FR386" s="60" t="n">
        <f aca="false">$M$28*SUMPRODUCT($E$39:$P$39,CJ386:CU386,$E$28:$P$28)</f>
        <v>0</v>
      </c>
      <c r="FS386" s="60" t="n">
        <f aca="false">$N$28*SUMPRODUCT($E$40:$P$40,CJ386:CU386,$E$28:$P$28)</f>
        <v>0</v>
      </c>
      <c r="FT386" s="60" t="n">
        <f aca="false">$O$28*SUMPRODUCT($E$41:$P$41,CJ386:CU386,$E$28:$P$28)</f>
        <v>0</v>
      </c>
      <c r="FU386" s="60" t="n">
        <f aca="false">$P$28*SUMPRODUCT($E$42:$P$42,CJ386:CU386,$E$28:$P$28)</f>
        <v>0</v>
      </c>
      <c r="FV386" s="60" t="n">
        <f aca="false">SUMPRODUCT(CJ386:CU386,FJ386:FU386)</f>
        <v>0.184416866619846</v>
      </c>
      <c r="FW386" s="60" t="n">
        <f aca="false">SUMPRODUCT(CJ386:CU386,$E$27:$P$27)</f>
        <v>2.67389635063809E-005</v>
      </c>
      <c r="FX386" s="60" t="n">
        <f aca="false">FV386*$C$9/($C$10*$C$8)^2</f>
        <v>0.21776909410545</v>
      </c>
      <c r="FY386" s="60" t="n">
        <f aca="false">FW386*$C$9/($C$10*$C$8)</f>
        <v>0.0918845243259994</v>
      </c>
      <c r="FZ386" s="60" t="n">
        <f aca="false">CHOOSE($C$7,-(1+FY386),-1,-(1-FY386))</f>
        <v>-0.908115475674001</v>
      </c>
      <c r="GA386" s="60" t="n">
        <f aca="false">CHOOSE($C$7,FX386,FX386-FY386-FY386^2,FX386-3*FY386^2-2*FY386)</f>
        <v>0.00867174802160559</v>
      </c>
      <c r="GB386" s="60" t="n">
        <f aca="false">CHOOSE($C$7,-FX386*FY386,-FX386*FY386,-(FX386*FY386-FY386^2-FY386^3))</f>
        <v>-0.0107910842936637</v>
      </c>
      <c r="GC386" s="60" t="n">
        <f aca="false">GA386-FZ386^2/3</f>
        <v>-0.266219491031267</v>
      </c>
      <c r="GD386" s="60" t="n">
        <f aca="false">2*FZ386^3/27-FZ386*GA386/3+GB386</f>
        <v>-0.0636400988362784</v>
      </c>
      <c r="GE386" s="60" t="n">
        <f aca="false">GD386^2/4+GC386^3/27</f>
        <v>0.000313710901361829</v>
      </c>
      <c r="GF386" s="60" t="n">
        <f aca="false">-GD386/2-IF(GD386&gt;=0,1,-1)*SQRT(MAX(GE386,0))</f>
        <v>0.0495319352963236</v>
      </c>
      <c r="GG386" s="60" t="n">
        <f aca="false">SIGN(GF386)*ABS(GF386)^(1/3)</f>
        <v>0.367249967174439</v>
      </c>
      <c r="GH386" s="60" t="n">
        <f aca="false">IF(GG386=0,0,GG386-GC386/(3*GG386))</f>
        <v>0.60888329127384</v>
      </c>
      <c r="GI386" s="60" t="n">
        <f aca="false">2*SQRT(MAX(-GC386,0)/3)</f>
        <v>0.595784626668918</v>
      </c>
      <c r="GJ386" s="60" t="n">
        <f aca="false">ACOS(IF(GI386=0,0,MAX(-1,MIN(1,3*GD386/(GC386*GI386)))))</f>
        <v>0</v>
      </c>
      <c r="GK386" s="60" t="n">
        <f aca="false">GI386*COS(GJ386/3)</f>
        <v>0.595784626668918</v>
      </c>
      <c r="GL386" s="60" t="n">
        <f aca="false">IF(GE386&lt;0,GK386,GH386)-FZ386/3</f>
        <v>0.91158844983184</v>
      </c>
      <c r="GM386" s="60" t="n">
        <f aca="false">IFERROR((((GL386+FZ386)*GL386+GA386)*GL386+GB386)/((3*GL386+2*FZ386)*GL386+GA386),0)</f>
        <v>0</v>
      </c>
      <c r="GN386" s="60" t="n">
        <f aca="false">IF(ABS(GM386)&lt;0.1*ABS(GL386),GL386-GM386,GL386)</f>
        <v>0.91158844983184</v>
      </c>
      <c r="GO386" s="60" t="n">
        <f aca="false">IFERROR((((GN386+FZ386)*GN386+GA386)*GN386+GB386)/((3*GN386+2*FZ386)*GN386+GA386),0)</f>
        <v>0</v>
      </c>
      <c r="GP386" s="60" t="n">
        <f aca="false">IF(ABS(GO386)&lt;0.1*ABS(GN386),GN386-GO386,GN386)</f>
        <v>0.91158844983184</v>
      </c>
      <c r="GQ386" s="60" t="n">
        <f aca="false">-GB386/GP386</f>
        <v>0.0118376711504565</v>
      </c>
      <c r="GR386" s="60" t="n">
        <f aca="false">(GA386-GQ386)/GP386</f>
        <v>-0.00347297415783941</v>
      </c>
      <c r="GS386" s="60" t="n">
        <f aca="false">GR386^2-4*GQ386</f>
        <v>-0.0473386230523248</v>
      </c>
      <c r="GT386" s="60" t="n">
        <f aca="false">IF(GS386&gt;=0,(GR386+IF(GR386&gt;=0,1,-1)*SQRT(GS386))/2,0)</f>
        <v>0</v>
      </c>
      <c r="GU386" s="60" t="n">
        <f aca="false">IF(AND(GS386&gt;=0,GT386&lt;&gt;0),MIN(GT386,GQ386/GT386),-1)</f>
        <v>-1</v>
      </c>
      <c r="GV386" s="60" t="n">
        <f aca="false">AND(GS386&gt;=0,GU386&gt;FY386,ABS(GP386-GU386)&gt;=0.00005*MAX(GP386,GU386))</f>
        <v>0</v>
      </c>
      <c r="GW386" s="60" t="n">
        <f aca="false">IF(GV386,IFERROR((((GU386+FZ386)*GU386+GA386)*GU386+GB386)/((3*GU386+2*FZ386)*GU386+GA386),0),0)</f>
        <v>0</v>
      </c>
      <c r="GX386" s="60" t="n">
        <f aca="false">IF(ABS(GW386)&lt;0.1*ABS(GU386),GU386-GW386,GU386)</f>
        <v>-1</v>
      </c>
      <c r="GY386" s="60" t="n">
        <f aca="false">IF(GV386,IFERROR((((GX386+FZ386)*GX386+GA386)*GX386+GB386)/((3*GX386+2*FZ386)*GX386+GA386),0),0)</f>
        <v>0</v>
      </c>
      <c r="GZ386" s="60" t="n">
        <f aca="false">IF(ABS(GY386)&lt;0.1*ABS(GX386),GX386-GY386,GX386)</f>
        <v>-1</v>
      </c>
      <c r="HA386" s="60" t="n">
        <f aca="false">IF(GV386,MAX(GP386,GZ386),GP386)</f>
        <v>0.91158844983184</v>
      </c>
      <c r="HB386" s="60" t="n">
        <f aca="false">IF(GV386,MIN(GP386,GZ386),-1)</f>
        <v>-1</v>
      </c>
      <c r="HC386" s="60" t="n">
        <f aca="false">CHOOSE($C$7,FX386/HA386,FX386/FY386*LN(1+FY386/HA386),FX386/(2*SQRT(2)*FY386)*LN((HA386+(1+SQRT(2))*FY386)/(HA386+(1-SQRT(2))*FY386)))</f>
        <v>0.218240791233887</v>
      </c>
      <c r="HD386" s="60" t="n">
        <f aca="false">HA386-1-LN(HA386-FY386)-HC386</f>
        <v>-0.107840271021729</v>
      </c>
      <c r="HE386" s="60" t="n">
        <f aca="false">IF(GV386,CHOOSE($C$7,FX386/HB386,FX386/FY386*LN(1+FY386/HB386),FX386/(2*SQRT(2)*FY386)*LN((HB386+(1+SQRT(2))*FY386)/(HB386+(1-SQRT(2))*FY386))),0)</f>
        <v>0</v>
      </c>
      <c r="HF386" s="60" t="n">
        <f aca="false">IF(GV386,HB386-1-LN(HB386-FY386)-HE386,0)</f>
        <v>0</v>
      </c>
      <c r="HG386" s="60" t="n">
        <f aca="false">AND(GV386,HF386&lt;HD386)</f>
        <v>0</v>
      </c>
      <c r="HH386" s="60" t="n">
        <f aca="false">IF(HG386,HB386,HA386)</f>
        <v>0.91158844983184</v>
      </c>
      <c r="HI386" s="60" t="n">
        <f aca="false">IF(HG386,HE386,HC386)</f>
        <v>0.218240791233887</v>
      </c>
      <c r="HJ386" s="60" t="n">
        <f aca="false">LN(HH386-FY386)</f>
        <v>-0.198812070380318</v>
      </c>
      <c r="HK386" s="60" t="n">
        <f aca="false">$E$27/FW386*(HH386-1)-HJ386-HI386*(2*FJ386/FV386-$E$27/FW386)</f>
        <v>-0.107840271021729</v>
      </c>
      <c r="HL386" s="60" t="n">
        <f aca="false">$F$27/FW386*(HH386-1)-HJ386-HI386*(2*FK386/FV386-$F$27/FW386)</f>
        <v>0.198812070380318</v>
      </c>
      <c r="HM386" s="60" t="n">
        <f aca="false">$G$27/FW386*(HH386-1)-HJ386-HI386*(2*FL386/FV386-$G$27/FW386)</f>
        <v>0.198812070380318</v>
      </c>
      <c r="HN386" s="60" t="n">
        <f aca="false">$H$27/FW386*(HH386-1)-HJ386-HI386*(2*FM386/FV386-$H$27/FW386)</f>
        <v>0.198812070380318</v>
      </c>
      <c r="HO386" s="60" t="n">
        <f aca="false">$I$27/FW386*(HH386-1)-HJ386-HI386*(2*FN386/FV386-$I$27/FW386)</f>
        <v>0.198812070380318</v>
      </c>
      <c r="HP386" s="60" t="n">
        <f aca="false">$J$27/FW386*(HH386-1)-HJ386-HI386*(2*FO386/FV386-$J$27/FW386)</f>
        <v>0.198812070380318</v>
      </c>
      <c r="HQ386" s="60" t="n">
        <f aca="false">$K$27/FW386*(HH386-1)-HJ386-HI386*(2*FP386/FV386-$K$27/FW386)</f>
        <v>0.198812070380318</v>
      </c>
      <c r="HR386" s="60" t="n">
        <f aca="false">$L$27/FW386*(HH386-1)-HJ386-HI386*(2*FQ386/FV386-$L$27/FW386)</f>
        <v>0.198812070380318</v>
      </c>
      <c r="HS386" s="60" t="n">
        <f aca="false">$M$27/FW386*(HH386-1)-HJ386-HI386*(2*FR386/FV386-$M$27/FW386)</f>
        <v>0.198812070380318</v>
      </c>
      <c r="HT386" s="60" t="n">
        <f aca="false">$N$27/FW386*(HH386-1)-HJ386-HI386*(2*FS386/FV386-$N$27/FW386)</f>
        <v>0.198812070380318</v>
      </c>
      <c r="HU386" s="60" t="n">
        <f aca="false">$O$27/FW386*(HH386-1)-HJ386-HI386*(2*FT386/FV386-$O$27/FW386)</f>
        <v>0.198812070380318</v>
      </c>
      <c r="HV386" s="60" t="n">
        <f aca="false">$P$27/FW386*(HH386-1)-HJ386-HI386*(2*FU386/FV386-$P$27/FW386)</f>
        <v>0.198812070380318</v>
      </c>
      <c r="HW386" s="60" t="n">
        <f aca="false">FY386/HH386&gt;$C$22</f>
        <v>0</v>
      </c>
      <c r="HX386" s="60" t="n">
        <f aca="false">IF($E$13&gt;0,MAX(-300,MIN(300,EW386-HK386)),0)</f>
        <v>0</v>
      </c>
      <c r="HY386" s="60" t="n">
        <f aca="false">IF($F$13&gt;0,MAX(-300,MIN(300,EX386-HL386)),0)</f>
        <v>0</v>
      </c>
      <c r="HZ386" s="60" t="n">
        <f aca="false">IF($G$13&gt;0,MAX(-300,MIN(300,EY386-HM386)),0)</f>
        <v>0</v>
      </c>
      <c r="IA386" s="60" t="n">
        <f aca="false">IF($H$13&gt;0,MAX(-300,MIN(300,EZ386-HN386)),0)</f>
        <v>0</v>
      </c>
      <c r="IB386" s="60" t="n">
        <f aca="false">IF($I$13&gt;0,MAX(-300,MIN(300,FA386-HO386)),0)</f>
        <v>0</v>
      </c>
      <c r="IC386" s="60" t="n">
        <f aca="false">IF($J$13&gt;0,MAX(-300,MIN(300,FB386-HP386)),0)</f>
        <v>0</v>
      </c>
      <c r="ID386" s="60" t="n">
        <f aca="false">IF($K$13&gt;0,MAX(-300,MIN(300,FC386-HQ386)),0)</f>
        <v>0</v>
      </c>
      <c r="IE386" s="60" t="n">
        <f aca="false">IF($L$13&gt;0,MAX(-300,MIN(300,FD386-HR386)),0)</f>
        <v>0</v>
      </c>
      <c r="IF386" s="60" t="n">
        <f aca="false">IF($M$13&gt;0,MAX(-300,MIN(300,FE386-HS386)),0)</f>
        <v>0</v>
      </c>
      <c r="IG386" s="60" t="n">
        <f aca="false">IF($N$13&gt;0,MAX(-300,MIN(300,FF386-HT386)),0)</f>
        <v>0</v>
      </c>
      <c r="IH386" s="60" t="n">
        <f aca="false">IF($O$13&gt;0,MAX(-300,MIN(300,FG386-HU386)),0)</f>
        <v>0</v>
      </c>
      <c r="II386" s="60" t="n">
        <f aca="false">IF($P$13&gt;0,MAX(-300,MIN(300,FH386-HV386)),0)</f>
        <v>0</v>
      </c>
      <c r="IJ386" s="60" t="n">
        <f aca="false">SUMXMY2(HX386:II386,B386:M386)</f>
        <v>0</v>
      </c>
      <c r="IK386" s="60" t="n">
        <f aca="false">SUMSQ(B386:M386)</f>
        <v>0</v>
      </c>
    </row>
    <row r="387" customFormat="false" ht="15" hidden="false" customHeight="false" outlineLevel="0" collapsed="false">
      <c r="A387" s="59" t="n">
        <v>26</v>
      </c>
      <c r="B387" s="60" t="n">
        <f aca="false">HX386</f>
        <v>0</v>
      </c>
      <c r="C387" s="60" t="n">
        <f aca="false">HY386</f>
        <v>0</v>
      </c>
      <c r="D387" s="60" t="n">
        <f aca="false">HZ386</f>
        <v>0</v>
      </c>
      <c r="E387" s="60" t="n">
        <f aca="false">IA386</f>
        <v>0</v>
      </c>
      <c r="F387" s="60" t="n">
        <f aca="false">IB386</f>
        <v>0</v>
      </c>
      <c r="G387" s="60" t="n">
        <f aca="false">IC386</f>
        <v>0</v>
      </c>
      <c r="H387" s="60" t="n">
        <f aca="false">ID386</f>
        <v>0</v>
      </c>
      <c r="I387" s="60" t="n">
        <f aca="false">IE386</f>
        <v>0</v>
      </c>
      <c r="J387" s="60" t="n">
        <f aca="false">IF386</f>
        <v>0</v>
      </c>
      <c r="K387" s="60" t="n">
        <f aca="false">IG386</f>
        <v>0</v>
      </c>
      <c r="L387" s="60" t="n">
        <f aca="false">IH386</f>
        <v>0</v>
      </c>
      <c r="M387" s="60" t="n">
        <f aca="false">II386</f>
        <v>0</v>
      </c>
      <c r="N387" s="60" t="n">
        <f aca="false">EXP(B387)</f>
        <v>1</v>
      </c>
      <c r="O387" s="60" t="n">
        <f aca="false">EXP(C387)</f>
        <v>1</v>
      </c>
      <c r="P387" s="60" t="n">
        <f aca="false">EXP(D387)</f>
        <v>1</v>
      </c>
      <c r="Q387" s="60" t="n">
        <f aca="false">EXP(E387)</f>
        <v>1</v>
      </c>
      <c r="R387" s="60" t="n">
        <f aca="false">EXP(F387)</f>
        <v>1</v>
      </c>
      <c r="S387" s="60" t="n">
        <f aca="false">EXP(G387)</f>
        <v>1</v>
      </c>
      <c r="T387" s="60" t="n">
        <f aca="false">EXP(H387)</f>
        <v>1</v>
      </c>
      <c r="U387" s="60" t="n">
        <f aca="false">EXP(I387)</f>
        <v>1</v>
      </c>
      <c r="V387" s="60" t="n">
        <f aca="false">EXP(J387)</f>
        <v>1</v>
      </c>
      <c r="W387" s="60" t="n">
        <f aca="false">EXP(K387)</f>
        <v>1</v>
      </c>
      <c r="X387" s="60" t="n">
        <f aca="false">EXP(L387)</f>
        <v>1</v>
      </c>
      <c r="Y387" s="60" t="n">
        <f aca="false">EXP(M387)</f>
        <v>1</v>
      </c>
      <c r="Z387" s="60" t="n">
        <f aca="false">MAX(N387:Y387)</f>
        <v>1</v>
      </c>
      <c r="AA387" s="60" t="n">
        <f aca="false">MIN(N387:Y387)</f>
        <v>1</v>
      </c>
      <c r="AB387" s="60" t="n">
        <f aca="false">AND(Z387&gt;1,AA387&lt;1)</f>
        <v>0</v>
      </c>
      <c r="AC387" s="60" t="n">
        <f aca="false">IF(AB387,1/(1-Z387),0)</f>
        <v>0</v>
      </c>
      <c r="AD387" s="60" t="n">
        <f aca="false">IF(AB387,1/(1-AA387),1)</f>
        <v>1</v>
      </c>
      <c r="AE387" s="60" t="n">
        <f aca="false">IF(AB387,MIN(MAX(BI386,AC387+0.000000001*(AD387-AC387)),AD387-0.000000001*(AD387-AC387)),IF(AA387&gt;=1,1,0))</f>
        <v>1</v>
      </c>
      <c r="AF387" s="60" t="n">
        <f aca="false">SUMPRODUCT($E$13:$P$13*(N387:Y387-1)/(1+AE387*(N387:Y387-1)))</f>
        <v>0</v>
      </c>
      <c r="AG387" s="60" t="n">
        <f aca="false">-SUMPRODUCT($E$13:$P$13*(N387:Y387-1)^2/(1+AE387*(N387:Y387-1))^2)</f>
        <v>-0</v>
      </c>
      <c r="AH387" s="60" t="n">
        <f aca="false">IF(OR(NOT(AB387),AG387=0),AE387,IF(AE387-AF387/AG387&lt;=AC387,(AE387+AC387)/2,IF(AE387-AF387/AG387&gt;=AD387,(AE387+AD387)/2,AE387-AF387/AG387)))</f>
        <v>1</v>
      </c>
      <c r="AI387" s="60" t="n">
        <f aca="false">SUMPRODUCT($E$13:$P$13*(N387:Y387-1)/(1+AH387*(N387:Y387-1)))</f>
        <v>0</v>
      </c>
      <c r="AJ387" s="60" t="n">
        <f aca="false">-SUMPRODUCT($E$13:$P$13*(N387:Y387-1)^2/(1+AH387*(N387:Y387-1))^2)</f>
        <v>-0</v>
      </c>
      <c r="AK387" s="60" t="n">
        <f aca="false">IF(OR(NOT(AB387),AJ387=0),AH387,IF(AH387-AI387/AJ387&lt;=AC387,(AH387+AC387)/2,IF(AH387-AI387/AJ387&gt;=AD387,(AH387+AD387)/2,AH387-AI387/AJ387)))</f>
        <v>1</v>
      </c>
      <c r="AL387" s="60" t="n">
        <f aca="false">SUMPRODUCT($E$13:$P$13*(N387:Y387-1)/(1+AK387*(N387:Y387-1)))</f>
        <v>0</v>
      </c>
      <c r="AM387" s="60" t="n">
        <f aca="false">-SUMPRODUCT($E$13:$P$13*(N387:Y387-1)^2/(1+AK387*(N387:Y387-1))^2)</f>
        <v>-0</v>
      </c>
      <c r="AN387" s="60" t="n">
        <f aca="false">IF(OR(NOT(AB387),AM387=0),AK387,IF(AK387-AL387/AM387&lt;=AC387,(AK387+AC387)/2,IF(AK387-AL387/AM387&gt;=AD387,(AK387+AD387)/2,AK387-AL387/AM387)))</f>
        <v>1</v>
      </c>
      <c r="AO387" s="60" t="n">
        <f aca="false">SUMPRODUCT($E$13:$P$13*(N387:Y387-1)/(1+AN387*(N387:Y387-1)))</f>
        <v>0</v>
      </c>
      <c r="AP387" s="60" t="n">
        <f aca="false">-SUMPRODUCT($E$13:$P$13*(N387:Y387-1)^2/(1+AN387*(N387:Y387-1))^2)</f>
        <v>-0</v>
      </c>
      <c r="AQ387" s="60" t="n">
        <f aca="false">IF(OR(NOT(AB387),AP387=0),AN387,IF(AN387-AO387/AP387&lt;=AC387,(AN387+AC387)/2,IF(AN387-AO387/AP387&gt;=AD387,(AN387+AD387)/2,AN387-AO387/AP387)))</f>
        <v>1</v>
      </c>
      <c r="AR387" s="60" t="n">
        <f aca="false">SUMPRODUCT($E$13:$P$13*(N387:Y387-1)/(1+AQ387*(N387:Y387-1)))</f>
        <v>0</v>
      </c>
      <c r="AS387" s="60" t="n">
        <f aca="false">-SUMPRODUCT($E$13:$P$13*(N387:Y387-1)^2/(1+AQ387*(N387:Y387-1))^2)</f>
        <v>-0</v>
      </c>
      <c r="AT387" s="60" t="n">
        <f aca="false">IF(OR(NOT(AB387),AS387=0),AQ387,IF(AQ387-AR387/AS387&lt;=AC387,(AQ387+AC387)/2,IF(AQ387-AR387/AS387&gt;=AD387,(AQ387+AD387)/2,AQ387-AR387/AS387)))</f>
        <v>1</v>
      </c>
      <c r="AU387" s="60" t="n">
        <f aca="false">SUMPRODUCT($E$13:$P$13*(N387:Y387-1)/(1+AT387*(N387:Y387-1)))</f>
        <v>0</v>
      </c>
      <c r="AV387" s="60" t="n">
        <f aca="false">-SUMPRODUCT($E$13:$P$13*(N387:Y387-1)^2/(1+AT387*(N387:Y387-1))^2)</f>
        <v>-0</v>
      </c>
      <c r="AW387" s="60" t="n">
        <f aca="false">IF(OR(NOT(AB387),AV387=0),AT387,IF(AT387-AU387/AV387&lt;=AC387,(AT387+AC387)/2,IF(AT387-AU387/AV387&gt;=AD387,(AT387+AD387)/2,AT387-AU387/AV387)))</f>
        <v>1</v>
      </c>
      <c r="AX387" s="60" t="n">
        <f aca="false">SUMPRODUCT($E$13:$P$13*(N387:Y387-1)/(1+AW387*(N387:Y387-1)))</f>
        <v>0</v>
      </c>
      <c r="AY387" s="60" t="n">
        <f aca="false">-SUMPRODUCT($E$13:$P$13*(N387:Y387-1)^2/(1+AW387*(N387:Y387-1))^2)</f>
        <v>-0</v>
      </c>
      <c r="AZ387" s="60" t="n">
        <f aca="false">IF(OR(NOT(AB387),AY387=0),AW387,IF(AW387-AX387/AY387&lt;=AC387,(AW387+AC387)/2,IF(AW387-AX387/AY387&gt;=AD387,(AW387+AD387)/2,AW387-AX387/AY387)))</f>
        <v>1</v>
      </c>
      <c r="BA387" s="60" t="n">
        <f aca="false">SUMPRODUCT($E$13:$P$13*(N387:Y387-1)/(1+AZ387*(N387:Y387-1)))</f>
        <v>0</v>
      </c>
      <c r="BB387" s="60" t="n">
        <f aca="false">-SUMPRODUCT($E$13:$P$13*(N387:Y387-1)^2/(1+AZ387*(N387:Y387-1))^2)</f>
        <v>-0</v>
      </c>
      <c r="BC387" s="60" t="n">
        <f aca="false">IF(OR(NOT(AB387),BB387=0),AZ387,IF(AZ387-BA387/BB387&lt;=AC387,(AZ387+AC387)/2,IF(AZ387-BA387/BB387&gt;=AD387,(AZ387+AD387)/2,AZ387-BA387/BB387)))</f>
        <v>1</v>
      </c>
      <c r="BD387" s="60" t="n">
        <f aca="false">SUMPRODUCT($E$13:$P$13*(N387:Y387-1)/(1+BC387*(N387:Y387-1)))</f>
        <v>0</v>
      </c>
      <c r="BE387" s="60" t="n">
        <f aca="false">-SUMPRODUCT($E$13:$P$13*(N387:Y387-1)^2/(1+BC387*(N387:Y387-1))^2)</f>
        <v>-0</v>
      </c>
      <c r="BF387" s="60" t="n">
        <f aca="false">IF(OR(NOT(AB387),BE387=0),BC387,IF(BC387-BD387/BE387&lt;=AC387,(BC387+AC387)/2,IF(BC387-BD387/BE387&gt;=AD387,(BC387+AD387)/2,BC387-BD387/BE387)))</f>
        <v>1</v>
      </c>
      <c r="BG387" s="60" t="n">
        <f aca="false">SUMPRODUCT($E$13:$P$13*(N387:Y387-1)/(1+BF387*(N387:Y387-1)))</f>
        <v>0</v>
      </c>
      <c r="BH387" s="60" t="n">
        <f aca="false">-SUMPRODUCT($E$13:$P$13*(N387:Y387-1)^2/(1+BF387*(N387:Y387-1))^2)</f>
        <v>-0</v>
      </c>
      <c r="BI387" s="60" t="n">
        <f aca="false">IF(OR(NOT(AB387),BH387=0),BF387,IF(BF387-BG387/BH387&lt;=AC387,(BF387+AC387)/2,IF(BF387-BG387/BH387&gt;=AD387,(BF387+AD387)/2,BF387-BG387/BH387)))</f>
        <v>1</v>
      </c>
      <c r="BJ387" s="60" t="n">
        <f aca="false">$E$13/(1+BI387*(N387-1))</f>
        <v>1</v>
      </c>
      <c r="BK387" s="60" t="n">
        <f aca="false">$F$13/(1+BI387*(O387-1))</f>
        <v>0</v>
      </c>
      <c r="BL387" s="60" t="n">
        <f aca="false">$G$13/(1+BI387*(P387-1))</f>
        <v>0</v>
      </c>
      <c r="BM387" s="60" t="n">
        <f aca="false">$H$13/(1+BI387*(Q387-1))</f>
        <v>0</v>
      </c>
      <c r="BN387" s="60" t="n">
        <f aca="false">$I$13/(1+BI387*(R387-1))</f>
        <v>0</v>
      </c>
      <c r="BO387" s="60" t="n">
        <f aca="false">$J$13/(1+BI387*(S387-1))</f>
        <v>0</v>
      </c>
      <c r="BP387" s="60" t="n">
        <f aca="false">$K$13/(1+BI387*(T387-1))</f>
        <v>0</v>
      </c>
      <c r="BQ387" s="60" t="n">
        <f aca="false">$L$13/(1+BI387*(U387-1))</f>
        <v>0</v>
      </c>
      <c r="BR387" s="60" t="n">
        <f aca="false">$M$13/(1+BI387*(V387-1))</f>
        <v>0</v>
      </c>
      <c r="BS387" s="60" t="n">
        <f aca="false">$N$13/(1+BI387*(W387-1))</f>
        <v>0</v>
      </c>
      <c r="BT387" s="60" t="n">
        <f aca="false">$O$13/(1+BI387*(X387-1))</f>
        <v>0</v>
      </c>
      <c r="BU387" s="60" t="n">
        <f aca="false">$P$13/(1+BI387*(Y387-1))</f>
        <v>0</v>
      </c>
      <c r="BV387" s="60" t="n">
        <f aca="false">SUM(BJ387:BU387)</f>
        <v>1</v>
      </c>
      <c r="BW387" s="60" t="n">
        <f aca="false">SUMPRODUCT(N387:Y387,BJ387:BU387)</f>
        <v>1</v>
      </c>
      <c r="BX387" s="60" t="n">
        <f aca="false">BJ387/BV387</f>
        <v>1</v>
      </c>
      <c r="BY387" s="60" t="n">
        <f aca="false">BK387/BV387</f>
        <v>0</v>
      </c>
      <c r="BZ387" s="60" t="n">
        <f aca="false">BL387/BV387</f>
        <v>0</v>
      </c>
      <c r="CA387" s="60" t="n">
        <f aca="false">BM387/BV387</f>
        <v>0</v>
      </c>
      <c r="CB387" s="60" t="n">
        <f aca="false">BN387/BV387</f>
        <v>0</v>
      </c>
      <c r="CC387" s="60" t="n">
        <f aca="false">BO387/BV387</f>
        <v>0</v>
      </c>
      <c r="CD387" s="60" t="n">
        <f aca="false">BP387/BV387</f>
        <v>0</v>
      </c>
      <c r="CE387" s="60" t="n">
        <f aca="false">BQ387/BV387</f>
        <v>0</v>
      </c>
      <c r="CF387" s="60" t="n">
        <f aca="false">BR387/BV387</f>
        <v>0</v>
      </c>
      <c r="CG387" s="60" t="n">
        <f aca="false">BS387/BV387</f>
        <v>0</v>
      </c>
      <c r="CH387" s="60" t="n">
        <f aca="false">BT387/BV387</f>
        <v>0</v>
      </c>
      <c r="CI387" s="60" t="n">
        <f aca="false">BU387/BV387</f>
        <v>0</v>
      </c>
      <c r="CJ387" s="60" t="n">
        <f aca="false">N387*BJ387/BW387</f>
        <v>1</v>
      </c>
      <c r="CK387" s="60" t="n">
        <f aca="false">O387*BK387/BW387</f>
        <v>0</v>
      </c>
      <c r="CL387" s="60" t="n">
        <f aca="false">P387*BL387/BW387</f>
        <v>0</v>
      </c>
      <c r="CM387" s="60" t="n">
        <f aca="false">Q387*BM387/BW387</f>
        <v>0</v>
      </c>
      <c r="CN387" s="60" t="n">
        <f aca="false">R387*BN387/BW387</f>
        <v>0</v>
      </c>
      <c r="CO387" s="60" t="n">
        <f aca="false">S387*BO387/BW387</f>
        <v>0</v>
      </c>
      <c r="CP387" s="60" t="n">
        <f aca="false">T387*BP387/BW387</f>
        <v>0</v>
      </c>
      <c r="CQ387" s="60" t="n">
        <f aca="false">U387*BQ387/BW387</f>
        <v>0</v>
      </c>
      <c r="CR387" s="60" t="n">
        <f aca="false">V387*BR387/BW387</f>
        <v>0</v>
      </c>
      <c r="CS387" s="60" t="n">
        <f aca="false">W387*BS387/BW387</f>
        <v>0</v>
      </c>
      <c r="CT387" s="60" t="n">
        <f aca="false">X387*BT387/BW387</f>
        <v>0</v>
      </c>
      <c r="CU387" s="60" t="n">
        <f aca="false">Y387*BU387/BW387</f>
        <v>0</v>
      </c>
      <c r="CV387" s="60" t="n">
        <f aca="false">$E$28*SUMPRODUCT($E$31:$P$31,BX387:CI387,$E$28:$P$28)</f>
        <v>0.184416866619846</v>
      </c>
      <c r="CW387" s="60" t="n">
        <f aca="false">$F$28*SUMPRODUCT($E$32:$P$32,BX387:CI387,$E$28:$P$28)</f>
        <v>0</v>
      </c>
      <c r="CX387" s="60" t="n">
        <f aca="false">$G$28*SUMPRODUCT($E$33:$P$33,BX387:CI387,$E$28:$P$28)</f>
        <v>0</v>
      </c>
      <c r="CY387" s="60" t="n">
        <f aca="false">$H$28*SUMPRODUCT($E$34:$P$34,BX387:CI387,$E$28:$P$28)</f>
        <v>0</v>
      </c>
      <c r="CZ387" s="60" t="n">
        <f aca="false">$I$28*SUMPRODUCT($E$35:$P$35,BX387:CI387,$E$28:$P$28)</f>
        <v>0</v>
      </c>
      <c r="DA387" s="60" t="n">
        <f aca="false">$J$28*SUMPRODUCT($E$36:$P$36,BX387:CI387,$E$28:$P$28)</f>
        <v>0</v>
      </c>
      <c r="DB387" s="60" t="n">
        <f aca="false">$K$28*SUMPRODUCT($E$37:$P$37,BX387:CI387,$E$28:$P$28)</f>
        <v>0</v>
      </c>
      <c r="DC387" s="60" t="n">
        <f aca="false">$L$28*SUMPRODUCT($E$38:$P$38,BX387:CI387,$E$28:$P$28)</f>
        <v>0</v>
      </c>
      <c r="DD387" s="60" t="n">
        <f aca="false">$M$28*SUMPRODUCT($E$39:$P$39,BX387:CI387,$E$28:$P$28)</f>
        <v>0</v>
      </c>
      <c r="DE387" s="60" t="n">
        <f aca="false">$N$28*SUMPRODUCT($E$40:$P$40,BX387:CI387,$E$28:$P$28)</f>
        <v>0</v>
      </c>
      <c r="DF387" s="60" t="n">
        <f aca="false">$O$28*SUMPRODUCT($E$41:$P$41,BX387:CI387,$E$28:$P$28)</f>
        <v>0</v>
      </c>
      <c r="DG387" s="60" t="n">
        <f aca="false">$P$28*SUMPRODUCT($E$42:$P$42,BX387:CI387,$E$28:$P$28)</f>
        <v>0</v>
      </c>
      <c r="DH387" s="60" t="n">
        <f aca="false">SUMPRODUCT(BX387:CI387,CV387:DG387)</f>
        <v>0.184416866619846</v>
      </c>
      <c r="DI387" s="60" t="n">
        <f aca="false">SUMPRODUCT(BX387:CI387,$E$27:$P$27)</f>
        <v>2.67389635063809E-005</v>
      </c>
      <c r="DJ387" s="60" t="n">
        <f aca="false">DH387*$C$9/($C$10*$C$8)^2</f>
        <v>0.21776909410545</v>
      </c>
      <c r="DK387" s="60" t="n">
        <f aca="false">DI387*$C$9/($C$10*$C$8)</f>
        <v>0.0918845243259994</v>
      </c>
      <c r="DL387" s="60" t="n">
        <f aca="false">CHOOSE($C$7,-(1+DK387),-1,-(1-DK387))</f>
        <v>-0.908115475674001</v>
      </c>
      <c r="DM387" s="60" t="n">
        <f aca="false">CHOOSE($C$7,DJ387,DJ387-DK387-DK387^2,DJ387-3*DK387^2-2*DK387)</f>
        <v>0.00867174802160559</v>
      </c>
      <c r="DN387" s="60" t="n">
        <f aca="false">CHOOSE($C$7,-DJ387*DK387,-DJ387*DK387,-(DJ387*DK387-DK387^2-DK387^3))</f>
        <v>-0.0107910842936637</v>
      </c>
      <c r="DO387" s="60" t="n">
        <f aca="false">DM387-DL387^2/3</f>
        <v>-0.266219491031267</v>
      </c>
      <c r="DP387" s="60" t="n">
        <f aca="false">2*DL387^3/27-DL387*DM387/3+DN387</f>
        <v>-0.0636400988362784</v>
      </c>
      <c r="DQ387" s="60" t="n">
        <f aca="false">DP387^2/4+DO387^3/27</f>
        <v>0.000313710901361829</v>
      </c>
      <c r="DR387" s="60" t="n">
        <f aca="false">-DP387/2-IF(DP387&gt;=0,1,-1)*SQRT(MAX(DQ387,0))</f>
        <v>0.0495319352963236</v>
      </c>
      <c r="DS387" s="60" t="n">
        <f aca="false">SIGN(DR387)*ABS(DR387)^(1/3)</f>
        <v>0.367249967174439</v>
      </c>
      <c r="DT387" s="60" t="n">
        <f aca="false">IF(DS387=0,0,DS387-DO387/(3*DS387))</f>
        <v>0.60888329127384</v>
      </c>
      <c r="DU387" s="60" t="n">
        <f aca="false">2*SQRT(MAX(-DO387,0)/3)</f>
        <v>0.595784626668918</v>
      </c>
      <c r="DV387" s="60" t="n">
        <f aca="false">ACOS(IF(DU387=0,0,MAX(-1,MIN(1,3*DP387/(DO387*DU387)))))</f>
        <v>0</v>
      </c>
      <c r="DW387" s="60" t="n">
        <f aca="false">DU387*COS(DV387/3)</f>
        <v>0.595784626668918</v>
      </c>
      <c r="DX387" s="60" t="n">
        <f aca="false">IF(DQ387&lt;0,DW387,DT387)-DL387/3</f>
        <v>0.91158844983184</v>
      </c>
      <c r="DY387" s="60" t="n">
        <f aca="false">IFERROR((((DX387+DL387)*DX387+DM387)*DX387+DN387)/((3*DX387+2*DL387)*DX387+DM387),0)</f>
        <v>0</v>
      </c>
      <c r="DZ387" s="60" t="n">
        <f aca="false">IF(ABS(DY387)&lt;0.1*ABS(DX387),DX387-DY387,DX387)</f>
        <v>0.91158844983184</v>
      </c>
      <c r="EA387" s="60" t="n">
        <f aca="false">IFERROR((((DZ387+DL387)*DZ387+DM387)*DZ387+DN387)/((3*DZ387+2*DL387)*DZ387+DM387),0)</f>
        <v>0</v>
      </c>
      <c r="EB387" s="60" t="n">
        <f aca="false">IF(ABS(EA387)&lt;0.1*ABS(DZ387),DZ387-EA387,DZ387)</f>
        <v>0.91158844983184</v>
      </c>
      <c r="EC387" s="60" t="n">
        <f aca="false">-DN387/EB387</f>
        <v>0.0118376711504565</v>
      </c>
      <c r="ED387" s="60" t="n">
        <f aca="false">(DM387-EC387)/EB387</f>
        <v>-0.00347297415783941</v>
      </c>
      <c r="EE387" s="60" t="n">
        <f aca="false">ED387^2-4*EC387</f>
        <v>-0.0473386230523248</v>
      </c>
      <c r="EF387" s="60" t="n">
        <f aca="false">IF(EE387&gt;=0,(ED387+IF(ED387&gt;=0,1,-1)*SQRT(EE387))/2,0)</f>
        <v>0</v>
      </c>
      <c r="EG387" s="60" t="n">
        <f aca="false">IF(AND(EE387&gt;=0,EF387&lt;&gt;0),MIN(EF387,EC387/EF387),-1)</f>
        <v>-1</v>
      </c>
      <c r="EH387" s="60" t="n">
        <f aca="false">AND(EE387&gt;=0,EG387&gt;DK387,ABS(EB387-EG387)&gt;=0.00005*MAX(EB387,EG387))</f>
        <v>0</v>
      </c>
      <c r="EI387" s="60" t="n">
        <f aca="false">IF(EH387,IFERROR((((EG387+DL387)*EG387+DM387)*EG387+DN387)/((3*EG387+2*DL387)*EG387+DM387),0),0)</f>
        <v>0</v>
      </c>
      <c r="EJ387" s="60" t="n">
        <f aca="false">IF(ABS(EI387)&lt;0.1*ABS(EG387),EG387-EI387,EG387)</f>
        <v>-1</v>
      </c>
      <c r="EK387" s="60" t="n">
        <f aca="false">IF(EH387,IFERROR((((EJ387+DL387)*EJ387+DM387)*EJ387+DN387)/((3*EJ387+2*DL387)*EJ387+DM387),0),0)</f>
        <v>0</v>
      </c>
      <c r="EL387" s="60" t="n">
        <f aca="false">IF(ABS(EK387)&lt;0.1*ABS(EJ387),EJ387-EK387,EJ387)</f>
        <v>-1</v>
      </c>
      <c r="EM387" s="60" t="n">
        <f aca="false">IF(EH387,MAX(EB387,EL387),EB387)</f>
        <v>0.91158844983184</v>
      </c>
      <c r="EN387" s="60" t="n">
        <f aca="false">IF(EH387,MIN(EB387,EL387),-1)</f>
        <v>-1</v>
      </c>
      <c r="EO387" s="60" t="n">
        <f aca="false">CHOOSE($C$7,DJ387/EM387,DJ387/DK387*LN(1+DK387/EM387),DJ387/(2*SQRT(2)*DK387)*LN((EM387+(1+SQRT(2))*DK387)/(EM387+(1-SQRT(2))*DK387)))</f>
        <v>0.218240791233887</v>
      </c>
      <c r="EP387" s="60" t="n">
        <f aca="false">EM387-1-LN(EM387-DK387)-EO387</f>
        <v>-0.107840271021729</v>
      </c>
      <c r="EQ387" s="60" t="n">
        <f aca="false">IF(EH387,CHOOSE($C$7,DJ387/EN387,DJ387/DK387*LN(1+DK387/EN387),DJ387/(2*SQRT(2)*DK387)*LN((EN387+(1+SQRT(2))*DK387)/(EN387+(1-SQRT(2))*DK387))),0)</f>
        <v>0</v>
      </c>
      <c r="ER387" s="60" t="n">
        <f aca="false">IF(EH387,EN387-1-LN(EN387-DK387)-EQ387,0)</f>
        <v>0</v>
      </c>
      <c r="ES387" s="60" t="n">
        <f aca="false">AND(EH387,ER387&lt;EP387)</f>
        <v>0</v>
      </c>
      <c r="ET387" s="60" t="n">
        <f aca="false">IF(ES387,EN387,EM387)</f>
        <v>0.91158844983184</v>
      </c>
      <c r="EU387" s="60" t="n">
        <f aca="false">IF(ES387,EQ387,EO387)</f>
        <v>0.218240791233887</v>
      </c>
      <c r="EV387" s="60" t="n">
        <f aca="false">LN(ET387-DK387)</f>
        <v>-0.198812070380318</v>
      </c>
      <c r="EW387" s="60" t="n">
        <f aca="false">$E$27/DI387*(ET387-1)-EV387-EU387*(2*CV387/DH387-$E$27/DI387)</f>
        <v>-0.107840271021729</v>
      </c>
      <c r="EX387" s="60" t="n">
        <f aca="false">$F$27/DI387*(ET387-1)-EV387-EU387*(2*CW387/DH387-$F$27/DI387)</f>
        <v>0.198812070380318</v>
      </c>
      <c r="EY387" s="60" t="n">
        <f aca="false">$G$27/DI387*(ET387-1)-EV387-EU387*(2*CX387/DH387-$G$27/DI387)</f>
        <v>0.198812070380318</v>
      </c>
      <c r="EZ387" s="60" t="n">
        <f aca="false">$H$27/DI387*(ET387-1)-EV387-EU387*(2*CY387/DH387-$H$27/DI387)</f>
        <v>0.198812070380318</v>
      </c>
      <c r="FA387" s="60" t="n">
        <f aca="false">$I$27/DI387*(ET387-1)-EV387-EU387*(2*CZ387/DH387-$I$27/DI387)</f>
        <v>0.198812070380318</v>
      </c>
      <c r="FB387" s="60" t="n">
        <f aca="false">$J$27/DI387*(ET387-1)-EV387-EU387*(2*DA387/DH387-$J$27/DI387)</f>
        <v>0.198812070380318</v>
      </c>
      <c r="FC387" s="60" t="n">
        <f aca="false">$K$27/DI387*(ET387-1)-EV387-EU387*(2*DB387/DH387-$K$27/DI387)</f>
        <v>0.198812070380318</v>
      </c>
      <c r="FD387" s="60" t="n">
        <f aca="false">$L$27/DI387*(ET387-1)-EV387-EU387*(2*DC387/DH387-$L$27/DI387)</f>
        <v>0.198812070380318</v>
      </c>
      <c r="FE387" s="60" t="n">
        <f aca="false">$M$27/DI387*(ET387-1)-EV387-EU387*(2*DD387/DH387-$M$27/DI387)</f>
        <v>0.198812070380318</v>
      </c>
      <c r="FF387" s="60" t="n">
        <f aca="false">$N$27/DI387*(ET387-1)-EV387-EU387*(2*DE387/DH387-$N$27/DI387)</f>
        <v>0.198812070380318</v>
      </c>
      <c r="FG387" s="60" t="n">
        <f aca="false">$O$27/DI387*(ET387-1)-EV387-EU387*(2*DF387/DH387-$O$27/DI387)</f>
        <v>0.198812070380318</v>
      </c>
      <c r="FH387" s="60" t="n">
        <f aca="false">$P$27/DI387*(ET387-1)-EV387-EU387*(2*DG387/DH387-$P$27/DI387)</f>
        <v>0.198812070380318</v>
      </c>
      <c r="FI387" s="60" t="n">
        <f aca="false">DK387/ET387&gt;$C$22</f>
        <v>0</v>
      </c>
      <c r="FJ387" s="60" t="n">
        <f aca="false">$E$28*SUMPRODUCT($E$31:$P$31,CJ387:CU387,$E$28:$P$28)</f>
        <v>0.184416866619846</v>
      </c>
      <c r="FK387" s="60" t="n">
        <f aca="false">$F$28*SUMPRODUCT($E$32:$P$32,CJ387:CU387,$E$28:$P$28)</f>
        <v>0</v>
      </c>
      <c r="FL387" s="60" t="n">
        <f aca="false">$G$28*SUMPRODUCT($E$33:$P$33,CJ387:CU387,$E$28:$P$28)</f>
        <v>0</v>
      </c>
      <c r="FM387" s="60" t="n">
        <f aca="false">$H$28*SUMPRODUCT($E$34:$P$34,CJ387:CU387,$E$28:$P$28)</f>
        <v>0</v>
      </c>
      <c r="FN387" s="60" t="n">
        <f aca="false">$I$28*SUMPRODUCT($E$35:$P$35,CJ387:CU387,$E$28:$P$28)</f>
        <v>0</v>
      </c>
      <c r="FO387" s="60" t="n">
        <f aca="false">$J$28*SUMPRODUCT($E$36:$P$36,CJ387:CU387,$E$28:$P$28)</f>
        <v>0</v>
      </c>
      <c r="FP387" s="60" t="n">
        <f aca="false">$K$28*SUMPRODUCT($E$37:$P$37,CJ387:CU387,$E$28:$P$28)</f>
        <v>0</v>
      </c>
      <c r="FQ387" s="60" t="n">
        <f aca="false">$L$28*SUMPRODUCT($E$38:$P$38,CJ387:CU387,$E$28:$P$28)</f>
        <v>0</v>
      </c>
      <c r="FR387" s="60" t="n">
        <f aca="false">$M$28*SUMPRODUCT($E$39:$P$39,CJ387:CU387,$E$28:$P$28)</f>
        <v>0</v>
      </c>
      <c r="FS387" s="60" t="n">
        <f aca="false">$N$28*SUMPRODUCT($E$40:$P$40,CJ387:CU387,$E$28:$P$28)</f>
        <v>0</v>
      </c>
      <c r="FT387" s="60" t="n">
        <f aca="false">$O$28*SUMPRODUCT($E$41:$P$41,CJ387:CU387,$E$28:$P$28)</f>
        <v>0</v>
      </c>
      <c r="FU387" s="60" t="n">
        <f aca="false">$P$28*SUMPRODUCT($E$42:$P$42,CJ387:CU387,$E$28:$P$28)</f>
        <v>0</v>
      </c>
      <c r="FV387" s="60" t="n">
        <f aca="false">SUMPRODUCT(CJ387:CU387,FJ387:FU387)</f>
        <v>0.184416866619846</v>
      </c>
      <c r="FW387" s="60" t="n">
        <f aca="false">SUMPRODUCT(CJ387:CU387,$E$27:$P$27)</f>
        <v>2.67389635063809E-005</v>
      </c>
      <c r="FX387" s="60" t="n">
        <f aca="false">FV387*$C$9/($C$10*$C$8)^2</f>
        <v>0.21776909410545</v>
      </c>
      <c r="FY387" s="60" t="n">
        <f aca="false">FW387*$C$9/($C$10*$C$8)</f>
        <v>0.0918845243259994</v>
      </c>
      <c r="FZ387" s="60" t="n">
        <f aca="false">CHOOSE($C$7,-(1+FY387),-1,-(1-FY387))</f>
        <v>-0.908115475674001</v>
      </c>
      <c r="GA387" s="60" t="n">
        <f aca="false">CHOOSE($C$7,FX387,FX387-FY387-FY387^2,FX387-3*FY387^2-2*FY387)</f>
        <v>0.00867174802160559</v>
      </c>
      <c r="GB387" s="60" t="n">
        <f aca="false">CHOOSE($C$7,-FX387*FY387,-FX387*FY387,-(FX387*FY387-FY387^2-FY387^3))</f>
        <v>-0.0107910842936637</v>
      </c>
      <c r="GC387" s="60" t="n">
        <f aca="false">GA387-FZ387^2/3</f>
        <v>-0.266219491031267</v>
      </c>
      <c r="GD387" s="60" t="n">
        <f aca="false">2*FZ387^3/27-FZ387*GA387/3+GB387</f>
        <v>-0.0636400988362784</v>
      </c>
      <c r="GE387" s="60" t="n">
        <f aca="false">GD387^2/4+GC387^3/27</f>
        <v>0.000313710901361829</v>
      </c>
      <c r="GF387" s="60" t="n">
        <f aca="false">-GD387/2-IF(GD387&gt;=0,1,-1)*SQRT(MAX(GE387,0))</f>
        <v>0.0495319352963236</v>
      </c>
      <c r="GG387" s="60" t="n">
        <f aca="false">SIGN(GF387)*ABS(GF387)^(1/3)</f>
        <v>0.367249967174439</v>
      </c>
      <c r="GH387" s="60" t="n">
        <f aca="false">IF(GG387=0,0,GG387-GC387/(3*GG387))</f>
        <v>0.60888329127384</v>
      </c>
      <c r="GI387" s="60" t="n">
        <f aca="false">2*SQRT(MAX(-GC387,0)/3)</f>
        <v>0.595784626668918</v>
      </c>
      <c r="GJ387" s="60" t="n">
        <f aca="false">ACOS(IF(GI387=0,0,MAX(-1,MIN(1,3*GD387/(GC387*GI387)))))</f>
        <v>0</v>
      </c>
      <c r="GK387" s="60" t="n">
        <f aca="false">GI387*COS(GJ387/3)</f>
        <v>0.595784626668918</v>
      </c>
      <c r="GL387" s="60" t="n">
        <f aca="false">IF(GE387&lt;0,GK387,GH387)-FZ387/3</f>
        <v>0.91158844983184</v>
      </c>
      <c r="GM387" s="60" t="n">
        <f aca="false">IFERROR((((GL387+FZ387)*GL387+GA387)*GL387+GB387)/((3*GL387+2*FZ387)*GL387+GA387),0)</f>
        <v>0</v>
      </c>
      <c r="GN387" s="60" t="n">
        <f aca="false">IF(ABS(GM387)&lt;0.1*ABS(GL387),GL387-GM387,GL387)</f>
        <v>0.91158844983184</v>
      </c>
      <c r="GO387" s="60" t="n">
        <f aca="false">IFERROR((((GN387+FZ387)*GN387+GA387)*GN387+GB387)/((3*GN387+2*FZ387)*GN387+GA387),0)</f>
        <v>0</v>
      </c>
      <c r="GP387" s="60" t="n">
        <f aca="false">IF(ABS(GO387)&lt;0.1*ABS(GN387),GN387-GO387,GN387)</f>
        <v>0.91158844983184</v>
      </c>
      <c r="GQ387" s="60" t="n">
        <f aca="false">-GB387/GP387</f>
        <v>0.0118376711504565</v>
      </c>
      <c r="GR387" s="60" t="n">
        <f aca="false">(GA387-GQ387)/GP387</f>
        <v>-0.00347297415783941</v>
      </c>
      <c r="GS387" s="60" t="n">
        <f aca="false">GR387^2-4*GQ387</f>
        <v>-0.0473386230523248</v>
      </c>
      <c r="GT387" s="60" t="n">
        <f aca="false">IF(GS387&gt;=0,(GR387+IF(GR387&gt;=0,1,-1)*SQRT(GS387))/2,0)</f>
        <v>0</v>
      </c>
      <c r="GU387" s="60" t="n">
        <f aca="false">IF(AND(GS387&gt;=0,GT387&lt;&gt;0),MIN(GT387,GQ387/GT387),-1)</f>
        <v>-1</v>
      </c>
      <c r="GV387" s="60" t="n">
        <f aca="false">AND(GS387&gt;=0,GU387&gt;FY387,ABS(GP387-GU387)&gt;=0.00005*MAX(GP387,GU387))</f>
        <v>0</v>
      </c>
      <c r="GW387" s="60" t="n">
        <f aca="false">IF(GV387,IFERROR((((GU387+FZ387)*GU387+GA387)*GU387+GB387)/((3*GU387+2*FZ387)*GU387+GA387),0),0)</f>
        <v>0</v>
      </c>
      <c r="GX387" s="60" t="n">
        <f aca="false">IF(ABS(GW387)&lt;0.1*ABS(GU387),GU387-GW387,GU387)</f>
        <v>-1</v>
      </c>
      <c r="GY387" s="60" t="n">
        <f aca="false">IF(GV387,IFERROR((((GX387+FZ387)*GX387+GA387)*GX387+GB387)/((3*GX387+2*FZ387)*GX387+GA387),0),0)</f>
        <v>0</v>
      </c>
      <c r="GZ387" s="60" t="n">
        <f aca="false">IF(ABS(GY387)&lt;0.1*ABS(GX387),GX387-GY387,GX387)</f>
        <v>-1</v>
      </c>
      <c r="HA387" s="60" t="n">
        <f aca="false">IF(GV387,MAX(GP387,GZ387),GP387)</f>
        <v>0.91158844983184</v>
      </c>
      <c r="HB387" s="60" t="n">
        <f aca="false">IF(GV387,MIN(GP387,GZ387),-1)</f>
        <v>-1</v>
      </c>
      <c r="HC387" s="60" t="n">
        <f aca="false">CHOOSE($C$7,FX387/HA387,FX387/FY387*LN(1+FY387/HA387),FX387/(2*SQRT(2)*FY387)*LN((HA387+(1+SQRT(2))*FY387)/(HA387+(1-SQRT(2))*FY387)))</f>
        <v>0.218240791233887</v>
      </c>
      <c r="HD387" s="60" t="n">
        <f aca="false">HA387-1-LN(HA387-FY387)-HC387</f>
        <v>-0.107840271021729</v>
      </c>
      <c r="HE387" s="60" t="n">
        <f aca="false">IF(GV387,CHOOSE($C$7,FX387/HB387,FX387/FY387*LN(1+FY387/HB387),FX387/(2*SQRT(2)*FY387)*LN((HB387+(1+SQRT(2))*FY387)/(HB387+(1-SQRT(2))*FY387))),0)</f>
        <v>0</v>
      </c>
      <c r="HF387" s="60" t="n">
        <f aca="false">IF(GV387,HB387-1-LN(HB387-FY387)-HE387,0)</f>
        <v>0</v>
      </c>
      <c r="HG387" s="60" t="n">
        <f aca="false">AND(GV387,HF387&lt;HD387)</f>
        <v>0</v>
      </c>
      <c r="HH387" s="60" t="n">
        <f aca="false">IF(HG387,HB387,HA387)</f>
        <v>0.91158844983184</v>
      </c>
      <c r="HI387" s="60" t="n">
        <f aca="false">IF(HG387,HE387,HC387)</f>
        <v>0.218240791233887</v>
      </c>
      <c r="HJ387" s="60" t="n">
        <f aca="false">LN(HH387-FY387)</f>
        <v>-0.198812070380318</v>
      </c>
      <c r="HK387" s="60" t="n">
        <f aca="false">$E$27/FW387*(HH387-1)-HJ387-HI387*(2*FJ387/FV387-$E$27/FW387)</f>
        <v>-0.107840271021729</v>
      </c>
      <c r="HL387" s="60" t="n">
        <f aca="false">$F$27/FW387*(HH387-1)-HJ387-HI387*(2*FK387/FV387-$F$27/FW387)</f>
        <v>0.198812070380318</v>
      </c>
      <c r="HM387" s="60" t="n">
        <f aca="false">$G$27/FW387*(HH387-1)-HJ387-HI387*(2*FL387/FV387-$G$27/FW387)</f>
        <v>0.198812070380318</v>
      </c>
      <c r="HN387" s="60" t="n">
        <f aca="false">$H$27/FW387*(HH387-1)-HJ387-HI387*(2*FM387/FV387-$H$27/FW387)</f>
        <v>0.198812070380318</v>
      </c>
      <c r="HO387" s="60" t="n">
        <f aca="false">$I$27/FW387*(HH387-1)-HJ387-HI387*(2*FN387/FV387-$I$27/FW387)</f>
        <v>0.198812070380318</v>
      </c>
      <c r="HP387" s="60" t="n">
        <f aca="false">$J$27/FW387*(HH387-1)-HJ387-HI387*(2*FO387/FV387-$J$27/FW387)</f>
        <v>0.198812070380318</v>
      </c>
      <c r="HQ387" s="60" t="n">
        <f aca="false">$K$27/FW387*(HH387-1)-HJ387-HI387*(2*FP387/FV387-$K$27/FW387)</f>
        <v>0.198812070380318</v>
      </c>
      <c r="HR387" s="60" t="n">
        <f aca="false">$L$27/FW387*(HH387-1)-HJ387-HI387*(2*FQ387/FV387-$L$27/FW387)</f>
        <v>0.198812070380318</v>
      </c>
      <c r="HS387" s="60" t="n">
        <f aca="false">$M$27/FW387*(HH387-1)-HJ387-HI387*(2*FR387/FV387-$M$27/FW387)</f>
        <v>0.198812070380318</v>
      </c>
      <c r="HT387" s="60" t="n">
        <f aca="false">$N$27/FW387*(HH387-1)-HJ387-HI387*(2*FS387/FV387-$N$27/FW387)</f>
        <v>0.198812070380318</v>
      </c>
      <c r="HU387" s="60" t="n">
        <f aca="false">$O$27/FW387*(HH387-1)-HJ387-HI387*(2*FT387/FV387-$O$27/FW387)</f>
        <v>0.198812070380318</v>
      </c>
      <c r="HV387" s="60" t="n">
        <f aca="false">$P$27/FW387*(HH387-1)-HJ387-HI387*(2*FU387/FV387-$P$27/FW387)</f>
        <v>0.198812070380318</v>
      </c>
      <c r="HW387" s="60" t="n">
        <f aca="false">FY387/HH387&gt;$C$22</f>
        <v>0</v>
      </c>
      <c r="HX387" s="60" t="n">
        <f aca="false">IF($E$13&gt;0,MAX(-300,MIN(300,EW387-HK387)),0)</f>
        <v>0</v>
      </c>
      <c r="HY387" s="60" t="n">
        <f aca="false">IF($F$13&gt;0,MAX(-300,MIN(300,EX387-HL387)),0)</f>
        <v>0</v>
      </c>
      <c r="HZ387" s="60" t="n">
        <f aca="false">IF($G$13&gt;0,MAX(-300,MIN(300,EY387-HM387)),0)</f>
        <v>0</v>
      </c>
      <c r="IA387" s="60" t="n">
        <f aca="false">IF($H$13&gt;0,MAX(-300,MIN(300,EZ387-HN387)),0)</f>
        <v>0</v>
      </c>
      <c r="IB387" s="60" t="n">
        <f aca="false">IF($I$13&gt;0,MAX(-300,MIN(300,FA387-HO387)),0)</f>
        <v>0</v>
      </c>
      <c r="IC387" s="60" t="n">
        <f aca="false">IF($J$13&gt;0,MAX(-300,MIN(300,FB387-HP387)),0)</f>
        <v>0</v>
      </c>
      <c r="ID387" s="60" t="n">
        <f aca="false">IF($K$13&gt;0,MAX(-300,MIN(300,FC387-HQ387)),0)</f>
        <v>0</v>
      </c>
      <c r="IE387" s="60" t="n">
        <f aca="false">IF($L$13&gt;0,MAX(-300,MIN(300,FD387-HR387)),0)</f>
        <v>0</v>
      </c>
      <c r="IF387" s="60" t="n">
        <f aca="false">IF($M$13&gt;0,MAX(-300,MIN(300,FE387-HS387)),0)</f>
        <v>0</v>
      </c>
      <c r="IG387" s="60" t="n">
        <f aca="false">IF($N$13&gt;0,MAX(-300,MIN(300,FF387-HT387)),0)</f>
        <v>0</v>
      </c>
      <c r="IH387" s="60" t="n">
        <f aca="false">IF($O$13&gt;0,MAX(-300,MIN(300,FG387-HU387)),0)</f>
        <v>0</v>
      </c>
      <c r="II387" s="60" t="n">
        <f aca="false">IF($P$13&gt;0,MAX(-300,MIN(300,FH387-HV387)),0)</f>
        <v>0</v>
      </c>
      <c r="IJ387" s="60" t="n">
        <f aca="false">SUMXMY2(HX387:II387,B387:M387)</f>
        <v>0</v>
      </c>
      <c r="IK387" s="60" t="n">
        <f aca="false">SUMSQ(B387:M387)</f>
        <v>0</v>
      </c>
    </row>
    <row r="388" customFormat="false" ht="15" hidden="false" customHeight="false" outlineLevel="0" collapsed="false">
      <c r="A388" s="59" t="n">
        <v>27</v>
      </c>
      <c r="B388" s="60" t="n">
        <f aca="false">HX387</f>
        <v>0</v>
      </c>
      <c r="C388" s="60" t="n">
        <f aca="false">HY387</f>
        <v>0</v>
      </c>
      <c r="D388" s="60" t="n">
        <f aca="false">HZ387</f>
        <v>0</v>
      </c>
      <c r="E388" s="60" t="n">
        <f aca="false">IA387</f>
        <v>0</v>
      </c>
      <c r="F388" s="60" t="n">
        <f aca="false">IB387</f>
        <v>0</v>
      </c>
      <c r="G388" s="60" t="n">
        <f aca="false">IC387</f>
        <v>0</v>
      </c>
      <c r="H388" s="60" t="n">
        <f aca="false">ID387</f>
        <v>0</v>
      </c>
      <c r="I388" s="60" t="n">
        <f aca="false">IE387</f>
        <v>0</v>
      </c>
      <c r="J388" s="60" t="n">
        <f aca="false">IF387</f>
        <v>0</v>
      </c>
      <c r="K388" s="60" t="n">
        <f aca="false">IG387</f>
        <v>0</v>
      </c>
      <c r="L388" s="60" t="n">
        <f aca="false">IH387</f>
        <v>0</v>
      </c>
      <c r="M388" s="60" t="n">
        <f aca="false">II387</f>
        <v>0</v>
      </c>
      <c r="N388" s="60" t="n">
        <f aca="false">EXP(B388)</f>
        <v>1</v>
      </c>
      <c r="O388" s="60" t="n">
        <f aca="false">EXP(C388)</f>
        <v>1</v>
      </c>
      <c r="P388" s="60" t="n">
        <f aca="false">EXP(D388)</f>
        <v>1</v>
      </c>
      <c r="Q388" s="60" t="n">
        <f aca="false">EXP(E388)</f>
        <v>1</v>
      </c>
      <c r="R388" s="60" t="n">
        <f aca="false">EXP(F388)</f>
        <v>1</v>
      </c>
      <c r="S388" s="60" t="n">
        <f aca="false">EXP(G388)</f>
        <v>1</v>
      </c>
      <c r="T388" s="60" t="n">
        <f aca="false">EXP(H388)</f>
        <v>1</v>
      </c>
      <c r="U388" s="60" t="n">
        <f aca="false">EXP(I388)</f>
        <v>1</v>
      </c>
      <c r="V388" s="60" t="n">
        <f aca="false">EXP(J388)</f>
        <v>1</v>
      </c>
      <c r="W388" s="60" t="n">
        <f aca="false">EXP(K388)</f>
        <v>1</v>
      </c>
      <c r="X388" s="60" t="n">
        <f aca="false">EXP(L388)</f>
        <v>1</v>
      </c>
      <c r="Y388" s="60" t="n">
        <f aca="false">EXP(M388)</f>
        <v>1</v>
      </c>
      <c r="Z388" s="60" t="n">
        <f aca="false">MAX(N388:Y388)</f>
        <v>1</v>
      </c>
      <c r="AA388" s="60" t="n">
        <f aca="false">MIN(N388:Y388)</f>
        <v>1</v>
      </c>
      <c r="AB388" s="60" t="n">
        <f aca="false">AND(Z388&gt;1,AA388&lt;1)</f>
        <v>0</v>
      </c>
      <c r="AC388" s="60" t="n">
        <f aca="false">IF(AB388,1/(1-Z388),0)</f>
        <v>0</v>
      </c>
      <c r="AD388" s="60" t="n">
        <f aca="false">IF(AB388,1/(1-AA388),1)</f>
        <v>1</v>
      </c>
      <c r="AE388" s="60" t="n">
        <f aca="false">IF(AB388,MIN(MAX(BI387,AC388+0.000000001*(AD388-AC388)),AD388-0.000000001*(AD388-AC388)),IF(AA388&gt;=1,1,0))</f>
        <v>1</v>
      </c>
      <c r="AF388" s="60" t="n">
        <f aca="false">SUMPRODUCT($E$13:$P$13*(N388:Y388-1)/(1+AE388*(N388:Y388-1)))</f>
        <v>0</v>
      </c>
      <c r="AG388" s="60" t="n">
        <f aca="false">-SUMPRODUCT($E$13:$P$13*(N388:Y388-1)^2/(1+AE388*(N388:Y388-1))^2)</f>
        <v>-0</v>
      </c>
      <c r="AH388" s="60" t="n">
        <f aca="false">IF(OR(NOT(AB388),AG388=0),AE388,IF(AE388-AF388/AG388&lt;=AC388,(AE388+AC388)/2,IF(AE388-AF388/AG388&gt;=AD388,(AE388+AD388)/2,AE388-AF388/AG388)))</f>
        <v>1</v>
      </c>
      <c r="AI388" s="60" t="n">
        <f aca="false">SUMPRODUCT($E$13:$P$13*(N388:Y388-1)/(1+AH388*(N388:Y388-1)))</f>
        <v>0</v>
      </c>
      <c r="AJ388" s="60" t="n">
        <f aca="false">-SUMPRODUCT($E$13:$P$13*(N388:Y388-1)^2/(1+AH388*(N388:Y388-1))^2)</f>
        <v>-0</v>
      </c>
      <c r="AK388" s="60" t="n">
        <f aca="false">IF(OR(NOT(AB388),AJ388=0),AH388,IF(AH388-AI388/AJ388&lt;=AC388,(AH388+AC388)/2,IF(AH388-AI388/AJ388&gt;=AD388,(AH388+AD388)/2,AH388-AI388/AJ388)))</f>
        <v>1</v>
      </c>
      <c r="AL388" s="60" t="n">
        <f aca="false">SUMPRODUCT($E$13:$P$13*(N388:Y388-1)/(1+AK388*(N388:Y388-1)))</f>
        <v>0</v>
      </c>
      <c r="AM388" s="60" t="n">
        <f aca="false">-SUMPRODUCT($E$13:$P$13*(N388:Y388-1)^2/(1+AK388*(N388:Y388-1))^2)</f>
        <v>-0</v>
      </c>
      <c r="AN388" s="60" t="n">
        <f aca="false">IF(OR(NOT(AB388),AM388=0),AK388,IF(AK388-AL388/AM388&lt;=AC388,(AK388+AC388)/2,IF(AK388-AL388/AM388&gt;=AD388,(AK388+AD388)/2,AK388-AL388/AM388)))</f>
        <v>1</v>
      </c>
      <c r="AO388" s="60" t="n">
        <f aca="false">SUMPRODUCT($E$13:$P$13*(N388:Y388-1)/(1+AN388*(N388:Y388-1)))</f>
        <v>0</v>
      </c>
      <c r="AP388" s="60" t="n">
        <f aca="false">-SUMPRODUCT($E$13:$P$13*(N388:Y388-1)^2/(1+AN388*(N388:Y388-1))^2)</f>
        <v>-0</v>
      </c>
      <c r="AQ388" s="60" t="n">
        <f aca="false">IF(OR(NOT(AB388),AP388=0),AN388,IF(AN388-AO388/AP388&lt;=AC388,(AN388+AC388)/2,IF(AN388-AO388/AP388&gt;=AD388,(AN388+AD388)/2,AN388-AO388/AP388)))</f>
        <v>1</v>
      </c>
      <c r="AR388" s="60" t="n">
        <f aca="false">SUMPRODUCT($E$13:$P$13*(N388:Y388-1)/(1+AQ388*(N388:Y388-1)))</f>
        <v>0</v>
      </c>
      <c r="AS388" s="60" t="n">
        <f aca="false">-SUMPRODUCT($E$13:$P$13*(N388:Y388-1)^2/(1+AQ388*(N388:Y388-1))^2)</f>
        <v>-0</v>
      </c>
      <c r="AT388" s="60" t="n">
        <f aca="false">IF(OR(NOT(AB388),AS388=0),AQ388,IF(AQ388-AR388/AS388&lt;=AC388,(AQ388+AC388)/2,IF(AQ388-AR388/AS388&gt;=AD388,(AQ388+AD388)/2,AQ388-AR388/AS388)))</f>
        <v>1</v>
      </c>
      <c r="AU388" s="60" t="n">
        <f aca="false">SUMPRODUCT($E$13:$P$13*(N388:Y388-1)/(1+AT388*(N388:Y388-1)))</f>
        <v>0</v>
      </c>
      <c r="AV388" s="60" t="n">
        <f aca="false">-SUMPRODUCT($E$13:$P$13*(N388:Y388-1)^2/(1+AT388*(N388:Y388-1))^2)</f>
        <v>-0</v>
      </c>
      <c r="AW388" s="60" t="n">
        <f aca="false">IF(OR(NOT(AB388),AV388=0),AT388,IF(AT388-AU388/AV388&lt;=AC388,(AT388+AC388)/2,IF(AT388-AU388/AV388&gt;=AD388,(AT388+AD388)/2,AT388-AU388/AV388)))</f>
        <v>1</v>
      </c>
      <c r="AX388" s="60" t="n">
        <f aca="false">SUMPRODUCT($E$13:$P$13*(N388:Y388-1)/(1+AW388*(N388:Y388-1)))</f>
        <v>0</v>
      </c>
      <c r="AY388" s="60" t="n">
        <f aca="false">-SUMPRODUCT($E$13:$P$13*(N388:Y388-1)^2/(1+AW388*(N388:Y388-1))^2)</f>
        <v>-0</v>
      </c>
      <c r="AZ388" s="60" t="n">
        <f aca="false">IF(OR(NOT(AB388),AY388=0),AW388,IF(AW388-AX388/AY388&lt;=AC388,(AW388+AC388)/2,IF(AW388-AX388/AY388&gt;=AD388,(AW388+AD388)/2,AW388-AX388/AY388)))</f>
        <v>1</v>
      </c>
      <c r="BA388" s="60" t="n">
        <f aca="false">SUMPRODUCT($E$13:$P$13*(N388:Y388-1)/(1+AZ388*(N388:Y388-1)))</f>
        <v>0</v>
      </c>
      <c r="BB388" s="60" t="n">
        <f aca="false">-SUMPRODUCT($E$13:$P$13*(N388:Y388-1)^2/(1+AZ388*(N388:Y388-1))^2)</f>
        <v>-0</v>
      </c>
      <c r="BC388" s="60" t="n">
        <f aca="false">IF(OR(NOT(AB388),BB388=0),AZ388,IF(AZ388-BA388/BB388&lt;=AC388,(AZ388+AC388)/2,IF(AZ388-BA388/BB388&gt;=AD388,(AZ388+AD388)/2,AZ388-BA388/BB388)))</f>
        <v>1</v>
      </c>
      <c r="BD388" s="60" t="n">
        <f aca="false">SUMPRODUCT($E$13:$P$13*(N388:Y388-1)/(1+BC388*(N388:Y388-1)))</f>
        <v>0</v>
      </c>
      <c r="BE388" s="60" t="n">
        <f aca="false">-SUMPRODUCT($E$13:$P$13*(N388:Y388-1)^2/(1+BC388*(N388:Y388-1))^2)</f>
        <v>-0</v>
      </c>
      <c r="BF388" s="60" t="n">
        <f aca="false">IF(OR(NOT(AB388),BE388=0),BC388,IF(BC388-BD388/BE388&lt;=AC388,(BC388+AC388)/2,IF(BC388-BD388/BE388&gt;=AD388,(BC388+AD388)/2,BC388-BD388/BE388)))</f>
        <v>1</v>
      </c>
      <c r="BG388" s="60" t="n">
        <f aca="false">SUMPRODUCT($E$13:$P$13*(N388:Y388-1)/(1+BF388*(N388:Y388-1)))</f>
        <v>0</v>
      </c>
      <c r="BH388" s="60" t="n">
        <f aca="false">-SUMPRODUCT($E$13:$P$13*(N388:Y388-1)^2/(1+BF388*(N388:Y388-1))^2)</f>
        <v>-0</v>
      </c>
      <c r="BI388" s="60" t="n">
        <f aca="false">IF(OR(NOT(AB388),BH388=0),BF388,IF(BF388-BG388/BH388&lt;=AC388,(BF388+AC388)/2,IF(BF388-BG388/BH388&gt;=AD388,(BF388+AD388)/2,BF388-BG388/BH388)))</f>
        <v>1</v>
      </c>
      <c r="BJ388" s="60" t="n">
        <f aca="false">$E$13/(1+BI388*(N388-1))</f>
        <v>1</v>
      </c>
      <c r="BK388" s="60" t="n">
        <f aca="false">$F$13/(1+BI388*(O388-1))</f>
        <v>0</v>
      </c>
      <c r="BL388" s="60" t="n">
        <f aca="false">$G$13/(1+BI388*(P388-1))</f>
        <v>0</v>
      </c>
      <c r="BM388" s="60" t="n">
        <f aca="false">$H$13/(1+BI388*(Q388-1))</f>
        <v>0</v>
      </c>
      <c r="BN388" s="60" t="n">
        <f aca="false">$I$13/(1+BI388*(R388-1))</f>
        <v>0</v>
      </c>
      <c r="BO388" s="60" t="n">
        <f aca="false">$J$13/(1+BI388*(S388-1))</f>
        <v>0</v>
      </c>
      <c r="BP388" s="60" t="n">
        <f aca="false">$K$13/(1+BI388*(T388-1))</f>
        <v>0</v>
      </c>
      <c r="BQ388" s="60" t="n">
        <f aca="false">$L$13/(1+BI388*(U388-1))</f>
        <v>0</v>
      </c>
      <c r="BR388" s="60" t="n">
        <f aca="false">$M$13/(1+BI388*(V388-1))</f>
        <v>0</v>
      </c>
      <c r="BS388" s="60" t="n">
        <f aca="false">$N$13/(1+BI388*(W388-1))</f>
        <v>0</v>
      </c>
      <c r="BT388" s="60" t="n">
        <f aca="false">$O$13/(1+BI388*(X388-1))</f>
        <v>0</v>
      </c>
      <c r="BU388" s="60" t="n">
        <f aca="false">$P$13/(1+BI388*(Y388-1))</f>
        <v>0</v>
      </c>
      <c r="BV388" s="60" t="n">
        <f aca="false">SUM(BJ388:BU388)</f>
        <v>1</v>
      </c>
      <c r="BW388" s="60" t="n">
        <f aca="false">SUMPRODUCT(N388:Y388,BJ388:BU388)</f>
        <v>1</v>
      </c>
      <c r="BX388" s="60" t="n">
        <f aca="false">BJ388/BV388</f>
        <v>1</v>
      </c>
      <c r="BY388" s="60" t="n">
        <f aca="false">BK388/BV388</f>
        <v>0</v>
      </c>
      <c r="BZ388" s="60" t="n">
        <f aca="false">BL388/BV388</f>
        <v>0</v>
      </c>
      <c r="CA388" s="60" t="n">
        <f aca="false">BM388/BV388</f>
        <v>0</v>
      </c>
      <c r="CB388" s="60" t="n">
        <f aca="false">BN388/BV388</f>
        <v>0</v>
      </c>
      <c r="CC388" s="60" t="n">
        <f aca="false">BO388/BV388</f>
        <v>0</v>
      </c>
      <c r="CD388" s="60" t="n">
        <f aca="false">BP388/BV388</f>
        <v>0</v>
      </c>
      <c r="CE388" s="60" t="n">
        <f aca="false">BQ388/BV388</f>
        <v>0</v>
      </c>
      <c r="CF388" s="60" t="n">
        <f aca="false">BR388/BV388</f>
        <v>0</v>
      </c>
      <c r="CG388" s="60" t="n">
        <f aca="false">BS388/BV388</f>
        <v>0</v>
      </c>
      <c r="CH388" s="60" t="n">
        <f aca="false">BT388/BV388</f>
        <v>0</v>
      </c>
      <c r="CI388" s="60" t="n">
        <f aca="false">BU388/BV388</f>
        <v>0</v>
      </c>
      <c r="CJ388" s="60" t="n">
        <f aca="false">N388*BJ388/BW388</f>
        <v>1</v>
      </c>
      <c r="CK388" s="60" t="n">
        <f aca="false">O388*BK388/BW388</f>
        <v>0</v>
      </c>
      <c r="CL388" s="60" t="n">
        <f aca="false">P388*BL388/BW388</f>
        <v>0</v>
      </c>
      <c r="CM388" s="60" t="n">
        <f aca="false">Q388*BM388/BW388</f>
        <v>0</v>
      </c>
      <c r="CN388" s="60" t="n">
        <f aca="false">R388*BN388/BW388</f>
        <v>0</v>
      </c>
      <c r="CO388" s="60" t="n">
        <f aca="false">S388*BO388/BW388</f>
        <v>0</v>
      </c>
      <c r="CP388" s="60" t="n">
        <f aca="false">T388*BP388/BW388</f>
        <v>0</v>
      </c>
      <c r="CQ388" s="60" t="n">
        <f aca="false">U388*BQ388/BW388</f>
        <v>0</v>
      </c>
      <c r="CR388" s="60" t="n">
        <f aca="false">V388*BR388/BW388</f>
        <v>0</v>
      </c>
      <c r="CS388" s="60" t="n">
        <f aca="false">W388*BS388/BW388</f>
        <v>0</v>
      </c>
      <c r="CT388" s="60" t="n">
        <f aca="false">X388*BT388/BW388</f>
        <v>0</v>
      </c>
      <c r="CU388" s="60" t="n">
        <f aca="false">Y388*BU388/BW388</f>
        <v>0</v>
      </c>
      <c r="CV388" s="60" t="n">
        <f aca="false">$E$28*SUMPRODUCT($E$31:$P$31,BX388:CI388,$E$28:$P$28)</f>
        <v>0.184416866619846</v>
      </c>
      <c r="CW388" s="60" t="n">
        <f aca="false">$F$28*SUMPRODUCT($E$32:$P$32,BX388:CI388,$E$28:$P$28)</f>
        <v>0</v>
      </c>
      <c r="CX388" s="60" t="n">
        <f aca="false">$G$28*SUMPRODUCT($E$33:$P$33,BX388:CI388,$E$28:$P$28)</f>
        <v>0</v>
      </c>
      <c r="CY388" s="60" t="n">
        <f aca="false">$H$28*SUMPRODUCT($E$34:$P$34,BX388:CI388,$E$28:$P$28)</f>
        <v>0</v>
      </c>
      <c r="CZ388" s="60" t="n">
        <f aca="false">$I$28*SUMPRODUCT($E$35:$P$35,BX388:CI388,$E$28:$P$28)</f>
        <v>0</v>
      </c>
      <c r="DA388" s="60" t="n">
        <f aca="false">$J$28*SUMPRODUCT($E$36:$P$36,BX388:CI388,$E$28:$P$28)</f>
        <v>0</v>
      </c>
      <c r="DB388" s="60" t="n">
        <f aca="false">$K$28*SUMPRODUCT($E$37:$P$37,BX388:CI388,$E$28:$P$28)</f>
        <v>0</v>
      </c>
      <c r="DC388" s="60" t="n">
        <f aca="false">$L$28*SUMPRODUCT($E$38:$P$38,BX388:CI388,$E$28:$P$28)</f>
        <v>0</v>
      </c>
      <c r="DD388" s="60" t="n">
        <f aca="false">$M$28*SUMPRODUCT($E$39:$P$39,BX388:CI388,$E$28:$P$28)</f>
        <v>0</v>
      </c>
      <c r="DE388" s="60" t="n">
        <f aca="false">$N$28*SUMPRODUCT($E$40:$P$40,BX388:CI388,$E$28:$P$28)</f>
        <v>0</v>
      </c>
      <c r="DF388" s="60" t="n">
        <f aca="false">$O$28*SUMPRODUCT($E$41:$P$41,BX388:CI388,$E$28:$P$28)</f>
        <v>0</v>
      </c>
      <c r="DG388" s="60" t="n">
        <f aca="false">$P$28*SUMPRODUCT($E$42:$P$42,BX388:CI388,$E$28:$P$28)</f>
        <v>0</v>
      </c>
      <c r="DH388" s="60" t="n">
        <f aca="false">SUMPRODUCT(BX388:CI388,CV388:DG388)</f>
        <v>0.184416866619846</v>
      </c>
      <c r="DI388" s="60" t="n">
        <f aca="false">SUMPRODUCT(BX388:CI388,$E$27:$P$27)</f>
        <v>2.67389635063809E-005</v>
      </c>
      <c r="DJ388" s="60" t="n">
        <f aca="false">DH388*$C$9/($C$10*$C$8)^2</f>
        <v>0.21776909410545</v>
      </c>
      <c r="DK388" s="60" t="n">
        <f aca="false">DI388*$C$9/($C$10*$C$8)</f>
        <v>0.0918845243259994</v>
      </c>
      <c r="DL388" s="60" t="n">
        <f aca="false">CHOOSE($C$7,-(1+DK388),-1,-(1-DK388))</f>
        <v>-0.908115475674001</v>
      </c>
      <c r="DM388" s="60" t="n">
        <f aca="false">CHOOSE($C$7,DJ388,DJ388-DK388-DK388^2,DJ388-3*DK388^2-2*DK388)</f>
        <v>0.00867174802160559</v>
      </c>
      <c r="DN388" s="60" t="n">
        <f aca="false">CHOOSE($C$7,-DJ388*DK388,-DJ388*DK388,-(DJ388*DK388-DK388^2-DK388^3))</f>
        <v>-0.0107910842936637</v>
      </c>
      <c r="DO388" s="60" t="n">
        <f aca="false">DM388-DL388^2/3</f>
        <v>-0.266219491031267</v>
      </c>
      <c r="DP388" s="60" t="n">
        <f aca="false">2*DL388^3/27-DL388*DM388/3+DN388</f>
        <v>-0.0636400988362784</v>
      </c>
      <c r="DQ388" s="60" t="n">
        <f aca="false">DP388^2/4+DO388^3/27</f>
        <v>0.000313710901361829</v>
      </c>
      <c r="DR388" s="60" t="n">
        <f aca="false">-DP388/2-IF(DP388&gt;=0,1,-1)*SQRT(MAX(DQ388,0))</f>
        <v>0.0495319352963236</v>
      </c>
      <c r="DS388" s="60" t="n">
        <f aca="false">SIGN(DR388)*ABS(DR388)^(1/3)</f>
        <v>0.367249967174439</v>
      </c>
      <c r="DT388" s="60" t="n">
        <f aca="false">IF(DS388=0,0,DS388-DO388/(3*DS388))</f>
        <v>0.60888329127384</v>
      </c>
      <c r="DU388" s="60" t="n">
        <f aca="false">2*SQRT(MAX(-DO388,0)/3)</f>
        <v>0.595784626668918</v>
      </c>
      <c r="DV388" s="60" t="n">
        <f aca="false">ACOS(IF(DU388=0,0,MAX(-1,MIN(1,3*DP388/(DO388*DU388)))))</f>
        <v>0</v>
      </c>
      <c r="DW388" s="60" t="n">
        <f aca="false">DU388*COS(DV388/3)</f>
        <v>0.595784626668918</v>
      </c>
      <c r="DX388" s="60" t="n">
        <f aca="false">IF(DQ388&lt;0,DW388,DT388)-DL388/3</f>
        <v>0.91158844983184</v>
      </c>
      <c r="DY388" s="60" t="n">
        <f aca="false">IFERROR((((DX388+DL388)*DX388+DM388)*DX388+DN388)/((3*DX388+2*DL388)*DX388+DM388),0)</f>
        <v>0</v>
      </c>
      <c r="DZ388" s="60" t="n">
        <f aca="false">IF(ABS(DY388)&lt;0.1*ABS(DX388),DX388-DY388,DX388)</f>
        <v>0.91158844983184</v>
      </c>
      <c r="EA388" s="60" t="n">
        <f aca="false">IFERROR((((DZ388+DL388)*DZ388+DM388)*DZ388+DN388)/((3*DZ388+2*DL388)*DZ388+DM388),0)</f>
        <v>0</v>
      </c>
      <c r="EB388" s="60" t="n">
        <f aca="false">IF(ABS(EA388)&lt;0.1*ABS(DZ388),DZ388-EA388,DZ388)</f>
        <v>0.91158844983184</v>
      </c>
      <c r="EC388" s="60" t="n">
        <f aca="false">-DN388/EB388</f>
        <v>0.0118376711504565</v>
      </c>
      <c r="ED388" s="60" t="n">
        <f aca="false">(DM388-EC388)/EB388</f>
        <v>-0.00347297415783941</v>
      </c>
      <c r="EE388" s="60" t="n">
        <f aca="false">ED388^2-4*EC388</f>
        <v>-0.0473386230523248</v>
      </c>
      <c r="EF388" s="60" t="n">
        <f aca="false">IF(EE388&gt;=0,(ED388+IF(ED388&gt;=0,1,-1)*SQRT(EE388))/2,0)</f>
        <v>0</v>
      </c>
      <c r="EG388" s="60" t="n">
        <f aca="false">IF(AND(EE388&gt;=0,EF388&lt;&gt;0),MIN(EF388,EC388/EF388),-1)</f>
        <v>-1</v>
      </c>
      <c r="EH388" s="60" t="n">
        <f aca="false">AND(EE388&gt;=0,EG388&gt;DK388,ABS(EB388-EG388)&gt;=0.00005*MAX(EB388,EG388))</f>
        <v>0</v>
      </c>
      <c r="EI388" s="60" t="n">
        <f aca="false">IF(EH388,IFERROR((((EG388+DL388)*EG388+DM388)*EG388+DN388)/((3*EG388+2*DL388)*EG388+DM388),0),0)</f>
        <v>0</v>
      </c>
      <c r="EJ388" s="60" t="n">
        <f aca="false">IF(ABS(EI388)&lt;0.1*ABS(EG388),EG388-EI388,EG388)</f>
        <v>-1</v>
      </c>
      <c r="EK388" s="60" t="n">
        <f aca="false">IF(EH388,IFERROR((((EJ388+DL388)*EJ388+DM388)*EJ388+DN388)/((3*EJ388+2*DL388)*EJ388+DM388),0),0)</f>
        <v>0</v>
      </c>
      <c r="EL388" s="60" t="n">
        <f aca="false">IF(ABS(EK388)&lt;0.1*ABS(EJ388),EJ388-EK388,EJ388)</f>
        <v>-1</v>
      </c>
      <c r="EM388" s="60" t="n">
        <f aca="false">IF(EH388,MAX(EB388,EL388),EB388)</f>
        <v>0.91158844983184</v>
      </c>
      <c r="EN388" s="60" t="n">
        <f aca="false">IF(EH388,MIN(EB388,EL388),-1)</f>
        <v>-1</v>
      </c>
      <c r="EO388" s="60" t="n">
        <f aca="false">CHOOSE($C$7,DJ388/EM388,DJ388/DK388*LN(1+DK388/EM388),DJ388/(2*SQRT(2)*DK388)*LN((EM388+(1+SQRT(2))*DK388)/(EM388+(1-SQRT(2))*DK388)))</f>
        <v>0.218240791233887</v>
      </c>
      <c r="EP388" s="60" t="n">
        <f aca="false">EM388-1-LN(EM388-DK388)-EO388</f>
        <v>-0.107840271021729</v>
      </c>
      <c r="EQ388" s="60" t="n">
        <f aca="false">IF(EH388,CHOOSE($C$7,DJ388/EN388,DJ388/DK388*LN(1+DK388/EN388),DJ388/(2*SQRT(2)*DK388)*LN((EN388+(1+SQRT(2))*DK388)/(EN388+(1-SQRT(2))*DK388))),0)</f>
        <v>0</v>
      </c>
      <c r="ER388" s="60" t="n">
        <f aca="false">IF(EH388,EN388-1-LN(EN388-DK388)-EQ388,0)</f>
        <v>0</v>
      </c>
      <c r="ES388" s="60" t="n">
        <f aca="false">AND(EH388,ER388&lt;EP388)</f>
        <v>0</v>
      </c>
      <c r="ET388" s="60" t="n">
        <f aca="false">IF(ES388,EN388,EM388)</f>
        <v>0.91158844983184</v>
      </c>
      <c r="EU388" s="60" t="n">
        <f aca="false">IF(ES388,EQ388,EO388)</f>
        <v>0.218240791233887</v>
      </c>
      <c r="EV388" s="60" t="n">
        <f aca="false">LN(ET388-DK388)</f>
        <v>-0.198812070380318</v>
      </c>
      <c r="EW388" s="60" t="n">
        <f aca="false">$E$27/DI388*(ET388-1)-EV388-EU388*(2*CV388/DH388-$E$27/DI388)</f>
        <v>-0.107840271021729</v>
      </c>
      <c r="EX388" s="60" t="n">
        <f aca="false">$F$27/DI388*(ET388-1)-EV388-EU388*(2*CW388/DH388-$F$27/DI388)</f>
        <v>0.198812070380318</v>
      </c>
      <c r="EY388" s="60" t="n">
        <f aca="false">$G$27/DI388*(ET388-1)-EV388-EU388*(2*CX388/DH388-$G$27/DI388)</f>
        <v>0.198812070380318</v>
      </c>
      <c r="EZ388" s="60" t="n">
        <f aca="false">$H$27/DI388*(ET388-1)-EV388-EU388*(2*CY388/DH388-$H$27/DI388)</f>
        <v>0.198812070380318</v>
      </c>
      <c r="FA388" s="60" t="n">
        <f aca="false">$I$27/DI388*(ET388-1)-EV388-EU388*(2*CZ388/DH388-$I$27/DI388)</f>
        <v>0.198812070380318</v>
      </c>
      <c r="FB388" s="60" t="n">
        <f aca="false">$J$27/DI388*(ET388-1)-EV388-EU388*(2*DA388/DH388-$J$27/DI388)</f>
        <v>0.198812070380318</v>
      </c>
      <c r="FC388" s="60" t="n">
        <f aca="false">$K$27/DI388*(ET388-1)-EV388-EU388*(2*DB388/DH388-$K$27/DI388)</f>
        <v>0.198812070380318</v>
      </c>
      <c r="FD388" s="60" t="n">
        <f aca="false">$L$27/DI388*(ET388-1)-EV388-EU388*(2*DC388/DH388-$L$27/DI388)</f>
        <v>0.198812070380318</v>
      </c>
      <c r="FE388" s="60" t="n">
        <f aca="false">$M$27/DI388*(ET388-1)-EV388-EU388*(2*DD388/DH388-$M$27/DI388)</f>
        <v>0.198812070380318</v>
      </c>
      <c r="FF388" s="60" t="n">
        <f aca="false">$N$27/DI388*(ET388-1)-EV388-EU388*(2*DE388/DH388-$N$27/DI388)</f>
        <v>0.198812070380318</v>
      </c>
      <c r="FG388" s="60" t="n">
        <f aca="false">$O$27/DI388*(ET388-1)-EV388-EU388*(2*DF388/DH388-$O$27/DI388)</f>
        <v>0.198812070380318</v>
      </c>
      <c r="FH388" s="60" t="n">
        <f aca="false">$P$27/DI388*(ET388-1)-EV388-EU388*(2*DG388/DH388-$P$27/DI388)</f>
        <v>0.198812070380318</v>
      </c>
      <c r="FI388" s="60" t="n">
        <f aca="false">DK388/ET388&gt;$C$22</f>
        <v>0</v>
      </c>
      <c r="FJ388" s="60" t="n">
        <f aca="false">$E$28*SUMPRODUCT($E$31:$P$31,CJ388:CU388,$E$28:$P$28)</f>
        <v>0.184416866619846</v>
      </c>
      <c r="FK388" s="60" t="n">
        <f aca="false">$F$28*SUMPRODUCT($E$32:$P$32,CJ388:CU388,$E$28:$P$28)</f>
        <v>0</v>
      </c>
      <c r="FL388" s="60" t="n">
        <f aca="false">$G$28*SUMPRODUCT($E$33:$P$33,CJ388:CU388,$E$28:$P$28)</f>
        <v>0</v>
      </c>
      <c r="FM388" s="60" t="n">
        <f aca="false">$H$28*SUMPRODUCT($E$34:$P$34,CJ388:CU388,$E$28:$P$28)</f>
        <v>0</v>
      </c>
      <c r="FN388" s="60" t="n">
        <f aca="false">$I$28*SUMPRODUCT($E$35:$P$35,CJ388:CU388,$E$28:$P$28)</f>
        <v>0</v>
      </c>
      <c r="FO388" s="60" t="n">
        <f aca="false">$J$28*SUMPRODUCT($E$36:$P$36,CJ388:CU388,$E$28:$P$28)</f>
        <v>0</v>
      </c>
      <c r="FP388" s="60" t="n">
        <f aca="false">$K$28*SUMPRODUCT($E$37:$P$37,CJ388:CU388,$E$28:$P$28)</f>
        <v>0</v>
      </c>
      <c r="FQ388" s="60" t="n">
        <f aca="false">$L$28*SUMPRODUCT($E$38:$P$38,CJ388:CU388,$E$28:$P$28)</f>
        <v>0</v>
      </c>
      <c r="FR388" s="60" t="n">
        <f aca="false">$M$28*SUMPRODUCT($E$39:$P$39,CJ388:CU388,$E$28:$P$28)</f>
        <v>0</v>
      </c>
      <c r="FS388" s="60" t="n">
        <f aca="false">$N$28*SUMPRODUCT($E$40:$P$40,CJ388:CU388,$E$28:$P$28)</f>
        <v>0</v>
      </c>
      <c r="FT388" s="60" t="n">
        <f aca="false">$O$28*SUMPRODUCT($E$41:$P$41,CJ388:CU388,$E$28:$P$28)</f>
        <v>0</v>
      </c>
      <c r="FU388" s="60" t="n">
        <f aca="false">$P$28*SUMPRODUCT($E$42:$P$42,CJ388:CU388,$E$28:$P$28)</f>
        <v>0</v>
      </c>
      <c r="FV388" s="60" t="n">
        <f aca="false">SUMPRODUCT(CJ388:CU388,FJ388:FU388)</f>
        <v>0.184416866619846</v>
      </c>
      <c r="FW388" s="60" t="n">
        <f aca="false">SUMPRODUCT(CJ388:CU388,$E$27:$P$27)</f>
        <v>2.67389635063809E-005</v>
      </c>
      <c r="FX388" s="60" t="n">
        <f aca="false">FV388*$C$9/($C$10*$C$8)^2</f>
        <v>0.21776909410545</v>
      </c>
      <c r="FY388" s="60" t="n">
        <f aca="false">FW388*$C$9/($C$10*$C$8)</f>
        <v>0.0918845243259994</v>
      </c>
      <c r="FZ388" s="60" t="n">
        <f aca="false">CHOOSE($C$7,-(1+FY388),-1,-(1-FY388))</f>
        <v>-0.908115475674001</v>
      </c>
      <c r="GA388" s="60" t="n">
        <f aca="false">CHOOSE($C$7,FX388,FX388-FY388-FY388^2,FX388-3*FY388^2-2*FY388)</f>
        <v>0.00867174802160559</v>
      </c>
      <c r="GB388" s="60" t="n">
        <f aca="false">CHOOSE($C$7,-FX388*FY388,-FX388*FY388,-(FX388*FY388-FY388^2-FY388^3))</f>
        <v>-0.0107910842936637</v>
      </c>
      <c r="GC388" s="60" t="n">
        <f aca="false">GA388-FZ388^2/3</f>
        <v>-0.266219491031267</v>
      </c>
      <c r="GD388" s="60" t="n">
        <f aca="false">2*FZ388^3/27-FZ388*GA388/3+GB388</f>
        <v>-0.0636400988362784</v>
      </c>
      <c r="GE388" s="60" t="n">
        <f aca="false">GD388^2/4+GC388^3/27</f>
        <v>0.000313710901361829</v>
      </c>
      <c r="GF388" s="60" t="n">
        <f aca="false">-GD388/2-IF(GD388&gt;=0,1,-1)*SQRT(MAX(GE388,0))</f>
        <v>0.0495319352963236</v>
      </c>
      <c r="GG388" s="60" t="n">
        <f aca="false">SIGN(GF388)*ABS(GF388)^(1/3)</f>
        <v>0.367249967174439</v>
      </c>
      <c r="GH388" s="60" t="n">
        <f aca="false">IF(GG388=0,0,GG388-GC388/(3*GG388))</f>
        <v>0.60888329127384</v>
      </c>
      <c r="GI388" s="60" t="n">
        <f aca="false">2*SQRT(MAX(-GC388,0)/3)</f>
        <v>0.595784626668918</v>
      </c>
      <c r="GJ388" s="60" t="n">
        <f aca="false">ACOS(IF(GI388=0,0,MAX(-1,MIN(1,3*GD388/(GC388*GI388)))))</f>
        <v>0</v>
      </c>
      <c r="GK388" s="60" t="n">
        <f aca="false">GI388*COS(GJ388/3)</f>
        <v>0.595784626668918</v>
      </c>
      <c r="GL388" s="60" t="n">
        <f aca="false">IF(GE388&lt;0,GK388,GH388)-FZ388/3</f>
        <v>0.91158844983184</v>
      </c>
      <c r="GM388" s="60" t="n">
        <f aca="false">IFERROR((((GL388+FZ388)*GL388+GA388)*GL388+GB388)/((3*GL388+2*FZ388)*GL388+GA388),0)</f>
        <v>0</v>
      </c>
      <c r="GN388" s="60" t="n">
        <f aca="false">IF(ABS(GM388)&lt;0.1*ABS(GL388),GL388-GM388,GL388)</f>
        <v>0.91158844983184</v>
      </c>
      <c r="GO388" s="60" t="n">
        <f aca="false">IFERROR((((GN388+FZ388)*GN388+GA388)*GN388+GB388)/((3*GN388+2*FZ388)*GN388+GA388),0)</f>
        <v>0</v>
      </c>
      <c r="GP388" s="60" t="n">
        <f aca="false">IF(ABS(GO388)&lt;0.1*ABS(GN388),GN388-GO388,GN388)</f>
        <v>0.91158844983184</v>
      </c>
      <c r="GQ388" s="60" t="n">
        <f aca="false">-GB388/GP388</f>
        <v>0.0118376711504565</v>
      </c>
      <c r="GR388" s="60" t="n">
        <f aca="false">(GA388-GQ388)/GP388</f>
        <v>-0.00347297415783941</v>
      </c>
      <c r="GS388" s="60" t="n">
        <f aca="false">GR388^2-4*GQ388</f>
        <v>-0.0473386230523248</v>
      </c>
      <c r="GT388" s="60" t="n">
        <f aca="false">IF(GS388&gt;=0,(GR388+IF(GR388&gt;=0,1,-1)*SQRT(GS388))/2,0)</f>
        <v>0</v>
      </c>
      <c r="GU388" s="60" t="n">
        <f aca="false">IF(AND(GS388&gt;=0,GT388&lt;&gt;0),MIN(GT388,GQ388/GT388),-1)</f>
        <v>-1</v>
      </c>
      <c r="GV388" s="60" t="n">
        <f aca="false">AND(GS388&gt;=0,GU388&gt;FY388,ABS(GP388-GU388)&gt;=0.00005*MAX(GP388,GU388))</f>
        <v>0</v>
      </c>
      <c r="GW388" s="60" t="n">
        <f aca="false">IF(GV388,IFERROR((((GU388+FZ388)*GU388+GA388)*GU388+GB388)/((3*GU388+2*FZ388)*GU388+GA388),0),0)</f>
        <v>0</v>
      </c>
      <c r="GX388" s="60" t="n">
        <f aca="false">IF(ABS(GW388)&lt;0.1*ABS(GU388),GU388-GW388,GU388)</f>
        <v>-1</v>
      </c>
      <c r="GY388" s="60" t="n">
        <f aca="false">IF(GV388,IFERROR((((GX388+FZ388)*GX388+GA388)*GX388+GB388)/((3*GX388+2*FZ388)*GX388+GA388),0),0)</f>
        <v>0</v>
      </c>
      <c r="GZ388" s="60" t="n">
        <f aca="false">IF(ABS(GY388)&lt;0.1*ABS(GX388),GX388-GY388,GX388)</f>
        <v>-1</v>
      </c>
      <c r="HA388" s="60" t="n">
        <f aca="false">IF(GV388,MAX(GP388,GZ388),GP388)</f>
        <v>0.91158844983184</v>
      </c>
      <c r="HB388" s="60" t="n">
        <f aca="false">IF(GV388,MIN(GP388,GZ388),-1)</f>
        <v>-1</v>
      </c>
      <c r="HC388" s="60" t="n">
        <f aca="false">CHOOSE($C$7,FX388/HA388,FX388/FY388*LN(1+FY388/HA388),FX388/(2*SQRT(2)*FY388)*LN((HA388+(1+SQRT(2))*FY388)/(HA388+(1-SQRT(2))*FY388)))</f>
        <v>0.218240791233887</v>
      </c>
      <c r="HD388" s="60" t="n">
        <f aca="false">HA388-1-LN(HA388-FY388)-HC388</f>
        <v>-0.107840271021729</v>
      </c>
      <c r="HE388" s="60" t="n">
        <f aca="false">IF(GV388,CHOOSE($C$7,FX388/HB388,FX388/FY388*LN(1+FY388/HB388),FX388/(2*SQRT(2)*FY388)*LN((HB388+(1+SQRT(2))*FY388)/(HB388+(1-SQRT(2))*FY388))),0)</f>
        <v>0</v>
      </c>
      <c r="HF388" s="60" t="n">
        <f aca="false">IF(GV388,HB388-1-LN(HB388-FY388)-HE388,0)</f>
        <v>0</v>
      </c>
      <c r="HG388" s="60" t="n">
        <f aca="false">AND(GV388,HF388&lt;HD388)</f>
        <v>0</v>
      </c>
      <c r="HH388" s="60" t="n">
        <f aca="false">IF(HG388,HB388,HA388)</f>
        <v>0.91158844983184</v>
      </c>
      <c r="HI388" s="60" t="n">
        <f aca="false">IF(HG388,HE388,HC388)</f>
        <v>0.218240791233887</v>
      </c>
      <c r="HJ388" s="60" t="n">
        <f aca="false">LN(HH388-FY388)</f>
        <v>-0.198812070380318</v>
      </c>
      <c r="HK388" s="60" t="n">
        <f aca="false">$E$27/FW388*(HH388-1)-HJ388-HI388*(2*FJ388/FV388-$E$27/FW388)</f>
        <v>-0.107840271021729</v>
      </c>
      <c r="HL388" s="60" t="n">
        <f aca="false">$F$27/FW388*(HH388-1)-HJ388-HI388*(2*FK388/FV388-$F$27/FW388)</f>
        <v>0.198812070380318</v>
      </c>
      <c r="HM388" s="60" t="n">
        <f aca="false">$G$27/FW388*(HH388-1)-HJ388-HI388*(2*FL388/FV388-$G$27/FW388)</f>
        <v>0.198812070380318</v>
      </c>
      <c r="HN388" s="60" t="n">
        <f aca="false">$H$27/FW388*(HH388-1)-HJ388-HI388*(2*FM388/FV388-$H$27/FW388)</f>
        <v>0.198812070380318</v>
      </c>
      <c r="HO388" s="60" t="n">
        <f aca="false">$I$27/FW388*(HH388-1)-HJ388-HI388*(2*FN388/FV388-$I$27/FW388)</f>
        <v>0.198812070380318</v>
      </c>
      <c r="HP388" s="60" t="n">
        <f aca="false">$J$27/FW388*(HH388-1)-HJ388-HI388*(2*FO388/FV388-$J$27/FW388)</f>
        <v>0.198812070380318</v>
      </c>
      <c r="HQ388" s="60" t="n">
        <f aca="false">$K$27/FW388*(HH388-1)-HJ388-HI388*(2*FP388/FV388-$K$27/FW388)</f>
        <v>0.198812070380318</v>
      </c>
      <c r="HR388" s="60" t="n">
        <f aca="false">$L$27/FW388*(HH388-1)-HJ388-HI388*(2*FQ388/FV388-$L$27/FW388)</f>
        <v>0.198812070380318</v>
      </c>
      <c r="HS388" s="60" t="n">
        <f aca="false">$M$27/FW388*(HH388-1)-HJ388-HI388*(2*FR388/FV388-$M$27/FW388)</f>
        <v>0.198812070380318</v>
      </c>
      <c r="HT388" s="60" t="n">
        <f aca="false">$N$27/FW388*(HH388-1)-HJ388-HI388*(2*FS388/FV388-$N$27/FW388)</f>
        <v>0.198812070380318</v>
      </c>
      <c r="HU388" s="60" t="n">
        <f aca="false">$O$27/FW388*(HH388-1)-HJ388-HI388*(2*FT388/FV388-$O$27/FW388)</f>
        <v>0.198812070380318</v>
      </c>
      <c r="HV388" s="60" t="n">
        <f aca="false">$P$27/FW388*(HH388-1)-HJ388-HI388*(2*FU388/FV388-$P$27/FW388)</f>
        <v>0.198812070380318</v>
      </c>
      <c r="HW388" s="60" t="n">
        <f aca="false">FY388/HH388&gt;$C$22</f>
        <v>0</v>
      </c>
      <c r="HX388" s="60" t="n">
        <f aca="false">IF($E$13&gt;0,MAX(-300,MIN(300,EW388-HK388)),0)</f>
        <v>0</v>
      </c>
      <c r="HY388" s="60" t="n">
        <f aca="false">IF($F$13&gt;0,MAX(-300,MIN(300,EX388-HL388)),0)</f>
        <v>0</v>
      </c>
      <c r="HZ388" s="60" t="n">
        <f aca="false">IF($G$13&gt;0,MAX(-300,MIN(300,EY388-HM388)),0)</f>
        <v>0</v>
      </c>
      <c r="IA388" s="60" t="n">
        <f aca="false">IF($H$13&gt;0,MAX(-300,MIN(300,EZ388-HN388)),0)</f>
        <v>0</v>
      </c>
      <c r="IB388" s="60" t="n">
        <f aca="false">IF($I$13&gt;0,MAX(-300,MIN(300,FA388-HO388)),0)</f>
        <v>0</v>
      </c>
      <c r="IC388" s="60" t="n">
        <f aca="false">IF($J$13&gt;0,MAX(-300,MIN(300,FB388-HP388)),0)</f>
        <v>0</v>
      </c>
      <c r="ID388" s="60" t="n">
        <f aca="false">IF($K$13&gt;0,MAX(-300,MIN(300,FC388-HQ388)),0)</f>
        <v>0</v>
      </c>
      <c r="IE388" s="60" t="n">
        <f aca="false">IF($L$13&gt;0,MAX(-300,MIN(300,FD388-HR388)),0)</f>
        <v>0</v>
      </c>
      <c r="IF388" s="60" t="n">
        <f aca="false">IF($M$13&gt;0,MAX(-300,MIN(300,FE388-HS388)),0)</f>
        <v>0</v>
      </c>
      <c r="IG388" s="60" t="n">
        <f aca="false">IF($N$13&gt;0,MAX(-300,MIN(300,FF388-HT388)),0)</f>
        <v>0</v>
      </c>
      <c r="IH388" s="60" t="n">
        <f aca="false">IF($O$13&gt;0,MAX(-300,MIN(300,FG388-HU388)),0)</f>
        <v>0</v>
      </c>
      <c r="II388" s="60" t="n">
        <f aca="false">IF($P$13&gt;0,MAX(-300,MIN(300,FH388-HV388)),0)</f>
        <v>0</v>
      </c>
      <c r="IJ388" s="60" t="n">
        <f aca="false">SUMXMY2(HX388:II388,B388:M388)</f>
        <v>0</v>
      </c>
      <c r="IK388" s="60" t="n">
        <f aca="false">SUMSQ(B388:M388)</f>
        <v>0</v>
      </c>
    </row>
    <row r="389" customFormat="false" ht="15" hidden="false" customHeight="false" outlineLevel="0" collapsed="false">
      <c r="A389" s="59" t="n">
        <v>28</v>
      </c>
      <c r="B389" s="60" t="n">
        <f aca="false">HX388</f>
        <v>0</v>
      </c>
      <c r="C389" s="60" t="n">
        <f aca="false">HY388</f>
        <v>0</v>
      </c>
      <c r="D389" s="60" t="n">
        <f aca="false">HZ388</f>
        <v>0</v>
      </c>
      <c r="E389" s="60" t="n">
        <f aca="false">IA388</f>
        <v>0</v>
      </c>
      <c r="F389" s="60" t="n">
        <f aca="false">IB388</f>
        <v>0</v>
      </c>
      <c r="G389" s="60" t="n">
        <f aca="false">IC388</f>
        <v>0</v>
      </c>
      <c r="H389" s="60" t="n">
        <f aca="false">ID388</f>
        <v>0</v>
      </c>
      <c r="I389" s="60" t="n">
        <f aca="false">IE388</f>
        <v>0</v>
      </c>
      <c r="J389" s="60" t="n">
        <f aca="false">IF388</f>
        <v>0</v>
      </c>
      <c r="K389" s="60" t="n">
        <f aca="false">IG388</f>
        <v>0</v>
      </c>
      <c r="L389" s="60" t="n">
        <f aca="false">IH388</f>
        <v>0</v>
      </c>
      <c r="M389" s="60" t="n">
        <f aca="false">II388</f>
        <v>0</v>
      </c>
      <c r="N389" s="60" t="n">
        <f aca="false">EXP(B389)</f>
        <v>1</v>
      </c>
      <c r="O389" s="60" t="n">
        <f aca="false">EXP(C389)</f>
        <v>1</v>
      </c>
      <c r="P389" s="60" t="n">
        <f aca="false">EXP(D389)</f>
        <v>1</v>
      </c>
      <c r="Q389" s="60" t="n">
        <f aca="false">EXP(E389)</f>
        <v>1</v>
      </c>
      <c r="R389" s="60" t="n">
        <f aca="false">EXP(F389)</f>
        <v>1</v>
      </c>
      <c r="S389" s="60" t="n">
        <f aca="false">EXP(G389)</f>
        <v>1</v>
      </c>
      <c r="T389" s="60" t="n">
        <f aca="false">EXP(H389)</f>
        <v>1</v>
      </c>
      <c r="U389" s="60" t="n">
        <f aca="false">EXP(I389)</f>
        <v>1</v>
      </c>
      <c r="V389" s="60" t="n">
        <f aca="false">EXP(J389)</f>
        <v>1</v>
      </c>
      <c r="W389" s="60" t="n">
        <f aca="false">EXP(K389)</f>
        <v>1</v>
      </c>
      <c r="X389" s="60" t="n">
        <f aca="false">EXP(L389)</f>
        <v>1</v>
      </c>
      <c r="Y389" s="60" t="n">
        <f aca="false">EXP(M389)</f>
        <v>1</v>
      </c>
      <c r="Z389" s="60" t="n">
        <f aca="false">MAX(N389:Y389)</f>
        <v>1</v>
      </c>
      <c r="AA389" s="60" t="n">
        <f aca="false">MIN(N389:Y389)</f>
        <v>1</v>
      </c>
      <c r="AB389" s="60" t="n">
        <f aca="false">AND(Z389&gt;1,AA389&lt;1)</f>
        <v>0</v>
      </c>
      <c r="AC389" s="60" t="n">
        <f aca="false">IF(AB389,1/(1-Z389),0)</f>
        <v>0</v>
      </c>
      <c r="AD389" s="60" t="n">
        <f aca="false">IF(AB389,1/(1-AA389),1)</f>
        <v>1</v>
      </c>
      <c r="AE389" s="60" t="n">
        <f aca="false">IF(AB389,MIN(MAX(BI388,AC389+0.000000001*(AD389-AC389)),AD389-0.000000001*(AD389-AC389)),IF(AA389&gt;=1,1,0))</f>
        <v>1</v>
      </c>
      <c r="AF389" s="60" t="n">
        <f aca="false">SUMPRODUCT($E$13:$P$13*(N389:Y389-1)/(1+AE389*(N389:Y389-1)))</f>
        <v>0</v>
      </c>
      <c r="AG389" s="60" t="n">
        <f aca="false">-SUMPRODUCT($E$13:$P$13*(N389:Y389-1)^2/(1+AE389*(N389:Y389-1))^2)</f>
        <v>-0</v>
      </c>
      <c r="AH389" s="60" t="n">
        <f aca="false">IF(OR(NOT(AB389),AG389=0),AE389,IF(AE389-AF389/AG389&lt;=AC389,(AE389+AC389)/2,IF(AE389-AF389/AG389&gt;=AD389,(AE389+AD389)/2,AE389-AF389/AG389)))</f>
        <v>1</v>
      </c>
      <c r="AI389" s="60" t="n">
        <f aca="false">SUMPRODUCT($E$13:$P$13*(N389:Y389-1)/(1+AH389*(N389:Y389-1)))</f>
        <v>0</v>
      </c>
      <c r="AJ389" s="60" t="n">
        <f aca="false">-SUMPRODUCT($E$13:$P$13*(N389:Y389-1)^2/(1+AH389*(N389:Y389-1))^2)</f>
        <v>-0</v>
      </c>
      <c r="AK389" s="60" t="n">
        <f aca="false">IF(OR(NOT(AB389),AJ389=0),AH389,IF(AH389-AI389/AJ389&lt;=AC389,(AH389+AC389)/2,IF(AH389-AI389/AJ389&gt;=AD389,(AH389+AD389)/2,AH389-AI389/AJ389)))</f>
        <v>1</v>
      </c>
      <c r="AL389" s="60" t="n">
        <f aca="false">SUMPRODUCT($E$13:$P$13*(N389:Y389-1)/(1+AK389*(N389:Y389-1)))</f>
        <v>0</v>
      </c>
      <c r="AM389" s="60" t="n">
        <f aca="false">-SUMPRODUCT($E$13:$P$13*(N389:Y389-1)^2/(1+AK389*(N389:Y389-1))^2)</f>
        <v>-0</v>
      </c>
      <c r="AN389" s="60" t="n">
        <f aca="false">IF(OR(NOT(AB389),AM389=0),AK389,IF(AK389-AL389/AM389&lt;=AC389,(AK389+AC389)/2,IF(AK389-AL389/AM389&gt;=AD389,(AK389+AD389)/2,AK389-AL389/AM389)))</f>
        <v>1</v>
      </c>
      <c r="AO389" s="60" t="n">
        <f aca="false">SUMPRODUCT($E$13:$P$13*(N389:Y389-1)/(1+AN389*(N389:Y389-1)))</f>
        <v>0</v>
      </c>
      <c r="AP389" s="60" t="n">
        <f aca="false">-SUMPRODUCT($E$13:$P$13*(N389:Y389-1)^2/(1+AN389*(N389:Y389-1))^2)</f>
        <v>-0</v>
      </c>
      <c r="AQ389" s="60" t="n">
        <f aca="false">IF(OR(NOT(AB389),AP389=0),AN389,IF(AN389-AO389/AP389&lt;=AC389,(AN389+AC389)/2,IF(AN389-AO389/AP389&gt;=AD389,(AN389+AD389)/2,AN389-AO389/AP389)))</f>
        <v>1</v>
      </c>
      <c r="AR389" s="60" t="n">
        <f aca="false">SUMPRODUCT($E$13:$P$13*(N389:Y389-1)/(1+AQ389*(N389:Y389-1)))</f>
        <v>0</v>
      </c>
      <c r="AS389" s="60" t="n">
        <f aca="false">-SUMPRODUCT($E$13:$P$13*(N389:Y389-1)^2/(1+AQ389*(N389:Y389-1))^2)</f>
        <v>-0</v>
      </c>
      <c r="AT389" s="60" t="n">
        <f aca="false">IF(OR(NOT(AB389),AS389=0),AQ389,IF(AQ389-AR389/AS389&lt;=AC389,(AQ389+AC389)/2,IF(AQ389-AR389/AS389&gt;=AD389,(AQ389+AD389)/2,AQ389-AR389/AS389)))</f>
        <v>1</v>
      </c>
      <c r="AU389" s="60" t="n">
        <f aca="false">SUMPRODUCT($E$13:$P$13*(N389:Y389-1)/(1+AT389*(N389:Y389-1)))</f>
        <v>0</v>
      </c>
      <c r="AV389" s="60" t="n">
        <f aca="false">-SUMPRODUCT($E$13:$P$13*(N389:Y389-1)^2/(1+AT389*(N389:Y389-1))^2)</f>
        <v>-0</v>
      </c>
      <c r="AW389" s="60" t="n">
        <f aca="false">IF(OR(NOT(AB389),AV389=0),AT389,IF(AT389-AU389/AV389&lt;=AC389,(AT389+AC389)/2,IF(AT389-AU389/AV389&gt;=AD389,(AT389+AD389)/2,AT389-AU389/AV389)))</f>
        <v>1</v>
      </c>
      <c r="AX389" s="60" t="n">
        <f aca="false">SUMPRODUCT($E$13:$P$13*(N389:Y389-1)/(1+AW389*(N389:Y389-1)))</f>
        <v>0</v>
      </c>
      <c r="AY389" s="60" t="n">
        <f aca="false">-SUMPRODUCT($E$13:$P$13*(N389:Y389-1)^2/(1+AW389*(N389:Y389-1))^2)</f>
        <v>-0</v>
      </c>
      <c r="AZ389" s="60" t="n">
        <f aca="false">IF(OR(NOT(AB389),AY389=0),AW389,IF(AW389-AX389/AY389&lt;=AC389,(AW389+AC389)/2,IF(AW389-AX389/AY389&gt;=AD389,(AW389+AD389)/2,AW389-AX389/AY389)))</f>
        <v>1</v>
      </c>
      <c r="BA389" s="60" t="n">
        <f aca="false">SUMPRODUCT($E$13:$P$13*(N389:Y389-1)/(1+AZ389*(N389:Y389-1)))</f>
        <v>0</v>
      </c>
      <c r="BB389" s="60" t="n">
        <f aca="false">-SUMPRODUCT($E$13:$P$13*(N389:Y389-1)^2/(1+AZ389*(N389:Y389-1))^2)</f>
        <v>-0</v>
      </c>
      <c r="BC389" s="60" t="n">
        <f aca="false">IF(OR(NOT(AB389),BB389=0),AZ389,IF(AZ389-BA389/BB389&lt;=AC389,(AZ389+AC389)/2,IF(AZ389-BA389/BB389&gt;=AD389,(AZ389+AD389)/2,AZ389-BA389/BB389)))</f>
        <v>1</v>
      </c>
      <c r="BD389" s="60" t="n">
        <f aca="false">SUMPRODUCT($E$13:$P$13*(N389:Y389-1)/(1+BC389*(N389:Y389-1)))</f>
        <v>0</v>
      </c>
      <c r="BE389" s="60" t="n">
        <f aca="false">-SUMPRODUCT($E$13:$P$13*(N389:Y389-1)^2/(1+BC389*(N389:Y389-1))^2)</f>
        <v>-0</v>
      </c>
      <c r="BF389" s="60" t="n">
        <f aca="false">IF(OR(NOT(AB389),BE389=0),BC389,IF(BC389-BD389/BE389&lt;=AC389,(BC389+AC389)/2,IF(BC389-BD389/BE389&gt;=AD389,(BC389+AD389)/2,BC389-BD389/BE389)))</f>
        <v>1</v>
      </c>
      <c r="BG389" s="60" t="n">
        <f aca="false">SUMPRODUCT($E$13:$P$13*(N389:Y389-1)/(1+BF389*(N389:Y389-1)))</f>
        <v>0</v>
      </c>
      <c r="BH389" s="60" t="n">
        <f aca="false">-SUMPRODUCT($E$13:$P$13*(N389:Y389-1)^2/(1+BF389*(N389:Y389-1))^2)</f>
        <v>-0</v>
      </c>
      <c r="BI389" s="60" t="n">
        <f aca="false">IF(OR(NOT(AB389),BH389=0),BF389,IF(BF389-BG389/BH389&lt;=AC389,(BF389+AC389)/2,IF(BF389-BG389/BH389&gt;=AD389,(BF389+AD389)/2,BF389-BG389/BH389)))</f>
        <v>1</v>
      </c>
      <c r="BJ389" s="60" t="n">
        <f aca="false">$E$13/(1+BI389*(N389-1))</f>
        <v>1</v>
      </c>
      <c r="BK389" s="60" t="n">
        <f aca="false">$F$13/(1+BI389*(O389-1))</f>
        <v>0</v>
      </c>
      <c r="BL389" s="60" t="n">
        <f aca="false">$G$13/(1+BI389*(P389-1))</f>
        <v>0</v>
      </c>
      <c r="BM389" s="60" t="n">
        <f aca="false">$H$13/(1+BI389*(Q389-1))</f>
        <v>0</v>
      </c>
      <c r="BN389" s="60" t="n">
        <f aca="false">$I$13/(1+BI389*(R389-1))</f>
        <v>0</v>
      </c>
      <c r="BO389" s="60" t="n">
        <f aca="false">$J$13/(1+BI389*(S389-1))</f>
        <v>0</v>
      </c>
      <c r="BP389" s="60" t="n">
        <f aca="false">$K$13/(1+BI389*(T389-1))</f>
        <v>0</v>
      </c>
      <c r="BQ389" s="60" t="n">
        <f aca="false">$L$13/(1+BI389*(U389-1))</f>
        <v>0</v>
      </c>
      <c r="BR389" s="60" t="n">
        <f aca="false">$M$13/(1+BI389*(V389-1))</f>
        <v>0</v>
      </c>
      <c r="BS389" s="60" t="n">
        <f aca="false">$N$13/(1+BI389*(W389-1))</f>
        <v>0</v>
      </c>
      <c r="BT389" s="60" t="n">
        <f aca="false">$O$13/(1+BI389*(X389-1))</f>
        <v>0</v>
      </c>
      <c r="BU389" s="60" t="n">
        <f aca="false">$P$13/(1+BI389*(Y389-1))</f>
        <v>0</v>
      </c>
      <c r="BV389" s="60" t="n">
        <f aca="false">SUM(BJ389:BU389)</f>
        <v>1</v>
      </c>
      <c r="BW389" s="60" t="n">
        <f aca="false">SUMPRODUCT(N389:Y389,BJ389:BU389)</f>
        <v>1</v>
      </c>
      <c r="BX389" s="60" t="n">
        <f aca="false">BJ389/BV389</f>
        <v>1</v>
      </c>
      <c r="BY389" s="60" t="n">
        <f aca="false">BK389/BV389</f>
        <v>0</v>
      </c>
      <c r="BZ389" s="60" t="n">
        <f aca="false">BL389/BV389</f>
        <v>0</v>
      </c>
      <c r="CA389" s="60" t="n">
        <f aca="false">BM389/BV389</f>
        <v>0</v>
      </c>
      <c r="CB389" s="60" t="n">
        <f aca="false">BN389/BV389</f>
        <v>0</v>
      </c>
      <c r="CC389" s="60" t="n">
        <f aca="false">BO389/BV389</f>
        <v>0</v>
      </c>
      <c r="CD389" s="60" t="n">
        <f aca="false">BP389/BV389</f>
        <v>0</v>
      </c>
      <c r="CE389" s="60" t="n">
        <f aca="false">BQ389/BV389</f>
        <v>0</v>
      </c>
      <c r="CF389" s="60" t="n">
        <f aca="false">BR389/BV389</f>
        <v>0</v>
      </c>
      <c r="CG389" s="60" t="n">
        <f aca="false">BS389/BV389</f>
        <v>0</v>
      </c>
      <c r="CH389" s="60" t="n">
        <f aca="false">BT389/BV389</f>
        <v>0</v>
      </c>
      <c r="CI389" s="60" t="n">
        <f aca="false">BU389/BV389</f>
        <v>0</v>
      </c>
      <c r="CJ389" s="60" t="n">
        <f aca="false">N389*BJ389/BW389</f>
        <v>1</v>
      </c>
      <c r="CK389" s="60" t="n">
        <f aca="false">O389*BK389/BW389</f>
        <v>0</v>
      </c>
      <c r="CL389" s="60" t="n">
        <f aca="false">P389*BL389/BW389</f>
        <v>0</v>
      </c>
      <c r="CM389" s="60" t="n">
        <f aca="false">Q389*BM389/BW389</f>
        <v>0</v>
      </c>
      <c r="CN389" s="60" t="n">
        <f aca="false">R389*BN389/BW389</f>
        <v>0</v>
      </c>
      <c r="CO389" s="60" t="n">
        <f aca="false">S389*BO389/BW389</f>
        <v>0</v>
      </c>
      <c r="CP389" s="60" t="n">
        <f aca="false">T389*BP389/BW389</f>
        <v>0</v>
      </c>
      <c r="CQ389" s="60" t="n">
        <f aca="false">U389*BQ389/BW389</f>
        <v>0</v>
      </c>
      <c r="CR389" s="60" t="n">
        <f aca="false">V389*BR389/BW389</f>
        <v>0</v>
      </c>
      <c r="CS389" s="60" t="n">
        <f aca="false">W389*BS389/BW389</f>
        <v>0</v>
      </c>
      <c r="CT389" s="60" t="n">
        <f aca="false">X389*BT389/BW389</f>
        <v>0</v>
      </c>
      <c r="CU389" s="60" t="n">
        <f aca="false">Y389*BU389/BW389</f>
        <v>0</v>
      </c>
      <c r="CV389" s="60" t="n">
        <f aca="false">$E$28*SUMPRODUCT($E$31:$P$31,BX389:CI389,$E$28:$P$28)</f>
        <v>0.184416866619846</v>
      </c>
      <c r="CW389" s="60" t="n">
        <f aca="false">$F$28*SUMPRODUCT($E$32:$P$32,BX389:CI389,$E$28:$P$28)</f>
        <v>0</v>
      </c>
      <c r="CX389" s="60" t="n">
        <f aca="false">$G$28*SUMPRODUCT($E$33:$P$33,BX389:CI389,$E$28:$P$28)</f>
        <v>0</v>
      </c>
      <c r="CY389" s="60" t="n">
        <f aca="false">$H$28*SUMPRODUCT($E$34:$P$34,BX389:CI389,$E$28:$P$28)</f>
        <v>0</v>
      </c>
      <c r="CZ389" s="60" t="n">
        <f aca="false">$I$28*SUMPRODUCT($E$35:$P$35,BX389:CI389,$E$28:$P$28)</f>
        <v>0</v>
      </c>
      <c r="DA389" s="60" t="n">
        <f aca="false">$J$28*SUMPRODUCT($E$36:$P$36,BX389:CI389,$E$28:$P$28)</f>
        <v>0</v>
      </c>
      <c r="DB389" s="60" t="n">
        <f aca="false">$K$28*SUMPRODUCT($E$37:$P$37,BX389:CI389,$E$28:$P$28)</f>
        <v>0</v>
      </c>
      <c r="DC389" s="60" t="n">
        <f aca="false">$L$28*SUMPRODUCT($E$38:$P$38,BX389:CI389,$E$28:$P$28)</f>
        <v>0</v>
      </c>
      <c r="DD389" s="60" t="n">
        <f aca="false">$M$28*SUMPRODUCT($E$39:$P$39,BX389:CI389,$E$28:$P$28)</f>
        <v>0</v>
      </c>
      <c r="DE389" s="60" t="n">
        <f aca="false">$N$28*SUMPRODUCT($E$40:$P$40,BX389:CI389,$E$28:$P$28)</f>
        <v>0</v>
      </c>
      <c r="DF389" s="60" t="n">
        <f aca="false">$O$28*SUMPRODUCT($E$41:$P$41,BX389:CI389,$E$28:$P$28)</f>
        <v>0</v>
      </c>
      <c r="DG389" s="60" t="n">
        <f aca="false">$P$28*SUMPRODUCT($E$42:$P$42,BX389:CI389,$E$28:$P$28)</f>
        <v>0</v>
      </c>
      <c r="DH389" s="60" t="n">
        <f aca="false">SUMPRODUCT(BX389:CI389,CV389:DG389)</f>
        <v>0.184416866619846</v>
      </c>
      <c r="DI389" s="60" t="n">
        <f aca="false">SUMPRODUCT(BX389:CI389,$E$27:$P$27)</f>
        <v>2.67389635063809E-005</v>
      </c>
      <c r="DJ389" s="60" t="n">
        <f aca="false">DH389*$C$9/($C$10*$C$8)^2</f>
        <v>0.21776909410545</v>
      </c>
      <c r="DK389" s="60" t="n">
        <f aca="false">DI389*$C$9/($C$10*$C$8)</f>
        <v>0.0918845243259994</v>
      </c>
      <c r="DL389" s="60" t="n">
        <f aca="false">CHOOSE($C$7,-(1+DK389),-1,-(1-DK389))</f>
        <v>-0.908115475674001</v>
      </c>
      <c r="DM389" s="60" t="n">
        <f aca="false">CHOOSE($C$7,DJ389,DJ389-DK389-DK389^2,DJ389-3*DK389^2-2*DK389)</f>
        <v>0.00867174802160559</v>
      </c>
      <c r="DN389" s="60" t="n">
        <f aca="false">CHOOSE($C$7,-DJ389*DK389,-DJ389*DK389,-(DJ389*DK389-DK389^2-DK389^3))</f>
        <v>-0.0107910842936637</v>
      </c>
      <c r="DO389" s="60" t="n">
        <f aca="false">DM389-DL389^2/3</f>
        <v>-0.266219491031267</v>
      </c>
      <c r="DP389" s="60" t="n">
        <f aca="false">2*DL389^3/27-DL389*DM389/3+DN389</f>
        <v>-0.0636400988362784</v>
      </c>
      <c r="DQ389" s="60" t="n">
        <f aca="false">DP389^2/4+DO389^3/27</f>
        <v>0.000313710901361829</v>
      </c>
      <c r="DR389" s="60" t="n">
        <f aca="false">-DP389/2-IF(DP389&gt;=0,1,-1)*SQRT(MAX(DQ389,0))</f>
        <v>0.0495319352963236</v>
      </c>
      <c r="DS389" s="60" t="n">
        <f aca="false">SIGN(DR389)*ABS(DR389)^(1/3)</f>
        <v>0.367249967174439</v>
      </c>
      <c r="DT389" s="60" t="n">
        <f aca="false">IF(DS389=0,0,DS389-DO389/(3*DS389))</f>
        <v>0.60888329127384</v>
      </c>
      <c r="DU389" s="60" t="n">
        <f aca="false">2*SQRT(MAX(-DO389,0)/3)</f>
        <v>0.595784626668918</v>
      </c>
      <c r="DV389" s="60" t="n">
        <f aca="false">ACOS(IF(DU389=0,0,MAX(-1,MIN(1,3*DP389/(DO389*DU389)))))</f>
        <v>0</v>
      </c>
      <c r="DW389" s="60" t="n">
        <f aca="false">DU389*COS(DV389/3)</f>
        <v>0.595784626668918</v>
      </c>
      <c r="DX389" s="60" t="n">
        <f aca="false">IF(DQ389&lt;0,DW389,DT389)-DL389/3</f>
        <v>0.91158844983184</v>
      </c>
      <c r="DY389" s="60" t="n">
        <f aca="false">IFERROR((((DX389+DL389)*DX389+DM389)*DX389+DN389)/((3*DX389+2*DL389)*DX389+DM389),0)</f>
        <v>0</v>
      </c>
      <c r="DZ389" s="60" t="n">
        <f aca="false">IF(ABS(DY389)&lt;0.1*ABS(DX389),DX389-DY389,DX389)</f>
        <v>0.91158844983184</v>
      </c>
      <c r="EA389" s="60" t="n">
        <f aca="false">IFERROR((((DZ389+DL389)*DZ389+DM389)*DZ389+DN389)/((3*DZ389+2*DL389)*DZ389+DM389),0)</f>
        <v>0</v>
      </c>
      <c r="EB389" s="60" t="n">
        <f aca="false">IF(ABS(EA389)&lt;0.1*ABS(DZ389),DZ389-EA389,DZ389)</f>
        <v>0.91158844983184</v>
      </c>
      <c r="EC389" s="60" t="n">
        <f aca="false">-DN389/EB389</f>
        <v>0.0118376711504565</v>
      </c>
      <c r="ED389" s="60" t="n">
        <f aca="false">(DM389-EC389)/EB389</f>
        <v>-0.00347297415783941</v>
      </c>
      <c r="EE389" s="60" t="n">
        <f aca="false">ED389^2-4*EC389</f>
        <v>-0.0473386230523248</v>
      </c>
      <c r="EF389" s="60" t="n">
        <f aca="false">IF(EE389&gt;=0,(ED389+IF(ED389&gt;=0,1,-1)*SQRT(EE389))/2,0)</f>
        <v>0</v>
      </c>
      <c r="EG389" s="60" t="n">
        <f aca="false">IF(AND(EE389&gt;=0,EF389&lt;&gt;0),MIN(EF389,EC389/EF389),-1)</f>
        <v>-1</v>
      </c>
      <c r="EH389" s="60" t="n">
        <f aca="false">AND(EE389&gt;=0,EG389&gt;DK389,ABS(EB389-EG389)&gt;=0.00005*MAX(EB389,EG389))</f>
        <v>0</v>
      </c>
      <c r="EI389" s="60" t="n">
        <f aca="false">IF(EH389,IFERROR((((EG389+DL389)*EG389+DM389)*EG389+DN389)/((3*EG389+2*DL389)*EG389+DM389),0),0)</f>
        <v>0</v>
      </c>
      <c r="EJ389" s="60" t="n">
        <f aca="false">IF(ABS(EI389)&lt;0.1*ABS(EG389),EG389-EI389,EG389)</f>
        <v>-1</v>
      </c>
      <c r="EK389" s="60" t="n">
        <f aca="false">IF(EH389,IFERROR((((EJ389+DL389)*EJ389+DM389)*EJ389+DN389)/((3*EJ389+2*DL389)*EJ389+DM389),0),0)</f>
        <v>0</v>
      </c>
      <c r="EL389" s="60" t="n">
        <f aca="false">IF(ABS(EK389)&lt;0.1*ABS(EJ389),EJ389-EK389,EJ389)</f>
        <v>-1</v>
      </c>
      <c r="EM389" s="60" t="n">
        <f aca="false">IF(EH389,MAX(EB389,EL389),EB389)</f>
        <v>0.91158844983184</v>
      </c>
      <c r="EN389" s="60" t="n">
        <f aca="false">IF(EH389,MIN(EB389,EL389),-1)</f>
        <v>-1</v>
      </c>
      <c r="EO389" s="60" t="n">
        <f aca="false">CHOOSE($C$7,DJ389/EM389,DJ389/DK389*LN(1+DK389/EM389),DJ389/(2*SQRT(2)*DK389)*LN((EM389+(1+SQRT(2))*DK389)/(EM389+(1-SQRT(2))*DK389)))</f>
        <v>0.218240791233887</v>
      </c>
      <c r="EP389" s="60" t="n">
        <f aca="false">EM389-1-LN(EM389-DK389)-EO389</f>
        <v>-0.107840271021729</v>
      </c>
      <c r="EQ389" s="60" t="n">
        <f aca="false">IF(EH389,CHOOSE($C$7,DJ389/EN389,DJ389/DK389*LN(1+DK389/EN389),DJ389/(2*SQRT(2)*DK389)*LN((EN389+(1+SQRT(2))*DK389)/(EN389+(1-SQRT(2))*DK389))),0)</f>
        <v>0</v>
      </c>
      <c r="ER389" s="60" t="n">
        <f aca="false">IF(EH389,EN389-1-LN(EN389-DK389)-EQ389,0)</f>
        <v>0</v>
      </c>
      <c r="ES389" s="60" t="n">
        <f aca="false">AND(EH389,ER389&lt;EP389)</f>
        <v>0</v>
      </c>
      <c r="ET389" s="60" t="n">
        <f aca="false">IF(ES389,EN389,EM389)</f>
        <v>0.91158844983184</v>
      </c>
      <c r="EU389" s="60" t="n">
        <f aca="false">IF(ES389,EQ389,EO389)</f>
        <v>0.218240791233887</v>
      </c>
      <c r="EV389" s="60" t="n">
        <f aca="false">LN(ET389-DK389)</f>
        <v>-0.198812070380318</v>
      </c>
      <c r="EW389" s="60" t="n">
        <f aca="false">$E$27/DI389*(ET389-1)-EV389-EU389*(2*CV389/DH389-$E$27/DI389)</f>
        <v>-0.107840271021729</v>
      </c>
      <c r="EX389" s="60" t="n">
        <f aca="false">$F$27/DI389*(ET389-1)-EV389-EU389*(2*CW389/DH389-$F$27/DI389)</f>
        <v>0.198812070380318</v>
      </c>
      <c r="EY389" s="60" t="n">
        <f aca="false">$G$27/DI389*(ET389-1)-EV389-EU389*(2*CX389/DH389-$G$27/DI389)</f>
        <v>0.198812070380318</v>
      </c>
      <c r="EZ389" s="60" t="n">
        <f aca="false">$H$27/DI389*(ET389-1)-EV389-EU389*(2*CY389/DH389-$H$27/DI389)</f>
        <v>0.198812070380318</v>
      </c>
      <c r="FA389" s="60" t="n">
        <f aca="false">$I$27/DI389*(ET389-1)-EV389-EU389*(2*CZ389/DH389-$I$27/DI389)</f>
        <v>0.198812070380318</v>
      </c>
      <c r="FB389" s="60" t="n">
        <f aca="false">$J$27/DI389*(ET389-1)-EV389-EU389*(2*DA389/DH389-$J$27/DI389)</f>
        <v>0.198812070380318</v>
      </c>
      <c r="FC389" s="60" t="n">
        <f aca="false">$K$27/DI389*(ET389-1)-EV389-EU389*(2*DB389/DH389-$K$27/DI389)</f>
        <v>0.198812070380318</v>
      </c>
      <c r="FD389" s="60" t="n">
        <f aca="false">$L$27/DI389*(ET389-1)-EV389-EU389*(2*DC389/DH389-$L$27/DI389)</f>
        <v>0.198812070380318</v>
      </c>
      <c r="FE389" s="60" t="n">
        <f aca="false">$M$27/DI389*(ET389-1)-EV389-EU389*(2*DD389/DH389-$M$27/DI389)</f>
        <v>0.198812070380318</v>
      </c>
      <c r="FF389" s="60" t="n">
        <f aca="false">$N$27/DI389*(ET389-1)-EV389-EU389*(2*DE389/DH389-$N$27/DI389)</f>
        <v>0.198812070380318</v>
      </c>
      <c r="FG389" s="60" t="n">
        <f aca="false">$O$27/DI389*(ET389-1)-EV389-EU389*(2*DF389/DH389-$O$27/DI389)</f>
        <v>0.198812070380318</v>
      </c>
      <c r="FH389" s="60" t="n">
        <f aca="false">$P$27/DI389*(ET389-1)-EV389-EU389*(2*DG389/DH389-$P$27/DI389)</f>
        <v>0.198812070380318</v>
      </c>
      <c r="FI389" s="60" t="n">
        <f aca="false">DK389/ET389&gt;$C$22</f>
        <v>0</v>
      </c>
      <c r="FJ389" s="60" t="n">
        <f aca="false">$E$28*SUMPRODUCT($E$31:$P$31,CJ389:CU389,$E$28:$P$28)</f>
        <v>0.184416866619846</v>
      </c>
      <c r="FK389" s="60" t="n">
        <f aca="false">$F$28*SUMPRODUCT($E$32:$P$32,CJ389:CU389,$E$28:$P$28)</f>
        <v>0</v>
      </c>
      <c r="FL389" s="60" t="n">
        <f aca="false">$G$28*SUMPRODUCT($E$33:$P$33,CJ389:CU389,$E$28:$P$28)</f>
        <v>0</v>
      </c>
      <c r="FM389" s="60" t="n">
        <f aca="false">$H$28*SUMPRODUCT($E$34:$P$34,CJ389:CU389,$E$28:$P$28)</f>
        <v>0</v>
      </c>
      <c r="FN389" s="60" t="n">
        <f aca="false">$I$28*SUMPRODUCT($E$35:$P$35,CJ389:CU389,$E$28:$P$28)</f>
        <v>0</v>
      </c>
      <c r="FO389" s="60" t="n">
        <f aca="false">$J$28*SUMPRODUCT($E$36:$P$36,CJ389:CU389,$E$28:$P$28)</f>
        <v>0</v>
      </c>
      <c r="FP389" s="60" t="n">
        <f aca="false">$K$28*SUMPRODUCT($E$37:$P$37,CJ389:CU389,$E$28:$P$28)</f>
        <v>0</v>
      </c>
      <c r="FQ389" s="60" t="n">
        <f aca="false">$L$28*SUMPRODUCT($E$38:$P$38,CJ389:CU389,$E$28:$P$28)</f>
        <v>0</v>
      </c>
      <c r="FR389" s="60" t="n">
        <f aca="false">$M$28*SUMPRODUCT($E$39:$P$39,CJ389:CU389,$E$28:$P$28)</f>
        <v>0</v>
      </c>
      <c r="FS389" s="60" t="n">
        <f aca="false">$N$28*SUMPRODUCT($E$40:$P$40,CJ389:CU389,$E$28:$P$28)</f>
        <v>0</v>
      </c>
      <c r="FT389" s="60" t="n">
        <f aca="false">$O$28*SUMPRODUCT($E$41:$P$41,CJ389:CU389,$E$28:$P$28)</f>
        <v>0</v>
      </c>
      <c r="FU389" s="60" t="n">
        <f aca="false">$P$28*SUMPRODUCT($E$42:$P$42,CJ389:CU389,$E$28:$P$28)</f>
        <v>0</v>
      </c>
      <c r="FV389" s="60" t="n">
        <f aca="false">SUMPRODUCT(CJ389:CU389,FJ389:FU389)</f>
        <v>0.184416866619846</v>
      </c>
      <c r="FW389" s="60" t="n">
        <f aca="false">SUMPRODUCT(CJ389:CU389,$E$27:$P$27)</f>
        <v>2.67389635063809E-005</v>
      </c>
      <c r="FX389" s="60" t="n">
        <f aca="false">FV389*$C$9/($C$10*$C$8)^2</f>
        <v>0.21776909410545</v>
      </c>
      <c r="FY389" s="60" t="n">
        <f aca="false">FW389*$C$9/($C$10*$C$8)</f>
        <v>0.0918845243259994</v>
      </c>
      <c r="FZ389" s="60" t="n">
        <f aca="false">CHOOSE($C$7,-(1+FY389),-1,-(1-FY389))</f>
        <v>-0.908115475674001</v>
      </c>
      <c r="GA389" s="60" t="n">
        <f aca="false">CHOOSE($C$7,FX389,FX389-FY389-FY389^2,FX389-3*FY389^2-2*FY389)</f>
        <v>0.00867174802160559</v>
      </c>
      <c r="GB389" s="60" t="n">
        <f aca="false">CHOOSE($C$7,-FX389*FY389,-FX389*FY389,-(FX389*FY389-FY389^2-FY389^3))</f>
        <v>-0.0107910842936637</v>
      </c>
      <c r="GC389" s="60" t="n">
        <f aca="false">GA389-FZ389^2/3</f>
        <v>-0.266219491031267</v>
      </c>
      <c r="GD389" s="60" t="n">
        <f aca="false">2*FZ389^3/27-FZ389*GA389/3+GB389</f>
        <v>-0.0636400988362784</v>
      </c>
      <c r="GE389" s="60" t="n">
        <f aca="false">GD389^2/4+GC389^3/27</f>
        <v>0.000313710901361829</v>
      </c>
      <c r="GF389" s="60" t="n">
        <f aca="false">-GD389/2-IF(GD389&gt;=0,1,-1)*SQRT(MAX(GE389,0))</f>
        <v>0.0495319352963236</v>
      </c>
      <c r="GG389" s="60" t="n">
        <f aca="false">SIGN(GF389)*ABS(GF389)^(1/3)</f>
        <v>0.367249967174439</v>
      </c>
      <c r="GH389" s="60" t="n">
        <f aca="false">IF(GG389=0,0,GG389-GC389/(3*GG389))</f>
        <v>0.60888329127384</v>
      </c>
      <c r="GI389" s="60" t="n">
        <f aca="false">2*SQRT(MAX(-GC389,0)/3)</f>
        <v>0.595784626668918</v>
      </c>
      <c r="GJ389" s="60" t="n">
        <f aca="false">ACOS(IF(GI389=0,0,MAX(-1,MIN(1,3*GD389/(GC389*GI389)))))</f>
        <v>0</v>
      </c>
      <c r="GK389" s="60" t="n">
        <f aca="false">GI389*COS(GJ389/3)</f>
        <v>0.595784626668918</v>
      </c>
      <c r="GL389" s="60" t="n">
        <f aca="false">IF(GE389&lt;0,GK389,GH389)-FZ389/3</f>
        <v>0.91158844983184</v>
      </c>
      <c r="GM389" s="60" t="n">
        <f aca="false">IFERROR((((GL389+FZ389)*GL389+GA389)*GL389+GB389)/((3*GL389+2*FZ389)*GL389+GA389),0)</f>
        <v>0</v>
      </c>
      <c r="GN389" s="60" t="n">
        <f aca="false">IF(ABS(GM389)&lt;0.1*ABS(GL389),GL389-GM389,GL389)</f>
        <v>0.91158844983184</v>
      </c>
      <c r="GO389" s="60" t="n">
        <f aca="false">IFERROR((((GN389+FZ389)*GN389+GA389)*GN389+GB389)/((3*GN389+2*FZ389)*GN389+GA389),0)</f>
        <v>0</v>
      </c>
      <c r="GP389" s="60" t="n">
        <f aca="false">IF(ABS(GO389)&lt;0.1*ABS(GN389),GN389-GO389,GN389)</f>
        <v>0.91158844983184</v>
      </c>
      <c r="GQ389" s="60" t="n">
        <f aca="false">-GB389/GP389</f>
        <v>0.0118376711504565</v>
      </c>
      <c r="GR389" s="60" t="n">
        <f aca="false">(GA389-GQ389)/GP389</f>
        <v>-0.00347297415783941</v>
      </c>
      <c r="GS389" s="60" t="n">
        <f aca="false">GR389^2-4*GQ389</f>
        <v>-0.0473386230523248</v>
      </c>
      <c r="GT389" s="60" t="n">
        <f aca="false">IF(GS389&gt;=0,(GR389+IF(GR389&gt;=0,1,-1)*SQRT(GS389))/2,0)</f>
        <v>0</v>
      </c>
      <c r="GU389" s="60" t="n">
        <f aca="false">IF(AND(GS389&gt;=0,GT389&lt;&gt;0),MIN(GT389,GQ389/GT389),-1)</f>
        <v>-1</v>
      </c>
      <c r="GV389" s="60" t="n">
        <f aca="false">AND(GS389&gt;=0,GU389&gt;FY389,ABS(GP389-GU389)&gt;=0.00005*MAX(GP389,GU389))</f>
        <v>0</v>
      </c>
      <c r="GW389" s="60" t="n">
        <f aca="false">IF(GV389,IFERROR((((GU389+FZ389)*GU389+GA389)*GU389+GB389)/((3*GU389+2*FZ389)*GU389+GA389),0),0)</f>
        <v>0</v>
      </c>
      <c r="GX389" s="60" t="n">
        <f aca="false">IF(ABS(GW389)&lt;0.1*ABS(GU389),GU389-GW389,GU389)</f>
        <v>-1</v>
      </c>
      <c r="GY389" s="60" t="n">
        <f aca="false">IF(GV389,IFERROR((((GX389+FZ389)*GX389+GA389)*GX389+GB389)/((3*GX389+2*FZ389)*GX389+GA389),0),0)</f>
        <v>0</v>
      </c>
      <c r="GZ389" s="60" t="n">
        <f aca="false">IF(ABS(GY389)&lt;0.1*ABS(GX389),GX389-GY389,GX389)</f>
        <v>-1</v>
      </c>
      <c r="HA389" s="60" t="n">
        <f aca="false">IF(GV389,MAX(GP389,GZ389),GP389)</f>
        <v>0.91158844983184</v>
      </c>
      <c r="HB389" s="60" t="n">
        <f aca="false">IF(GV389,MIN(GP389,GZ389),-1)</f>
        <v>-1</v>
      </c>
      <c r="HC389" s="60" t="n">
        <f aca="false">CHOOSE($C$7,FX389/HA389,FX389/FY389*LN(1+FY389/HA389),FX389/(2*SQRT(2)*FY389)*LN((HA389+(1+SQRT(2))*FY389)/(HA389+(1-SQRT(2))*FY389)))</f>
        <v>0.218240791233887</v>
      </c>
      <c r="HD389" s="60" t="n">
        <f aca="false">HA389-1-LN(HA389-FY389)-HC389</f>
        <v>-0.107840271021729</v>
      </c>
      <c r="HE389" s="60" t="n">
        <f aca="false">IF(GV389,CHOOSE($C$7,FX389/HB389,FX389/FY389*LN(1+FY389/HB389),FX389/(2*SQRT(2)*FY389)*LN((HB389+(1+SQRT(2))*FY389)/(HB389+(1-SQRT(2))*FY389))),0)</f>
        <v>0</v>
      </c>
      <c r="HF389" s="60" t="n">
        <f aca="false">IF(GV389,HB389-1-LN(HB389-FY389)-HE389,0)</f>
        <v>0</v>
      </c>
      <c r="HG389" s="60" t="n">
        <f aca="false">AND(GV389,HF389&lt;HD389)</f>
        <v>0</v>
      </c>
      <c r="HH389" s="60" t="n">
        <f aca="false">IF(HG389,HB389,HA389)</f>
        <v>0.91158844983184</v>
      </c>
      <c r="HI389" s="60" t="n">
        <f aca="false">IF(HG389,HE389,HC389)</f>
        <v>0.218240791233887</v>
      </c>
      <c r="HJ389" s="60" t="n">
        <f aca="false">LN(HH389-FY389)</f>
        <v>-0.198812070380318</v>
      </c>
      <c r="HK389" s="60" t="n">
        <f aca="false">$E$27/FW389*(HH389-1)-HJ389-HI389*(2*FJ389/FV389-$E$27/FW389)</f>
        <v>-0.107840271021729</v>
      </c>
      <c r="HL389" s="60" t="n">
        <f aca="false">$F$27/FW389*(HH389-1)-HJ389-HI389*(2*FK389/FV389-$F$27/FW389)</f>
        <v>0.198812070380318</v>
      </c>
      <c r="HM389" s="60" t="n">
        <f aca="false">$G$27/FW389*(HH389-1)-HJ389-HI389*(2*FL389/FV389-$G$27/FW389)</f>
        <v>0.198812070380318</v>
      </c>
      <c r="HN389" s="60" t="n">
        <f aca="false">$H$27/FW389*(HH389-1)-HJ389-HI389*(2*FM389/FV389-$H$27/FW389)</f>
        <v>0.198812070380318</v>
      </c>
      <c r="HO389" s="60" t="n">
        <f aca="false">$I$27/FW389*(HH389-1)-HJ389-HI389*(2*FN389/FV389-$I$27/FW389)</f>
        <v>0.198812070380318</v>
      </c>
      <c r="HP389" s="60" t="n">
        <f aca="false">$J$27/FW389*(HH389-1)-HJ389-HI389*(2*FO389/FV389-$J$27/FW389)</f>
        <v>0.198812070380318</v>
      </c>
      <c r="HQ389" s="60" t="n">
        <f aca="false">$K$27/FW389*(HH389-1)-HJ389-HI389*(2*FP389/FV389-$K$27/FW389)</f>
        <v>0.198812070380318</v>
      </c>
      <c r="HR389" s="60" t="n">
        <f aca="false">$L$27/FW389*(HH389-1)-HJ389-HI389*(2*FQ389/FV389-$L$27/FW389)</f>
        <v>0.198812070380318</v>
      </c>
      <c r="HS389" s="60" t="n">
        <f aca="false">$M$27/FW389*(HH389-1)-HJ389-HI389*(2*FR389/FV389-$M$27/FW389)</f>
        <v>0.198812070380318</v>
      </c>
      <c r="HT389" s="60" t="n">
        <f aca="false">$N$27/FW389*(HH389-1)-HJ389-HI389*(2*FS389/FV389-$N$27/FW389)</f>
        <v>0.198812070380318</v>
      </c>
      <c r="HU389" s="60" t="n">
        <f aca="false">$O$27/FW389*(HH389-1)-HJ389-HI389*(2*FT389/FV389-$O$27/FW389)</f>
        <v>0.198812070380318</v>
      </c>
      <c r="HV389" s="60" t="n">
        <f aca="false">$P$27/FW389*(HH389-1)-HJ389-HI389*(2*FU389/FV389-$P$27/FW389)</f>
        <v>0.198812070380318</v>
      </c>
      <c r="HW389" s="60" t="n">
        <f aca="false">FY389/HH389&gt;$C$22</f>
        <v>0</v>
      </c>
      <c r="HX389" s="60" t="n">
        <f aca="false">IF($E$13&gt;0,MAX(-300,MIN(300,EW389-HK389)),0)</f>
        <v>0</v>
      </c>
      <c r="HY389" s="60" t="n">
        <f aca="false">IF($F$13&gt;0,MAX(-300,MIN(300,EX389-HL389)),0)</f>
        <v>0</v>
      </c>
      <c r="HZ389" s="60" t="n">
        <f aca="false">IF($G$13&gt;0,MAX(-300,MIN(300,EY389-HM389)),0)</f>
        <v>0</v>
      </c>
      <c r="IA389" s="60" t="n">
        <f aca="false">IF($H$13&gt;0,MAX(-300,MIN(300,EZ389-HN389)),0)</f>
        <v>0</v>
      </c>
      <c r="IB389" s="60" t="n">
        <f aca="false">IF($I$13&gt;0,MAX(-300,MIN(300,FA389-HO389)),0)</f>
        <v>0</v>
      </c>
      <c r="IC389" s="60" t="n">
        <f aca="false">IF($J$13&gt;0,MAX(-300,MIN(300,FB389-HP389)),0)</f>
        <v>0</v>
      </c>
      <c r="ID389" s="60" t="n">
        <f aca="false">IF($K$13&gt;0,MAX(-300,MIN(300,FC389-HQ389)),0)</f>
        <v>0</v>
      </c>
      <c r="IE389" s="60" t="n">
        <f aca="false">IF($L$13&gt;0,MAX(-300,MIN(300,FD389-HR389)),0)</f>
        <v>0</v>
      </c>
      <c r="IF389" s="60" t="n">
        <f aca="false">IF($M$13&gt;0,MAX(-300,MIN(300,FE389-HS389)),0)</f>
        <v>0</v>
      </c>
      <c r="IG389" s="60" t="n">
        <f aca="false">IF($N$13&gt;0,MAX(-300,MIN(300,FF389-HT389)),0)</f>
        <v>0</v>
      </c>
      <c r="IH389" s="60" t="n">
        <f aca="false">IF($O$13&gt;0,MAX(-300,MIN(300,FG389-HU389)),0)</f>
        <v>0</v>
      </c>
      <c r="II389" s="60" t="n">
        <f aca="false">IF($P$13&gt;0,MAX(-300,MIN(300,FH389-HV389)),0)</f>
        <v>0</v>
      </c>
      <c r="IJ389" s="60" t="n">
        <f aca="false">SUMXMY2(HX389:II389,B389:M389)</f>
        <v>0</v>
      </c>
      <c r="IK389" s="60" t="n">
        <f aca="false">SUMSQ(B389:M389)</f>
        <v>0</v>
      </c>
    </row>
    <row r="390" customFormat="false" ht="15" hidden="false" customHeight="false" outlineLevel="0" collapsed="false">
      <c r="A390" s="59" t="n">
        <v>29</v>
      </c>
      <c r="B390" s="60" t="n">
        <f aca="false">HX389</f>
        <v>0</v>
      </c>
      <c r="C390" s="60" t="n">
        <f aca="false">HY389</f>
        <v>0</v>
      </c>
      <c r="D390" s="60" t="n">
        <f aca="false">HZ389</f>
        <v>0</v>
      </c>
      <c r="E390" s="60" t="n">
        <f aca="false">IA389</f>
        <v>0</v>
      </c>
      <c r="F390" s="60" t="n">
        <f aca="false">IB389</f>
        <v>0</v>
      </c>
      <c r="G390" s="60" t="n">
        <f aca="false">IC389</f>
        <v>0</v>
      </c>
      <c r="H390" s="60" t="n">
        <f aca="false">ID389</f>
        <v>0</v>
      </c>
      <c r="I390" s="60" t="n">
        <f aca="false">IE389</f>
        <v>0</v>
      </c>
      <c r="J390" s="60" t="n">
        <f aca="false">IF389</f>
        <v>0</v>
      </c>
      <c r="K390" s="60" t="n">
        <f aca="false">IG389</f>
        <v>0</v>
      </c>
      <c r="L390" s="60" t="n">
        <f aca="false">IH389</f>
        <v>0</v>
      </c>
      <c r="M390" s="60" t="n">
        <f aca="false">II389</f>
        <v>0</v>
      </c>
      <c r="N390" s="60" t="n">
        <f aca="false">EXP(B390)</f>
        <v>1</v>
      </c>
      <c r="O390" s="60" t="n">
        <f aca="false">EXP(C390)</f>
        <v>1</v>
      </c>
      <c r="P390" s="60" t="n">
        <f aca="false">EXP(D390)</f>
        <v>1</v>
      </c>
      <c r="Q390" s="60" t="n">
        <f aca="false">EXP(E390)</f>
        <v>1</v>
      </c>
      <c r="R390" s="60" t="n">
        <f aca="false">EXP(F390)</f>
        <v>1</v>
      </c>
      <c r="S390" s="60" t="n">
        <f aca="false">EXP(G390)</f>
        <v>1</v>
      </c>
      <c r="T390" s="60" t="n">
        <f aca="false">EXP(H390)</f>
        <v>1</v>
      </c>
      <c r="U390" s="60" t="n">
        <f aca="false">EXP(I390)</f>
        <v>1</v>
      </c>
      <c r="V390" s="60" t="n">
        <f aca="false">EXP(J390)</f>
        <v>1</v>
      </c>
      <c r="W390" s="60" t="n">
        <f aca="false">EXP(K390)</f>
        <v>1</v>
      </c>
      <c r="X390" s="60" t="n">
        <f aca="false">EXP(L390)</f>
        <v>1</v>
      </c>
      <c r="Y390" s="60" t="n">
        <f aca="false">EXP(M390)</f>
        <v>1</v>
      </c>
      <c r="Z390" s="60" t="n">
        <f aca="false">MAX(N390:Y390)</f>
        <v>1</v>
      </c>
      <c r="AA390" s="60" t="n">
        <f aca="false">MIN(N390:Y390)</f>
        <v>1</v>
      </c>
      <c r="AB390" s="60" t="n">
        <f aca="false">AND(Z390&gt;1,AA390&lt;1)</f>
        <v>0</v>
      </c>
      <c r="AC390" s="60" t="n">
        <f aca="false">IF(AB390,1/(1-Z390),0)</f>
        <v>0</v>
      </c>
      <c r="AD390" s="60" t="n">
        <f aca="false">IF(AB390,1/(1-AA390),1)</f>
        <v>1</v>
      </c>
      <c r="AE390" s="60" t="n">
        <f aca="false">IF(AB390,MIN(MAX(BI389,AC390+0.000000001*(AD390-AC390)),AD390-0.000000001*(AD390-AC390)),IF(AA390&gt;=1,1,0))</f>
        <v>1</v>
      </c>
      <c r="AF390" s="60" t="n">
        <f aca="false">SUMPRODUCT($E$13:$P$13*(N390:Y390-1)/(1+AE390*(N390:Y390-1)))</f>
        <v>0</v>
      </c>
      <c r="AG390" s="60" t="n">
        <f aca="false">-SUMPRODUCT($E$13:$P$13*(N390:Y390-1)^2/(1+AE390*(N390:Y390-1))^2)</f>
        <v>-0</v>
      </c>
      <c r="AH390" s="60" t="n">
        <f aca="false">IF(OR(NOT(AB390),AG390=0),AE390,IF(AE390-AF390/AG390&lt;=AC390,(AE390+AC390)/2,IF(AE390-AF390/AG390&gt;=AD390,(AE390+AD390)/2,AE390-AF390/AG390)))</f>
        <v>1</v>
      </c>
      <c r="AI390" s="60" t="n">
        <f aca="false">SUMPRODUCT($E$13:$P$13*(N390:Y390-1)/(1+AH390*(N390:Y390-1)))</f>
        <v>0</v>
      </c>
      <c r="AJ390" s="60" t="n">
        <f aca="false">-SUMPRODUCT($E$13:$P$13*(N390:Y390-1)^2/(1+AH390*(N390:Y390-1))^2)</f>
        <v>-0</v>
      </c>
      <c r="AK390" s="60" t="n">
        <f aca="false">IF(OR(NOT(AB390),AJ390=0),AH390,IF(AH390-AI390/AJ390&lt;=AC390,(AH390+AC390)/2,IF(AH390-AI390/AJ390&gt;=AD390,(AH390+AD390)/2,AH390-AI390/AJ390)))</f>
        <v>1</v>
      </c>
      <c r="AL390" s="60" t="n">
        <f aca="false">SUMPRODUCT($E$13:$P$13*(N390:Y390-1)/(1+AK390*(N390:Y390-1)))</f>
        <v>0</v>
      </c>
      <c r="AM390" s="60" t="n">
        <f aca="false">-SUMPRODUCT($E$13:$P$13*(N390:Y390-1)^2/(1+AK390*(N390:Y390-1))^2)</f>
        <v>-0</v>
      </c>
      <c r="AN390" s="60" t="n">
        <f aca="false">IF(OR(NOT(AB390),AM390=0),AK390,IF(AK390-AL390/AM390&lt;=AC390,(AK390+AC390)/2,IF(AK390-AL390/AM390&gt;=AD390,(AK390+AD390)/2,AK390-AL390/AM390)))</f>
        <v>1</v>
      </c>
      <c r="AO390" s="60" t="n">
        <f aca="false">SUMPRODUCT($E$13:$P$13*(N390:Y390-1)/(1+AN390*(N390:Y390-1)))</f>
        <v>0</v>
      </c>
      <c r="AP390" s="60" t="n">
        <f aca="false">-SUMPRODUCT($E$13:$P$13*(N390:Y390-1)^2/(1+AN390*(N390:Y390-1))^2)</f>
        <v>-0</v>
      </c>
      <c r="AQ390" s="60" t="n">
        <f aca="false">IF(OR(NOT(AB390),AP390=0),AN390,IF(AN390-AO390/AP390&lt;=AC390,(AN390+AC390)/2,IF(AN390-AO390/AP390&gt;=AD390,(AN390+AD390)/2,AN390-AO390/AP390)))</f>
        <v>1</v>
      </c>
      <c r="AR390" s="60" t="n">
        <f aca="false">SUMPRODUCT($E$13:$P$13*(N390:Y390-1)/(1+AQ390*(N390:Y390-1)))</f>
        <v>0</v>
      </c>
      <c r="AS390" s="60" t="n">
        <f aca="false">-SUMPRODUCT($E$13:$P$13*(N390:Y390-1)^2/(1+AQ390*(N390:Y390-1))^2)</f>
        <v>-0</v>
      </c>
      <c r="AT390" s="60" t="n">
        <f aca="false">IF(OR(NOT(AB390),AS390=0),AQ390,IF(AQ390-AR390/AS390&lt;=AC390,(AQ390+AC390)/2,IF(AQ390-AR390/AS390&gt;=AD390,(AQ390+AD390)/2,AQ390-AR390/AS390)))</f>
        <v>1</v>
      </c>
      <c r="AU390" s="60" t="n">
        <f aca="false">SUMPRODUCT($E$13:$P$13*(N390:Y390-1)/(1+AT390*(N390:Y390-1)))</f>
        <v>0</v>
      </c>
      <c r="AV390" s="60" t="n">
        <f aca="false">-SUMPRODUCT($E$13:$P$13*(N390:Y390-1)^2/(1+AT390*(N390:Y390-1))^2)</f>
        <v>-0</v>
      </c>
      <c r="AW390" s="60" t="n">
        <f aca="false">IF(OR(NOT(AB390),AV390=0),AT390,IF(AT390-AU390/AV390&lt;=AC390,(AT390+AC390)/2,IF(AT390-AU390/AV390&gt;=AD390,(AT390+AD390)/2,AT390-AU390/AV390)))</f>
        <v>1</v>
      </c>
      <c r="AX390" s="60" t="n">
        <f aca="false">SUMPRODUCT($E$13:$P$13*(N390:Y390-1)/(1+AW390*(N390:Y390-1)))</f>
        <v>0</v>
      </c>
      <c r="AY390" s="60" t="n">
        <f aca="false">-SUMPRODUCT($E$13:$P$13*(N390:Y390-1)^2/(1+AW390*(N390:Y390-1))^2)</f>
        <v>-0</v>
      </c>
      <c r="AZ390" s="60" t="n">
        <f aca="false">IF(OR(NOT(AB390),AY390=0),AW390,IF(AW390-AX390/AY390&lt;=AC390,(AW390+AC390)/2,IF(AW390-AX390/AY390&gt;=AD390,(AW390+AD390)/2,AW390-AX390/AY390)))</f>
        <v>1</v>
      </c>
      <c r="BA390" s="60" t="n">
        <f aca="false">SUMPRODUCT($E$13:$P$13*(N390:Y390-1)/(1+AZ390*(N390:Y390-1)))</f>
        <v>0</v>
      </c>
      <c r="BB390" s="60" t="n">
        <f aca="false">-SUMPRODUCT($E$13:$P$13*(N390:Y390-1)^2/(1+AZ390*(N390:Y390-1))^2)</f>
        <v>-0</v>
      </c>
      <c r="BC390" s="60" t="n">
        <f aca="false">IF(OR(NOT(AB390),BB390=0),AZ390,IF(AZ390-BA390/BB390&lt;=AC390,(AZ390+AC390)/2,IF(AZ390-BA390/BB390&gt;=AD390,(AZ390+AD390)/2,AZ390-BA390/BB390)))</f>
        <v>1</v>
      </c>
      <c r="BD390" s="60" t="n">
        <f aca="false">SUMPRODUCT($E$13:$P$13*(N390:Y390-1)/(1+BC390*(N390:Y390-1)))</f>
        <v>0</v>
      </c>
      <c r="BE390" s="60" t="n">
        <f aca="false">-SUMPRODUCT($E$13:$P$13*(N390:Y390-1)^2/(1+BC390*(N390:Y390-1))^2)</f>
        <v>-0</v>
      </c>
      <c r="BF390" s="60" t="n">
        <f aca="false">IF(OR(NOT(AB390),BE390=0),BC390,IF(BC390-BD390/BE390&lt;=AC390,(BC390+AC390)/2,IF(BC390-BD390/BE390&gt;=AD390,(BC390+AD390)/2,BC390-BD390/BE390)))</f>
        <v>1</v>
      </c>
      <c r="BG390" s="60" t="n">
        <f aca="false">SUMPRODUCT($E$13:$P$13*(N390:Y390-1)/(1+BF390*(N390:Y390-1)))</f>
        <v>0</v>
      </c>
      <c r="BH390" s="60" t="n">
        <f aca="false">-SUMPRODUCT($E$13:$P$13*(N390:Y390-1)^2/(1+BF390*(N390:Y390-1))^2)</f>
        <v>-0</v>
      </c>
      <c r="BI390" s="60" t="n">
        <f aca="false">IF(OR(NOT(AB390),BH390=0),BF390,IF(BF390-BG390/BH390&lt;=AC390,(BF390+AC390)/2,IF(BF390-BG390/BH390&gt;=AD390,(BF390+AD390)/2,BF390-BG390/BH390)))</f>
        <v>1</v>
      </c>
      <c r="BJ390" s="60" t="n">
        <f aca="false">$E$13/(1+BI390*(N390-1))</f>
        <v>1</v>
      </c>
      <c r="BK390" s="60" t="n">
        <f aca="false">$F$13/(1+BI390*(O390-1))</f>
        <v>0</v>
      </c>
      <c r="BL390" s="60" t="n">
        <f aca="false">$G$13/(1+BI390*(P390-1))</f>
        <v>0</v>
      </c>
      <c r="BM390" s="60" t="n">
        <f aca="false">$H$13/(1+BI390*(Q390-1))</f>
        <v>0</v>
      </c>
      <c r="BN390" s="60" t="n">
        <f aca="false">$I$13/(1+BI390*(R390-1))</f>
        <v>0</v>
      </c>
      <c r="BO390" s="60" t="n">
        <f aca="false">$J$13/(1+BI390*(S390-1))</f>
        <v>0</v>
      </c>
      <c r="BP390" s="60" t="n">
        <f aca="false">$K$13/(1+BI390*(T390-1))</f>
        <v>0</v>
      </c>
      <c r="BQ390" s="60" t="n">
        <f aca="false">$L$13/(1+BI390*(U390-1))</f>
        <v>0</v>
      </c>
      <c r="BR390" s="60" t="n">
        <f aca="false">$M$13/(1+BI390*(V390-1))</f>
        <v>0</v>
      </c>
      <c r="BS390" s="60" t="n">
        <f aca="false">$N$13/(1+BI390*(W390-1))</f>
        <v>0</v>
      </c>
      <c r="BT390" s="60" t="n">
        <f aca="false">$O$13/(1+BI390*(X390-1))</f>
        <v>0</v>
      </c>
      <c r="BU390" s="60" t="n">
        <f aca="false">$P$13/(1+BI390*(Y390-1))</f>
        <v>0</v>
      </c>
      <c r="BV390" s="60" t="n">
        <f aca="false">SUM(BJ390:BU390)</f>
        <v>1</v>
      </c>
      <c r="BW390" s="60" t="n">
        <f aca="false">SUMPRODUCT(N390:Y390,BJ390:BU390)</f>
        <v>1</v>
      </c>
      <c r="BX390" s="60" t="n">
        <f aca="false">BJ390/BV390</f>
        <v>1</v>
      </c>
      <c r="BY390" s="60" t="n">
        <f aca="false">BK390/BV390</f>
        <v>0</v>
      </c>
      <c r="BZ390" s="60" t="n">
        <f aca="false">BL390/BV390</f>
        <v>0</v>
      </c>
      <c r="CA390" s="60" t="n">
        <f aca="false">BM390/BV390</f>
        <v>0</v>
      </c>
      <c r="CB390" s="60" t="n">
        <f aca="false">BN390/BV390</f>
        <v>0</v>
      </c>
      <c r="CC390" s="60" t="n">
        <f aca="false">BO390/BV390</f>
        <v>0</v>
      </c>
      <c r="CD390" s="60" t="n">
        <f aca="false">BP390/BV390</f>
        <v>0</v>
      </c>
      <c r="CE390" s="60" t="n">
        <f aca="false">BQ390/BV390</f>
        <v>0</v>
      </c>
      <c r="CF390" s="60" t="n">
        <f aca="false">BR390/BV390</f>
        <v>0</v>
      </c>
      <c r="CG390" s="60" t="n">
        <f aca="false">BS390/BV390</f>
        <v>0</v>
      </c>
      <c r="CH390" s="60" t="n">
        <f aca="false">BT390/BV390</f>
        <v>0</v>
      </c>
      <c r="CI390" s="60" t="n">
        <f aca="false">BU390/BV390</f>
        <v>0</v>
      </c>
      <c r="CJ390" s="60" t="n">
        <f aca="false">N390*BJ390/BW390</f>
        <v>1</v>
      </c>
      <c r="CK390" s="60" t="n">
        <f aca="false">O390*BK390/BW390</f>
        <v>0</v>
      </c>
      <c r="CL390" s="60" t="n">
        <f aca="false">P390*BL390/BW390</f>
        <v>0</v>
      </c>
      <c r="CM390" s="60" t="n">
        <f aca="false">Q390*BM390/BW390</f>
        <v>0</v>
      </c>
      <c r="CN390" s="60" t="n">
        <f aca="false">R390*BN390/BW390</f>
        <v>0</v>
      </c>
      <c r="CO390" s="60" t="n">
        <f aca="false">S390*BO390/BW390</f>
        <v>0</v>
      </c>
      <c r="CP390" s="60" t="n">
        <f aca="false">T390*BP390/BW390</f>
        <v>0</v>
      </c>
      <c r="CQ390" s="60" t="n">
        <f aca="false">U390*BQ390/BW390</f>
        <v>0</v>
      </c>
      <c r="CR390" s="60" t="n">
        <f aca="false">V390*BR390/BW390</f>
        <v>0</v>
      </c>
      <c r="CS390" s="60" t="n">
        <f aca="false">W390*BS390/BW390</f>
        <v>0</v>
      </c>
      <c r="CT390" s="60" t="n">
        <f aca="false">X390*BT390/BW390</f>
        <v>0</v>
      </c>
      <c r="CU390" s="60" t="n">
        <f aca="false">Y390*BU390/BW390</f>
        <v>0</v>
      </c>
      <c r="CV390" s="60" t="n">
        <f aca="false">$E$28*SUMPRODUCT($E$31:$P$31,BX390:CI390,$E$28:$P$28)</f>
        <v>0.184416866619846</v>
      </c>
      <c r="CW390" s="60" t="n">
        <f aca="false">$F$28*SUMPRODUCT($E$32:$P$32,BX390:CI390,$E$28:$P$28)</f>
        <v>0</v>
      </c>
      <c r="CX390" s="60" t="n">
        <f aca="false">$G$28*SUMPRODUCT($E$33:$P$33,BX390:CI390,$E$28:$P$28)</f>
        <v>0</v>
      </c>
      <c r="CY390" s="60" t="n">
        <f aca="false">$H$28*SUMPRODUCT($E$34:$P$34,BX390:CI390,$E$28:$P$28)</f>
        <v>0</v>
      </c>
      <c r="CZ390" s="60" t="n">
        <f aca="false">$I$28*SUMPRODUCT($E$35:$P$35,BX390:CI390,$E$28:$P$28)</f>
        <v>0</v>
      </c>
      <c r="DA390" s="60" t="n">
        <f aca="false">$J$28*SUMPRODUCT($E$36:$P$36,BX390:CI390,$E$28:$P$28)</f>
        <v>0</v>
      </c>
      <c r="DB390" s="60" t="n">
        <f aca="false">$K$28*SUMPRODUCT($E$37:$P$37,BX390:CI390,$E$28:$P$28)</f>
        <v>0</v>
      </c>
      <c r="DC390" s="60" t="n">
        <f aca="false">$L$28*SUMPRODUCT($E$38:$P$38,BX390:CI390,$E$28:$P$28)</f>
        <v>0</v>
      </c>
      <c r="DD390" s="60" t="n">
        <f aca="false">$M$28*SUMPRODUCT($E$39:$P$39,BX390:CI390,$E$28:$P$28)</f>
        <v>0</v>
      </c>
      <c r="DE390" s="60" t="n">
        <f aca="false">$N$28*SUMPRODUCT($E$40:$P$40,BX390:CI390,$E$28:$P$28)</f>
        <v>0</v>
      </c>
      <c r="DF390" s="60" t="n">
        <f aca="false">$O$28*SUMPRODUCT($E$41:$P$41,BX390:CI390,$E$28:$P$28)</f>
        <v>0</v>
      </c>
      <c r="DG390" s="60" t="n">
        <f aca="false">$P$28*SUMPRODUCT($E$42:$P$42,BX390:CI390,$E$28:$P$28)</f>
        <v>0</v>
      </c>
      <c r="DH390" s="60" t="n">
        <f aca="false">SUMPRODUCT(BX390:CI390,CV390:DG390)</f>
        <v>0.184416866619846</v>
      </c>
      <c r="DI390" s="60" t="n">
        <f aca="false">SUMPRODUCT(BX390:CI390,$E$27:$P$27)</f>
        <v>2.67389635063809E-005</v>
      </c>
      <c r="DJ390" s="60" t="n">
        <f aca="false">DH390*$C$9/($C$10*$C$8)^2</f>
        <v>0.21776909410545</v>
      </c>
      <c r="DK390" s="60" t="n">
        <f aca="false">DI390*$C$9/($C$10*$C$8)</f>
        <v>0.0918845243259994</v>
      </c>
      <c r="DL390" s="60" t="n">
        <f aca="false">CHOOSE($C$7,-(1+DK390),-1,-(1-DK390))</f>
        <v>-0.908115475674001</v>
      </c>
      <c r="DM390" s="60" t="n">
        <f aca="false">CHOOSE($C$7,DJ390,DJ390-DK390-DK390^2,DJ390-3*DK390^2-2*DK390)</f>
        <v>0.00867174802160559</v>
      </c>
      <c r="DN390" s="60" t="n">
        <f aca="false">CHOOSE($C$7,-DJ390*DK390,-DJ390*DK390,-(DJ390*DK390-DK390^2-DK390^3))</f>
        <v>-0.0107910842936637</v>
      </c>
      <c r="DO390" s="60" t="n">
        <f aca="false">DM390-DL390^2/3</f>
        <v>-0.266219491031267</v>
      </c>
      <c r="DP390" s="60" t="n">
        <f aca="false">2*DL390^3/27-DL390*DM390/3+DN390</f>
        <v>-0.0636400988362784</v>
      </c>
      <c r="DQ390" s="60" t="n">
        <f aca="false">DP390^2/4+DO390^3/27</f>
        <v>0.000313710901361829</v>
      </c>
      <c r="DR390" s="60" t="n">
        <f aca="false">-DP390/2-IF(DP390&gt;=0,1,-1)*SQRT(MAX(DQ390,0))</f>
        <v>0.0495319352963236</v>
      </c>
      <c r="DS390" s="60" t="n">
        <f aca="false">SIGN(DR390)*ABS(DR390)^(1/3)</f>
        <v>0.367249967174439</v>
      </c>
      <c r="DT390" s="60" t="n">
        <f aca="false">IF(DS390=0,0,DS390-DO390/(3*DS390))</f>
        <v>0.60888329127384</v>
      </c>
      <c r="DU390" s="60" t="n">
        <f aca="false">2*SQRT(MAX(-DO390,0)/3)</f>
        <v>0.595784626668918</v>
      </c>
      <c r="DV390" s="60" t="n">
        <f aca="false">ACOS(IF(DU390=0,0,MAX(-1,MIN(1,3*DP390/(DO390*DU390)))))</f>
        <v>0</v>
      </c>
      <c r="DW390" s="60" t="n">
        <f aca="false">DU390*COS(DV390/3)</f>
        <v>0.595784626668918</v>
      </c>
      <c r="DX390" s="60" t="n">
        <f aca="false">IF(DQ390&lt;0,DW390,DT390)-DL390/3</f>
        <v>0.91158844983184</v>
      </c>
      <c r="DY390" s="60" t="n">
        <f aca="false">IFERROR((((DX390+DL390)*DX390+DM390)*DX390+DN390)/((3*DX390+2*DL390)*DX390+DM390),0)</f>
        <v>0</v>
      </c>
      <c r="DZ390" s="60" t="n">
        <f aca="false">IF(ABS(DY390)&lt;0.1*ABS(DX390),DX390-DY390,DX390)</f>
        <v>0.91158844983184</v>
      </c>
      <c r="EA390" s="60" t="n">
        <f aca="false">IFERROR((((DZ390+DL390)*DZ390+DM390)*DZ390+DN390)/((3*DZ390+2*DL390)*DZ390+DM390),0)</f>
        <v>0</v>
      </c>
      <c r="EB390" s="60" t="n">
        <f aca="false">IF(ABS(EA390)&lt;0.1*ABS(DZ390),DZ390-EA390,DZ390)</f>
        <v>0.91158844983184</v>
      </c>
      <c r="EC390" s="60" t="n">
        <f aca="false">-DN390/EB390</f>
        <v>0.0118376711504565</v>
      </c>
      <c r="ED390" s="60" t="n">
        <f aca="false">(DM390-EC390)/EB390</f>
        <v>-0.00347297415783941</v>
      </c>
      <c r="EE390" s="60" t="n">
        <f aca="false">ED390^2-4*EC390</f>
        <v>-0.0473386230523248</v>
      </c>
      <c r="EF390" s="60" t="n">
        <f aca="false">IF(EE390&gt;=0,(ED390+IF(ED390&gt;=0,1,-1)*SQRT(EE390))/2,0)</f>
        <v>0</v>
      </c>
      <c r="EG390" s="60" t="n">
        <f aca="false">IF(AND(EE390&gt;=0,EF390&lt;&gt;0),MIN(EF390,EC390/EF390),-1)</f>
        <v>-1</v>
      </c>
      <c r="EH390" s="60" t="n">
        <f aca="false">AND(EE390&gt;=0,EG390&gt;DK390,ABS(EB390-EG390)&gt;=0.00005*MAX(EB390,EG390))</f>
        <v>0</v>
      </c>
      <c r="EI390" s="60" t="n">
        <f aca="false">IF(EH390,IFERROR((((EG390+DL390)*EG390+DM390)*EG390+DN390)/((3*EG390+2*DL390)*EG390+DM390),0),0)</f>
        <v>0</v>
      </c>
      <c r="EJ390" s="60" t="n">
        <f aca="false">IF(ABS(EI390)&lt;0.1*ABS(EG390),EG390-EI390,EG390)</f>
        <v>-1</v>
      </c>
      <c r="EK390" s="60" t="n">
        <f aca="false">IF(EH390,IFERROR((((EJ390+DL390)*EJ390+DM390)*EJ390+DN390)/((3*EJ390+2*DL390)*EJ390+DM390),0),0)</f>
        <v>0</v>
      </c>
      <c r="EL390" s="60" t="n">
        <f aca="false">IF(ABS(EK390)&lt;0.1*ABS(EJ390),EJ390-EK390,EJ390)</f>
        <v>-1</v>
      </c>
      <c r="EM390" s="60" t="n">
        <f aca="false">IF(EH390,MAX(EB390,EL390),EB390)</f>
        <v>0.91158844983184</v>
      </c>
      <c r="EN390" s="60" t="n">
        <f aca="false">IF(EH390,MIN(EB390,EL390),-1)</f>
        <v>-1</v>
      </c>
      <c r="EO390" s="60" t="n">
        <f aca="false">CHOOSE($C$7,DJ390/EM390,DJ390/DK390*LN(1+DK390/EM390),DJ390/(2*SQRT(2)*DK390)*LN((EM390+(1+SQRT(2))*DK390)/(EM390+(1-SQRT(2))*DK390)))</f>
        <v>0.218240791233887</v>
      </c>
      <c r="EP390" s="60" t="n">
        <f aca="false">EM390-1-LN(EM390-DK390)-EO390</f>
        <v>-0.107840271021729</v>
      </c>
      <c r="EQ390" s="60" t="n">
        <f aca="false">IF(EH390,CHOOSE($C$7,DJ390/EN390,DJ390/DK390*LN(1+DK390/EN390),DJ390/(2*SQRT(2)*DK390)*LN((EN390+(1+SQRT(2))*DK390)/(EN390+(1-SQRT(2))*DK390))),0)</f>
        <v>0</v>
      </c>
      <c r="ER390" s="60" t="n">
        <f aca="false">IF(EH390,EN390-1-LN(EN390-DK390)-EQ390,0)</f>
        <v>0</v>
      </c>
      <c r="ES390" s="60" t="n">
        <f aca="false">AND(EH390,ER390&lt;EP390)</f>
        <v>0</v>
      </c>
      <c r="ET390" s="60" t="n">
        <f aca="false">IF(ES390,EN390,EM390)</f>
        <v>0.91158844983184</v>
      </c>
      <c r="EU390" s="60" t="n">
        <f aca="false">IF(ES390,EQ390,EO390)</f>
        <v>0.218240791233887</v>
      </c>
      <c r="EV390" s="60" t="n">
        <f aca="false">LN(ET390-DK390)</f>
        <v>-0.198812070380318</v>
      </c>
      <c r="EW390" s="60" t="n">
        <f aca="false">$E$27/DI390*(ET390-1)-EV390-EU390*(2*CV390/DH390-$E$27/DI390)</f>
        <v>-0.107840271021729</v>
      </c>
      <c r="EX390" s="60" t="n">
        <f aca="false">$F$27/DI390*(ET390-1)-EV390-EU390*(2*CW390/DH390-$F$27/DI390)</f>
        <v>0.198812070380318</v>
      </c>
      <c r="EY390" s="60" t="n">
        <f aca="false">$G$27/DI390*(ET390-1)-EV390-EU390*(2*CX390/DH390-$G$27/DI390)</f>
        <v>0.198812070380318</v>
      </c>
      <c r="EZ390" s="60" t="n">
        <f aca="false">$H$27/DI390*(ET390-1)-EV390-EU390*(2*CY390/DH390-$H$27/DI390)</f>
        <v>0.198812070380318</v>
      </c>
      <c r="FA390" s="60" t="n">
        <f aca="false">$I$27/DI390*(ET390-1)-EV390-EU390*(2*CZ390/DH390-$I$27/DI390)</f>
        <v>0.198812070380318</v>
      </c>
      <c r="FB390" s="60" t="n">
        <f aca="false">$J$27/DI390*(ET390-1)-EV390-EU390*(2*DA390/DH390-$J$27/DI390)</f>
        <v>0.198812070380318</v>
      </c>
      <c r="FC390" s="60" t="n">
        <f aca="false">$K$27/DI390*(ET390-1)-EV390-EU390*(2*DB390/DH390-$K$27/DI390)</f>
        <v>0.198812070380318</v>
      </c>
      <c r="FD390" s="60" t="n">
        <f aca="false">$L$27/DI390*(ET390-1)-EV390-EU390*(2*DC390/DH390-$L$27/DI390)</f>
        <v>0.198812070380318</v>
      </c>
      <c r="FE390" s="60" t="n">
        <f aca="false">$M$27/DI390*(ET390-1)-EV390-EU390*(2*DD390/DH390-$M$27/DI390)</f>
        <v>0.198812070380318</v>
      </c>
      <c r="FF390" s="60" t="n">
        <f aca="false">$N$27/DI390*(ET390-1)-EV390-EU390*(2*DE390/DH390-$N$27/DI390)</f>
        <v>0.198812070380318</v>
      </c>
      <c r="FG390" s="60" t="n">
        <f aca="false">$O$27/DI390*(ET390-1)-EV390-EU390*(2*DF390/DH390-$O$27/DI390)</f>
        <v>0.198812070380318</v>
      </c>
      <c r="FH390" s="60" t="n">
        <f aca="false">$P$27/DI390*(ET390-1)-EV390-EU390*(2*DG390/DH390-$P$27/DI390)</f>
        <v>0.198812070380318</v>
      </c>
      <c r="FI390" s="60" t="n">
        <f aca="false">DK390/ET390&gt;$C$22</f>
        <v>0</v>
      </c>
      <c r="FJ390" s="60" t="n">
        <f aca="false">$E$28*SUMPRODUCT($E$31:$P$31,CJ390:CU390,$E$28:$P$28)</f>
        <v>0.184416866619846</v>
      </c>
      <c r="FK390" s="60" t="n">
        <f aca="false">$F$28*SUMPRODUCT($E$32:$P$32,CJ390:CU390,$E$28:$P$28)</f>
        <v>0</v>
      </c>
      <c r="FL390" s="60" t="n">
        <f aca="false">$G$28*SUMPRODUCT($E$33:$P$33,CJ390:CU390,$E$28:$P$28)</f>
        <v>0</v>
      </c>
      <c r="FM390" s="60" t="n">
        <f aca="false">$H$28*SUMPRODUCT($E$34:$P$34,CJ390:CU390,$E$28:$P$28)</f>
        <v>0</v>
      </c>
      <c r="FN390" s="60" t="n">
        <f aca="false">$I$28*SUMPRODUCT($E$35:$P$35,CJ390:CU390,$E$28:$P$28)</f>
        <v>0</v>
      </c>
      <c r="FO390" s="60" t="n">
        <f aca="false">$J$28*SUMPRODUCT($E$36:$P$36,CJ390:CU390,$E$28:$P$28)</f>
        <v>0</v>
      </c>
      <c r="FP390" s="60" t="n">
        <f aca="false">$K$28*SUMPRODUCT($E$37:$P$37,CJ390:CU390,$E$28:$P$28)</f>
        <v>0</v>
      </c>
      <c r="FQ390" s="60" t="n">
        <f aca="false">$L$28*SUMPRODUCT($E$38:$P$38,CJ390:CU390,$E$28:$P$28)</f>
        <v>0</v>
      </c>
      <c r="FR390" s="60" t="n">
        <f aca="false">$M$28*SUMPRODUCT($E$39:$P$39,CJ390:CU390,$E$28:$P$28)</f>
        <v>0</v>
      </c>
      <c r="FS390" s="60" t="n">
        <f aca="false">$N$28*SUMPRODUCT($E$40:$P$40,CJ390:CU390,$E$28:$P$28)</f>
        <v>0</v>
      </c>
      <c r="FT390" s="60" t="n">
        <f aca="false">$O$28*SUMPRODUCT($E$41:$P$41,CJ390:CU390,$E$28:$P$28)</f>
        <v>0</v>
      </c>
      <c r="FU390" s="60" t="n">
        <f aca="false">$P$28*SUMPRODUCT($E$42:$P$42,CJ390:CU390,$E$28:$P$28)</f>
        <v>0</v>
      </c>
      <c r="FV390" s="60" t="n">
        <f aca="false">SUMPRODUCT(CJ390:CU390,FJ390:FU390)</f>
        <v>0.184416866619846</v>
      </c>
      <c r="FW390" s="60" t="n">
        <f aca="false">SUMPRODUCT(CJ390:CU390,$E$27:$P$27)</f>
        <v>2.67389635063809E-005</v>
      </c>
      <c r="FX390" s="60" t="n">
        <f aca="false">FV390*$C$9/($C$10*$C$8)^2</f>
        <v>0.21776909410545</v>
      </c>
      <c r="FY390" s="60" t="n">
        <f aca="false">FW390*$C$9/($C$10*$C$8)</f>
        <v>0.0918845243259994</v>
      </c>
      <c r="FZ390" s="60" t="n">
        <f aca="false">CHOOSE($C$7,-(1+FY390),-1,-(1-FY390))</f>
        <v>-0.908115475674001</v>
      </c>
      <c r="GA390" s="60" t="n">
        <f aca="false">CHOOSE($C$7,FX390,FX390-FY390-FY390^2,FX390-3*FY390^2-2*FY390)</f>
        <v>0.00867174802160559</v>
      </c>
      <c r="GB390" s="60" t="n">
        <f aca="false">CHOOSE($C$7,-FX390*FY390,-FX390*FY390,-(FX390*FY390-FY390^2-FY390^3))</f>
        <v>-0.0107910842936637</v>
      </c>
      <c r="GC390" s="60" t="n">
        <f aca="false">GA390-FZ390^2/3</f>
        <v>-0.266219491031267</v>
      </c>
      <c r="GD390" s="60" t="n">
        <f aca="false">2*FZ390^3/27-FZ390*GA390/3+GB390</f>
        <v>-0.0636400988362784</v>
      </c>
      <c r="GE390" s="60" t="n">
        <f aca="false">GD390^2/4+GC390^3/27</f>
        <v>0.000313710901361829</v>
      </c>
      <c r="GF390" s="60" t="n">
        <f aca="false">-GD390/2-IF(GD390&gt;=0,1,-1)*SQRT(MAX(GE390,0))</f>
        <v>0.0495319352963236</v>
      </c>
      <c r="GG390" s="60" t="n">
        <f aca="false">SIGN(GF390)*ABS(GF390)^(1/3)</f>
        <v>0.367249967174439</v>
      </c>
      <c r="GH390" s="60" t="n">
        <f aca="false">IF(GG390=0,0,GG390-GC390/(3*GG390))</f>
        <v>0.60888329127384</v>
      </c>
      <c r="GI390" s="60" t="n">
        <f aca="false">2*SQRT(MAX(-GC390,0)/3)</f>
        <v>0.595784626668918</v>
      </c>
      <c r="GJ390" s="60" t="n">
        <f aca="false">ACOS(IF(GI390=0,0,MAX(-1,MIN(1,3*GD390/(GC390*GI390)))))</f>
        <v>0</v>
      </c>
      <c r="GK390" s="60" t="n">
        <f aca="false">GI390*COS(GJ390/3)</f>
        <v>0.595784626668918</v>
      </c>
      <c r="GL390" s="60" t="n">
        <f aca="false">IF(GE390&lt;0,GK390,GH390)-FZ390/3</f>
        <v>0.91158844983184</v>
      </c>
      <c r="GM390" s="60" t="n">
        <f aca="false">IFERROR((((GL390+FZ390)*GL390+GA390)*GL390+GB390)/((3*GL390+2*FZ390)*GL390+GA390),0)</f>
        <v>0</v>
      </c>
      <c r="GN390" s="60" t="n">
        <f aca="false">IF(ABS(GM390)&lt;0.1*ABS(GL390),GL390-GM390,GL390)</f>
        <v>0.91158844983184</v>
      </c>
      <c r="GO390" s="60" t="n">
        <f aca="false">IFERROR((((GN390+FZ390)*GN390+GA390)*GN390+GB390)/((3*GN390+2*FZ390)*GN390+GA390),0)</f>
        <v>0</v>
      </c>
      <c r="GP390" s="60" t="n">
        <f aca="false">IF(ABS(GO390)&lt;0.1*ABS(GN390),GN390-GO390,GN390)</f>
        <v>0.91158844983184</v>
      </c>
      <c r="GQ390" s="60" t="n">
        <f aca="false">-GB390/GP390</f>
        <v>0.0118376711504565</v>
      </c>
      <c r="GR390" s="60" t="n">
        <f aca="false">(GA390-GQ390)/GP390</f>
        <v>-0.00347297415783941</v>
      </c>
      <c r="GS390" s="60" t="n">
        <f aca="false">GR390^2-4*GQ390</f>
        <v>-0.0473386230523248</v>
      </c>
      <c r="GT390" s="60" t="n">
        <f aca="false">IF(GS390&gt;=0,(GR390+IF(GR390&gt;=0,1,-1)*SQRT(GS390))/2,0)</f>
        <v>0</v>
      </c>
      <c r="GU390" s="60" t="n">
        <f aca="false">IF(AND(GS390&gt;=0,GT390&lt;&gt;0),MIN(GT390,GQ390/GT390),-1)</f>
        <v>-1</v>
      </c>
      <c r="GV390" s="60" t="n">
        <f aca="false">AND(GS390&gt;=0,GU390&gt;FY390,ABS(GP390-GU390)&gt;=0.00005*MAX(GP390,GU390))</f>
        <v>0</v>
      </c>
      <c r="GW390" s="60" t="n">
        <f aca="false">IF(GV390,IFERROR((((GU390+FZ390)*GU390+GA390)*GU390+GB390)/((3*GU390+2*FZ390)*GU390+GA390),0),0)</f>
        <v>0</v>
      </c>
      <c r="GX390" s="60" t="n">
        <f aca="false">IF(ABS(GW390)&lt;0.1*ABS(GU390),GU390-GW390,GU390)</f>
        <v>-1</v>
      </c>
      <c r="GY390" s="60" t="n">
        <f aca="false">IF(GV390,IFERROR((((GX390+FZ390)*GX390+GA390)*GX390+GB390)/((3*GX390+2*FZ390)*GX390+GA390),0),0)</f>
        <v>0</v>
      </c>
      <c r="GZ390" s="60" t="n">
        <f aca="false">IF(ABS(GY390)&lt;0.1*ABS(GX390),GX390-GY390,GX390)</f>
        <v>-1</v>
      </c>
      <c r="HA390" s="60" t="n">
        <f aca="false">IF(GV390,MAX(GP390,GZ390),GP390)</f>
        <v>0.91158844983184</v>
      </c>
      <c r="HB390" s="60" t="n">
        <f aca="false">IF(GV390,MIN(GP390,GZ390),-1)</f>
        <v>-1</v>
      </c>
      <c r="HC390" s="60" t="n">
        <f aca="false">CHOOSE($C$7,FX390/HA390,FX390/FY390*LN(1+FY390/HA390),FX390/(2*SQRT(2)*FY390)*LN((HA390+(1+SQRT(2))*FY390)/(HA390+(1-SQRT(2))*FY390)))</f>
        <v>0.218240791233887</v>
      </c>
      <c r="HD390" s="60" t="n">
        <f aca="false">HA390-1-LN(HA390-FY390)-HC390</f>
        <v>-0.107840271021729</v>
      </c>
      <c r="HE390" s="60" t="n">
        <f aca="false">IF(GV390,CHOOSE($C$7,FX390/HB390,FX390/FY390*LN(1+FY390/HB390),FX390/(2*SQRT(2)*FY390)*LN((HB390+(1+SQRT(2))*FY390)/(HB390+(1-SQRT(2))*FY390))),0)</f>
        <v>0</v>
      </c>
      <c r="HF390" s="60" t="n">
        <f aca="false">IF(GV390,HB390-1-LN(HB390-FY390)-HE390,0)</f>
        <v>0</v>
      </c>
      <c r="HG390" s="60" t="n">
        <f aca="false">AND(GV390,HF390&lt;HD390)</f>
        <v>0</v>
      </c>
      <c r="HH390" s="60" t="n">
        <f aca="false">IF(HG390,HB390,HA390)</f>
        <v>0.91158844983184</v>
      </c>
      <c r="HI390" s="60" t="n">
        <f aca="false">IF(HG390,HE390,HC390)</f>
        <v>0.218240791233887</v>
      </c>
      <c r="HJ390" s="60" t="n">
        <f aca="false">LN(HH390-FY390)</f>
        <v>-0.198812070380318</v>
      </c>
      <c r="HK390" s="60" t="n">
        <f aca="false">$E$27/FW390*(HH390-1)-HJ390-HI390*(2*FJ390/FV390-$E$27/FW390)</f>
        <v>-0.107840271021729</v>
      </c>
      <c r="HL390" s="60" t="n">
        <f aca="false">$F$27/FW390*(HH390-1)-HJ390-HI390*(2*FK390/FV390-$F$27/FW390)</f>
        <v>0.198812070380318</v>
      </c>
      <c r="HM390" s="60" t="n">
        <f aca="false">$G$27/FW390*(HH390-1)-HJ390-HI390*(2*FL390/FV390-$G$27/FW390)</f>
        <v>0.198812070380318</v>
      </c>
      <c r="HN390" s="60" t="n">
        <f aca="false">$H$27/FW390*(HH390-1)-HJ390-HI390*(2*FM390/FV390-$H$27/FW390)</f>
        <v>0.198812070380318</v>
      </c>
      <c r="HO390" s="60" t="n">
        <f aca="false">$I$27/FW390*(HH390-1)-HJ390-HI390*(2*FN390/FV390-$I$27/FW390)</f>
        <v>0.198812070380318</v>
      </c>
      <c r="HP390" s="60" t="n">
        <f aca="false">$J$27/FW390*(HH390-1)-HJ390-HI390*(2*FO390/FV390-$J$27/FW390)</f>
        <v>0.198812070380318</v>
      </c>
      <c r="HQ390" s="60" t="n">
        <f aca="false">$K$27/FW390*(HH390-1)-HJ390-HI390*(2*FP390/FV390-$K$27/FW390)</f>
        <v>0.198812070380318</v>
      </c>
      <c r="HR390" s="60" t="n">
        <f aca="false">$L$27/FW390*(HH390-1)-HJ390-HI390*(2*FQ390/FV390-$L$27/FW390)</f>
        <v>0.198812070380318</v>
      </c>
      <c r="HS390" s="60" t="n">
        <f aca="false">$M$27/FW390*(HH390-1)-HJ390-HI390*(2*FR390/FV390-$M$27/FW390)</f>
        <v>0.198812070380318</v>
      </c>
      <c r="HT390" s="60" t="n">
        <f aca="false">$N$27/FW390*(HH390-1)-HJ390-HI390*(2*FS390/FV390-$N$27/FW390)</f>
        <v>0.198812070380318</v>
      </c>
      <c r="HU390" s="60" t="n">
        <f aca="false">$O$27/FW390*(HH390-1)-HJ390-HI390*(2*FT390/FV390-$O$27/FW390)</f>
        <v>0.198812070380318</v>
      </c>
      <c r="HV390" s="60" t="n">
        <f aca="false">$P$27/FW390*(HH390-1)-HJ390-HI390*(2*FU390/FV390-$P$27/FW390)</f>
        <v>0.198812070380318</v>
      </c>
      <c r="HW390" s="60" t="n">
        <f aca="false">FY390/HH390&gt;$C$22</f>
        <v>0</v>
      </c>
      <c r="HX390" s="60" t="n">
        <f aca="false">IF($E$13&gt;0,MAX(-300,MIN(300,EW390-HK390)),0)</f>
        <v>0</v>
      </c>
      <c r="HY390" s="60" t="n">
        <f aca="false">IF($F$13&gt;0,MAX(-300,MIN(300,EX390-HL390)),0)</f>
        <v>0</v>
      </c>
      <c r="HZ390" s="60" t="n">
        <f aca="false">IF($G$13&gt;0,MAX(-300,MIN(300,EY390-HM390)),0)</f>
        <v>0</v>
      </c>
      <c r="IA390" s="60" t="n">
        <f aca="false">IF($H$13&gt;0,MAX(-300,MIN(300,EZ390-HN390)),0)</f>
        <v>0</v>
      </c>
      <c r="IB390" s="60" t="n">
        <f aca="false">IF($I$13&gt;0,MAX(-300,MIN(300,FA390-HO390)),0)</f>
        <v>0</v>
      </c>
      <c r="IC390" s="60" t="n">
        <f aca="false">IF($J$13&gt;0,MAX(-300,MIN(300,FB390-HP390)),0)</f>
        <v>0</v>
      </c>
      <c r="ID390" s="60" t="n">
        <f aca="false">IF($K$13&gt;0,MAX(-300,MIN(300,FC390-HQ390)),0)</f>
        <v>0</v>
      </c>
      <c r="IE390" s="60" t="n">
        <f aca="false">IF($L$13&gt;0,MAX(-300,MIN(300,FD390-HR390)),0)</f>
        <v>0</v>
      </c>
      <c r="IF390" s="60" t="n">
        <f aca="false">IF($M$13&gt;0,MAX(-300,MIN(300,FE390-HS390)),0)</f>
        <v>0</v>
      </c>
      <c r="IG390" s="60" t="n">
        <f aca="false">IF($N$13&gt;0,MAX(-300,MIN(300,FF390-HT390)),0)</f>
        <v>0</v>
      </c>
      <c r="IH390" s="60" t="n">
        <f aca="false">IF($O$13&gt;0,MAX(-300,MIN(300,FG390-HU390)),0)</f>
        <v>0</v>
      </c>
      <c r="II390" s="60" t="n">
        <f aca="false">IF($P$13&gt;0,MAX(-300,MIN(300,FH390-HV390)),0)</f>
        <v>0</v>
      </c>
      <c r="IJ390" s="60" t="n">
        <f aca="false">SUMXMY2(HX390:II390,B390:M390)</f>
        <v>0</v>
      </c>
      <c r="IK390" s="60" t="n">
        <f aca="false">SUMSQ(B390:M390)</f>
        <v>0</v>
      </c>
    </row>
    <row r="391" customFormat="false" ht="15" hidden="false" customHeight="false" outlineLevel="0" collapsed="false">
      <c r="A391" s="59" t="n">
        <v>30</v>
      </c>
      <c r="B391" s="60" t="n">
        <f aca="false">HX390</f>
        <v>0</v>
      </c>
      <c r="C391" s="60" t="n">
        <f aca="false">HY390</f>
        <v>0</v>
      </c>
      <c r="D391" s="60" t="n">
        <f aca="false">HZ390</f>
        <v>0</v>
      </c>
      <c r="E391" s="60" t="n">
        <f aca="false">IA390</f>
        <v>0</v>
      </c>
      <c r="F391" s="60" t="n">
        <f aca="false">IB390</f>
        <v>0</v>
      </c>
      <c r="G391" s="60" t="n">
        <f aca="false">IC390</f>
        <v>0</v>
      </c>
      <c r="H391" s="60" t="n">
        <f aca="false">ID390</f>
        <v>0</v>
      </c>
      <c r="I391" s="60" t="n">
        <f aca="false">IE390</f>
        <v>0</v>
      </c>
      <c r="J391" s="60" t="n">
        <f aca="false">IF390</f>
        <v>0</v>
      </c>
      <c r="K391" s="60" t="n">
        <f aca="false">IG390</f>
        <v>0</v>
      </c>
      <c r="L391" s="60" t="n">
        <f aca="false">IH390</f>
        <v>0</v>
      </c>
      <c r="M391" s="60" t="n">
        <f aca="false">II390</f>
        <v>0</v>
      </c>
      <c r="N391" s="60" t="n">
        <f aca="false">EXP(B391)</f>
        <v>1</v>
      </c>
      <c r="O391" s="60" t="n">
        <f aca="false">EXP(C391)</f>
        <v>1</v>
      </c>
      <c r="P391" s="60" t="n">
        <f aca="false">EXP(D391)</f>
        <v>1</v>
      </c>
      <c r="Q391" s="60" t="n">
        <f aca="false">EXP(E391)</f>
        <v>1</v>
      </c>
      <c r="R391" s="60" t="n">
        <f aca="false">EXP(F391)</f>
        <v>1</v>
      </c>
      <c r="S391" s="60" t="n">
        <f aca="false">EXP(G391)</f>
        <v>1</v>
      </c>
      <c r="T391" s="60" t="n">
        <f aca="false">EXP(H391)</f>
        <v>1</v>
      </c>
      <c r="U391" s="60" t="n">
        <f aca="false">EXP(I391)</f>
        <v>1</v>
      </c>
      <c r="V391" s="60" t="n">
        <f aca="false">EXP(J391)</f>
        <v>1</v>
      </c>
      <c r="W391" s="60" t="n">
        <f aca="false">EXP(K391)</f>
        <v>1</v>
      </c>
      <c r="X391" s="60" t="n">
        <f aca="false">EXP(L391)</f>
        <v>1</v>
      </c>
      <c r="Y391" s="60" t="n">
        <f aca="false">EXP(M391)</f>
        <v>1</v>
      </c>
      <c r="Z391" s="60" t="n">
        <f aca="false">MAX(N391:Y391)</f>
        <v>1</v>
      </c>
      <c r="AA391" s="60" t="n">
        <f aca="false">MIN(N391:Y391)</f>
        <v>1</v>
      </c>
      <c r="AB391" s="60" t="n">
        <f aca="false">AND(Z391&gt;1,AA391&lt;1)</f>
        <v>0</v>
      </c>
      <c r="AC391" s="60" t="n">
        <f aca="false">IF(AB391,1/(1-Z391),0)</f>
        <v>0</v>
      </c>
      <c r="AD391" s="60" t="n">
        <f aca="false">IF(AB391,1/(1-AA391),1)</f>
        <v>1</v>
      </c>
      <c r="AE391" s="60" t="n">
        <f aca="false">IF(AB391,MIN(MAX(BI390,AC391+0.000000001*(AD391-AC391)),AD391-0.000000001*(AD391-AC391)),IF(AA391&gt;=1,1,0))</f>
        <v>1</v>
      </c>
      <c r="AF391" s="60" t="n">
        <f aca="false">SUMPRODUCT($E$13:$P$13*(N391:Y391-1)/(1+AE391*(N391:Y391-1)))</f>
        <v>0</v>
      </c>
      <c r="AG391" s="60" t="n">
        <f aca="false">-SUMPRODUCT($E$13:$P$13*(N391:Y391-1)^2/(1+AE391*(N391:Y391-1))^2)</f>
        <v>-0</v>
      </c>
      <c r="AH391" s="60" t="n">
        <f aca="false">IF(OR(NOT(AB391),AG391=0),AE391,IF(AE391-AF391/AG391&lt;=AC391,(AE391+AC391)/2,IF(AE391-AF391/AG391&gt;=AD391,(AE391+AD391)/2,AE391-AF391/AG391)))</f>
        <v>1</v>
      </c>
      <c r="AI391" s="60" t="n">
        <f aca="false">SUMPRODUCT($E$13:$P$13*(N391:Y391-1)/(1+AH391*(N391:Y391-1)))</f>
        <v>0</v>
      </c>
      <c r="AJ391" s="60" t="n">
        <f aca="false">-SUMPRODUCT($E$13:$P$13*(N391:Y391-1)^2/(1+AH391*(N391:Y391-1))^2)</f>
        <v>-0</v>
      </c>
      <c r="AK391" s="60" t="n">
        <f aca="false">IF(OR(NOT(AB391),AJ391=0),AH391,IF(AH391-AI391/AJ391&lt;=AC391,(AH391+AC391)/2,IF(AH391-AI391/AJ391&gt;=AD391,(AH391+AD391)/2,AH391-AI391/AJ391)))</f>
        <v>1</v>
      </c>
      <c r="AL391" s="60" t="n">
        <f aca="false">SUMPRODUCT($E$13:$P$13*(N391:Y391-1)/(1+AK391*(N391:Y391-1)))</f>
        <v>0</v>
      </c>
      <c r="AM391" s="60" t="n">
        <f aca="false">-SUMPRODUCT($E$13:$P$13*(N391:Y391-1)^2/(1+AK391*(N391:Y391-1))^2)</f>
        <v>-0</v>
      </c>
      <c r="AN391" s="60" t="n">
        <f aca="false">IF(OR(NOT(AB391),AM391=0),AK391,IF(AK391-AL391/AM391&lt;=AC391,(AK391+AC391)/2,IF(AK391-AL391/AM391&gt;=AD391,(AK391+AD391)/2,AK391-AL391/AM391)))</f>
        <v>1</v>
      </c>
      <c r="AO391" s="60" t="n">
        <f aca="false">SUMPRODUCT($E$13:$P$13*(N391:Y391-1)/(1+AN391*(N391:Y391-1)))</f>
        <v>0</v>
      </c>
      <c r="AP391" s="60" t="n">
        <f aca="false">-SUMPRODUCT($E$13:$P$13*(N391:Y391-1)^2/(1+AN391*(N391:Y391-1))^2)</f>
        <v>-0</v>
      </c>
      <c r="AQ391" s="60" t="n">
        <f aca="false">IF(OR(NOT(AB391),AP391=0),AN391,IF(AN391-AO391/AP391&lt;=AC391,(AN391+AC391)/2,IF(AN391-AO391/AP391&gt;=AD391,(AN391+AD391)/2,AN391-AO391/AP391)))</f>
        <v>1</v>
      </c>
      <c r="AR391" s="60" t="n">
        <f aca="false">SUMPRODUCT($E$13:$P$13*(N391:Y391-1)/(1+AQ391*(N391:Y391-1)))</f>
        <v>0</v>
      </c>
      <c r="AS391" s="60" t="n">
        <f aca="false">-SUMPRODUCT($E$13:$P$13*(N391:Y391-1)^2/(1+AQ391*(N391:Y391-1))^2)</f>
        <v>-0</v>
      </c>
      <c r="AT391" s="60" t="n">
        <f aca="false">IF(OR(NOT(AB391),AS391=0),AQ391,IF(AQ391-AR391/AS391&lt;=AC391,(AQ391+AC391)/2,IF(AQ391-AR391/AS391&gt;=AD391,(AQ391+AD391)/2,AQ391-AR391/AS391)))</f>
        <v>1</v>
      </c>
      <c r="AU391" s="60" t="n">
        <f aca="false">SUMPRODUCT($E$13:$P$13*(N391:Y391-1)/(1+AT391*(N391:Y391-1)))</f>
        <v>0</v>
      </c>
      <c r="AV391" s="60" t="n">
        <f aca="false">-SUMPRODUCT($E$13:$P$13*(N391:Y391-1)^2/(1+AT391*(N391:Y391-1))^2)</f>
        <v>-0</v>
      </c>
      <c r="AW391" s="60" t="n">
        <f aca="false">IF(OR(NOT(AB391),AV391=0),AT391,IF(AT391-AU391/AV391&lt;=AC391,(AT391+AC391)/2,IF(AT391-AU391/AV391&gt;=AD391,(AT391+AD391)/2,AT391-AU391/AV391)))</f>
        <v>1</v>
      </c>
      <c r="AX391" s="60" t="n">
        <f aca="false">SUMPRODUCT($E$13:$P$13*(N391:Y391-1)/(1+AW391*(N391:Y391-1)))</f>
        <v>0</v>
      </c>
      <c r="AY391" s="60" t="n">
        <f aca="false">-SUMPRODUCT($E$13:$P$13*(N391:Y391-1)^2/(1+AW391*(N391:Y391-1))^2)</f>
        <v>-0</v>
      </c>
      <c r="AZ391" s="60" t="n">
        <f aca="false">IF(OR(NOT(AB391),AY391=0),AW391,IF(AW391-AX391/AY391&lt;=AC391,(AW391+AC391)/2,IF(AW391-AX391/AY391&gt;=AD391,(AW391+AD391)/2,AW391-AX391/AY391)))</f>
        <v>1</v>
      </c>
      <c r="BA391" s="60" t="n">
        <f aca="false">SUMPRODUCT($E$13:$P$13*(N391:Y391-1)/(1+AZ391*(N391:Y391-1)))</f>
        <v>0</v>
      </c>
      <c r="BB391" s="60" t="n">
        <f aca="false">-SUMPRODUCT($E$13:$P$13*(N391:Y391-1)^2/(1+AZ391*(N391:Y391-1))^2)</f>
        <v>-0</v>
      </c>
      <c r="BC391" s="60" t="n">
        <f aca="false">IF(OR(NOT(AB391),BB391=0),AZ391,IF(AZ391-BA391/BB391&lt;=AC391,(AZ391+AC391)/2,IF(AZ391-BA391/BB391&gt;=AD391,(AZ391+AD391)/2,AZ391-BA391/BB391)))</f>
        <v>1</v>
      </c>
      <c r="BD391" s="60" t="n">
        <f aca="false">SUMPRODUCT($E$13:$P$13*(N391:Y391-1)/(1+BC391*(N391:Y391-1)))</f>
        <v>0</v>
      </c>
      <c r="BE391" s="60" t="n">
        <f aca="false">-SUMPRODUCT($E$13:$P$13*(N391:Y391-1)^2/(1+BC391*(N391:Y391-1))^2)</f>
        <v>-0</v>
      </c>
      <c r="BF391" s="60" t="n">
        <f aca="false">IF(OR(NOT(AB391),BE391=0),BC391,IF(BC391-BD391/BE391&lt;=AC391,(BC391+AC391)/2,IF(BC391-BD391/BE391&gt;=AD391,(BC391+AD391)/2,BC391-BD391/BE391)))</f>
        <v>1</v>
      </c>
      <c r="BG391" s="60" t="n">
        <f aca="false">SUMPRODUCT($E$13:$P$13*(N391:Y391-1)/(1+BF391*(N391:Y391-1)))</f>
        <v>0</v>
      </c>
      <c r="BH391" s="60" t="n">
        <f aca="false">-SUMPRODUCT($E$13:$P$13*(N391:Y391-1)^2/(1+BF391*(N391:Y391-1))^2)</f>
        <v>-0</v>
      </c>
      <c r="BI391" s="60" t="n">
        <f aca="false">IF(OR(NOT(AB391),BH391=0),BF391,IF(BF391-BG391/BH391&lt;=AC391,(BF391+AC391)/2,IF(BF391-BG391/BH391&gt;=AD391,(BF391+AD391)/2,BF391-BG391/BH391)))</f>
        <v>1</v>
      </c>
      <c r="BJ391" s="60" t="n">
        <f aca="false">$E$13/(1+BI391*(N391-1))</f>
        <v>1</v>
      </c>
      <c r="BK391" s="60" t="n">
        <f aca="false">$F$13/(1+BI391*(O391-1))</f>
        <v>0</v>
      </c>
      <c r="BL391" s="60" t="n">
        <f aca="false">$G$13/(1+BI391*(P391-1))</f>
        <v>0</v>
      </c>
      <c r="BM391" s="60" t="n">
        <f aca="false">$H$13/(1+BI391*(Q391-1))</f>
        <v>0</v>
      </c>
      <c r="BN391" s="60" t="n">
        <f aca="false">$I$13/(1+BI391*(R391-1))</f>
        <v>0</v>
      </c>
      <c r="BO391" s="60" t="n">
        <f aca="false">$J$13/(1+BI391*(S391-1))</f>
        <v>0</v>
      </c>
      <c r="BP391" s="60" t="n">
        <f aca="false">$K$13/(1+BI391*(T391-1))</f>
        <v>0</v>
      </c>
      <c r="BQ391" s="60" t="n">
        <f aca="false">$L$13/(1+BI391*(U391-1))</f>
        <v>0</v>
      </c>
      <c r="BR391" s="60" t="n">
        <f aca="false">$M$13/(1+BI391*(V391-1))</f>
        <v>0</v>
      </c>
      <c r="BS391" s="60" t="n">
        <f aca="false">$N$13/(1+BI391*(W391-1))</f>
        <v>0</v>
      </c>
      <c r="BT391" s="60" t="n">
        <f aca="false">$O$13/(1+BI391*(X391-1))</f>
        <v>0</v>
      </c>
      <c r="BU391" s="60" t="n">
        <f aca="false">$P$13/(1+BI391*(Y391-1))</f>
        <v>0</v>
      </c>
      <c r="BV391" s="60" t="n">
        <f aca="false">SUM(BJ391:BU391)</f>
        <v>1</v>
      </c>
      <c r="BW391" s="60" t="n">
        <f aca="false">SUMPRODUCT(N391:Y391,BJ391:BU391)</f>
        <v>1</v>
      </c>
      <c r="BX391" s="60" t="n">
        <f aca="false">BJ391/BV391</f>
        <v>1</v>
      </c>
      <c r="BY391" s="60" t="n">
        <f aca="false">BK391/BV391</f>
        <v>0</v>
      </c>
      <c r="BZ391" s="60" t="n">
        <f aca="false">BL391/BV391</f>
        <v>0</v>
      </c>
      <c r="CA391" s="60" t="n">
        <f aca="false">BM391/BV391</f>
        <v>0</v>
      </c>
      <c r="CB391" s="60" t="n">
        <f aca="false">BN391/BV391</f>
        <v>0</v>
      </c>
      <c r="CC391" s="60" t="n">
        <f aca="false">BO391/BV391</f>
        <v>0</v>
      </c>
      <c r="CD391" s="60" t="n">
        <f aca="false">BP391/BV391</f>
        <v>0</v>
      </c>
      <c r="CE391" s="60" t="n">
        <f aca="false">BQ391/BV391</f>
        <v>0</v>
      </c>
      <c r="CF391" s="60" t="n">
        <f aca="false">BR391/BV391</f>
        <v>0</v>
      </c>
      <c r="CG391" s="60" t="n">
        <f aca="false">BS391/BV391</f>
        <v>0</v>
      </c>
      <c r="CH391" s="60" t="n">
        <f aca="false">BT391/BV391</f>
        <v>0</v>
      </c>
      <c r="CI391" s="60" t="n">
        <f aca="false">BU391/BV391</f>
        <v>0</v>
      </c>
      <c r="CJ391" s="60" t="n">
        <f aca="false">N391*BJ391/BW391</f>
        <v>1</v>
      </c>
      <c r="CK391" s="60" t="n">
        <f aca="false">O391*BK391/BW391</f>
        <v>0</v>
      </c>
      <c r="CL391" s="60" t="n">
        <f aca="false">P391*BL391/BW391</f>
        <v>0</v>
      </c>
      <c r="CM391" s="60" t="n">
        <f aca="false">Q391*BM391/BW391</f>
        <v>0</v>
      </c>
      <c r="CN391" s="60" t="n">
        <f aca="false">R391*BN391/BW391</f>
        <v>0</v>
      </c>
      <c r="CO391" s="60" t="n">
        <f aca="false">S391*BO391/BW391</f>
        <v>0</v>
      </c>
      <c r="CP391" s="60" t="n">
        <f aca="false">T391*BP391/BW391</f>
        <v>0</v>
      </c>
      <c r="CQ391" s="60" t="n">
        <f aca="false">U391*BQ391/BW391</f>
        <v>0</v>
      </c>
      <c r="CR391" s="60" t="n">
        <f aca="false">V391*BR391/BW391</f>
        <v>0</v>
      </c>
      <c r="CS391" s="60" t="n">
        <f aca="false">W391*BS391/BW391</f>
        <v>0</v>
      </c>
      <c r="CT391" s="60" t="n">
        <f aca="false">X391*BT391/BW391</f>
        <v>0</v>
      </c>
      <c r="CU391" s="60" t="n">
        <f aca="false">Y391*BU391/BW391</f>
        <v>0</v>
      </c>
      <c r="CV391" s="60" t="n">
        <f aca="false">$E$28*SUMPRODUCT($E$31:$P$31,BX391:CI391,$E$28:$P$28)</f>
        <v>0.184416866619846</v>
      </c>
      <c r="CW391" s="60" t="n">
        <f aca="false">$F$28*SUMPRODUCT($E$32:$P$32,BX391:CI391,$E$28:$P$28)</f>
        <v>0</v>
      </c>
      <c r="CX391" s="60" t="n">
        <f aca="false">$G$28*SUMPRODUCT($E$33:$P$33,BX391:CI391,$E$28:$P$28)</f>
        <v>0</v>
      </c>
      <c r="CY391" s="60" t="n">
        <f aca="false">$H$28*SUMPRODUCT($E$34:$P$34,BX391:CI391,$E$28:$P$28)</f>
        <v>0</v>
      </c>
      <c r="CZ391" s="60" t="n">
        <f aca="false">$I$28*SUMPRODUCT($E$35:$P$35,BX391:CI391,$E$28:$P$28)</f>
        <v>0</v>
      </c>
      <c r="DA391" s="60" t="n">
        <f aca="false">$J$28*SUMPRODUCT($E$36:$P$36,BX391:CI391,$E$28:$P$28)</f>
        <v>0</v>
      </c>
      <c r="DB391" s="60" t="n">
        <f aca="false">$K$28*SUMPRODUCT($E$37:$P$37,BX391:CI391,$E$28:$P$28)</f>
        <v>0</v>
      </c>
      <c r="DC391" s="60" t="n">
        <f aca="false">$L$28*SUMPRODUCT($E$38:$P$38,BX391:CI391,$E$28:$P$28)</f>
        <v>0</v>
      </c>
      <c r="DD391" s="60" t="n">
        <f aca="false">$M$28*SUMPRODUCT($E$39:$P$39,BX391:CI391,$E$28:$P$28)</f>
        <v>0</v>
      </c>
      <c r="DE391" s="60" t="n">
        <f aca="false">$N$28*SUMPRODUCT($E$40:$P$40,BX391:CI391,$E$28:$P$28)</f>
        <v>0</v>
      </c>
      <c r="DF391" s="60" t="n">
        <f aca="false">$O$28*SUMPRODUCT($E$41:$P$41,BX391:CI391,$E$28:$P$28)</f>
        <v>0</v>
      </c>
      <c r="DG391" s="60" t="n">
        <f aca="false">$P$28*SUMPRODUCT($E$42:$P$42,BX391:CI391,$E$28:$P$28)</f>
        <v>0</v>
      </c>
      <c r="DH391" s="60" t="n">
        <f aca="false">SUMPRODUCT(BX391:CI391,CV391:DG391)</f>
        <v>0.184416866619846</v>
      </c>
      <c r="DI391" s="60" t="n">
        <f aca="false">SUMPRODUCT(BX391:CI391,$E$27:$P$27)</f>
        <v>2.67389635063809E-005</v>
      </c>
      <c r="DJ391" s="60" t="n">
        <f aca="false">DH391*$C$9/($C$10*$C$8)^2</f>
        <v>0.21776909410545</v>
      </c>
      <c r="DK391" s="60" t="n">
        <f aca="false">DI391*$C$9/($C$10*$C$8)</f>
        <v>0.0918845243259994</v>
      </c>
      <c r="DL391" s="60" t="n">
        <f aca="false">CHOOSE($C$7,-(1+DK391),-1,-(1-DK391))</f>
        <v>-0.908115475674001</v>
      </c>
      <c r="DM391" s="60" t="n">
        <f aca="false">CHOOSE($C$7,DJ391,DJ391-DK391-DK391^2,DJ391-3*DK391^2-2*DK391)</f>
        <v>0.00867174802160559</v>
      </c>
      <c r="DN391" s="60" t="n">
        <f aca="false">CHOOSE($C$7,-DJ391*DK391,-DJ391*DK391,-(DJ391*DK391-DK391^2-DK391^3))</f>
        <v>-0.0107910842936637</v>
      </c>
      <c r="DO391" s="60" t="n">
        <f aca="false">DM391-DL391^2/3</f>
        <v>-0.266219491031267</v>
      </c>
      <c r="DP391" s="60" t="n">
        <f aca="false">2*DL391^3/27-DL391*DM391/3+DN391</f>
        <v>-0.0636400988362784</v>
      </c>
      <c r="DQ391" s="60" t="n">
        <f aca="false">DP391^2/4+DO391^3/27</f>
        <v>0.000313710901361829</v>
      </c>
      <c r="DR391" s="60" t="n">
        <f aca="false">-DP391/2-IF(DP391&gt;=0,1,-1)*SQRT(MAX(DQ391,0))</f>
        <v>0.0495319352963236</v>
      </c>
      <c r="DS391" s="60" t="n">
        <f aca="false">SIGN(DR391)*ABS(DR391)^(1/3)</f>
        <v>0.367249967174439</v>
      </c>
      <c r="DT391" s="60" t="n">
        <f aca="false">IF(DS391=0,0,DS391-DO391/(3*DS391))</f>
        <v>0.60888329127384</v>
      </c>
      <c r="DU391" s="60" t="n">
        <f aca="false">2*SQRT(MAX(-DO391,0)/3)</f>
        <v>0.595784626668918</v>
      </c>
      <c r="DV391" s="60" t="n">
        <f aca="false">ACOS(IF(DU391=0,0,MAX(-1,MIN(1,3*DP391/(DO391*DU391)))))</f>
        <v>0</v>
      </c>
      <c r="DW391" s="60" t="n">
        <f aca="false">DU391*COS(DV391/3)</f>
        <v>0.595784626668918</v>
      </c>
      <c r="DX391" s="60" t="n">
        <f aca="false">IF(DQ391&lt;0,DW391,DT391)-DL391/3</f>
        <v>0.91158844983184</v>
      </c>
      <c r="DY391" s="60" t="n">
        <f aca="false">IFERROR((((DX391+DL391)*DX391+DM391)*DX391+DN391)/((3*DX391+2*DL391)*DX391+DM391),0)</f>
        <v>0</v>
      </c>
      <c r="DZ391" s="60" t="n">
        <f aca="false">IF(ABS(DY391)&lt;0.1*ABS(DX391),DX391-DY391,DX391)</f>
        <v>0.91158844983184</v>
      </c>
      <c r="EA391" s="60" t="n">
        <f aca="false">IFERROR((((DZ391+DL391)*DZ391+DM391)*DZ391+DN391)/((3*DZ391+2*DL391)*DZ391+DM391),0)</f>
        <v>0</v>
      </c>
      <c r="EB391" s="60" t="n">
        <f aca="false">IF(ABS(EA391)&lt;0.1*ABS(DZ391),DZ391-EA391,DZ391)</f>
        <v>0.91158844983184</v>
      </c>
      <c r="EC391" s="60" t="n">
        <f aca="false">-DN391/EB391</f>
        <v>0.0118376711504565</v>
      </c>
      <c r="ED391" s="60" t="n">
        <f aca="false">(DM391-EC391)/EB391</f>
        <v>-0.00347297415783941</v>
      </c>
      <c r="EE391" s="60" t="n">
        <f aca="false">ED391^2-4*EC391</f>
        <v>-0.0473386230523248</v>
      </c>
      <c r="EF391" s="60" t="n">
        <f aca="false">IF(EE391&gt;=0,(ED391+IF(ED391&gt;=0,1,-1)*SQRT(EE391))/2,0)</f>
        <v>0</v>
      </c>
      <c r="EG391" s="60" t="n">
        <f aca="false">IF(AND(EE391&gt;=0,EF391&lt;&gt;0),MIN(EF391,EC391/EF391),-1)</f>
        <v>-1</v>
      </c>
      <c r="EH391" s="60" t="n">
        <f aca="false">AND(EE391&gt;=0,EG391&gt;DK391,ABS(EB391-EG391)&gt;=0.00005*MAX(EB391,EG391))</f>
        <v>0</v>
      </c>
      <c r="EI391" s="60" t="n">
        <f aca="false">IF(EH391,IFERROR((((EG391+DL391)*EG391+DM391)*EG391+DN391)/((3*EG391+2*DL391)*EG391+DM391),0),0)</f>
        <v>0</v>
      </c>
      <c r="EJ391" s="60" t="n">
        <f aca="false">IF(ABS(EI391)&lt;0.1*ABS(EG391),EG391-EI391,EG391)</f>
        <v>-1</v>
      </c>
      <c r="EK391" s="60" t="n">
        <f aca="false">IF(EH391,IFERROR((((EJ391+DL391)*EJ391+DM391)*EJ391+DN391)/((3*EJ391+2*DL391)*EJ391+DM391),0),0)</f>
        <v>0</v>
      </c>
      <c r="EL391" s="60" t="n">
        <f aca="false">IF(ABS(EK391)&lt;0.1*ABS(EJ391),EJ391-EK391,EJ391)</f>
        <v>-1</v>
      </c>
      <c r="EM391" s="60" t="n">
        <f aca="false">IF(EH391,MAX(EB391,EL391),EB391)</f>
        <v>0.91158844983184</v>
      </c>
      <c r="EN391" s="60" t="n">
        <f aca="false">IF(EH391,MIN(EB391,EL391),-1)</f>
        <v>-1</v>
      </c>
      <c r="EO391" s="60" t="n">
        <f aca="false">CHOOSE($C$7,DJ391/EM391,DJ391/DK391*LN(1+DK391/EM391),DJ391/(2*SQRT(2)*DK391)*LN((EM391+(1+SQRT(2))*DK391)/(EM391+(1-SQRT(2))*DK391)))</f>
        <v>0.218240791233887</v>
      </c>
      <c r="EP391" s="60" t="n">
        <f aca="false">EM391-1-LN(EM391-DK391)-EO391</f>
        <v>-0.107840271021729</v>
      </c>
      <c r="EQ391" s="60" t="n">
        <f aca="false">IF(EH391,CHOOSE($C$7,DJ391/EN391,DJ391/DK391*LN(1+DK391/EN391),DJ391/(2*SQRT(2)*DK391)*LN((EN391+(1+SQRT(2))*DK391)/(EN391+(1-SQRT(2))*DK391))),0)</f>
        <v>0</v>
      </c>
      <c r="ER391" s="60" t="n">
        <f aca="false">IF(EH391,EN391-1-LN(EN391-DK391)-EQ391,0)</f>
        <v>0</v>
      </c>
      <c r="ES391" s="60" t="n">
        <f aca="false">AND(EH391,ER391&lt;EP391)</f>
        <v>0</v>
      </c>
      <c r="ET391" s="60" t="n">
        <f aca="false">IF(ES391,EN391,EM391)</f>
        <v>0.91158844983184</v>
      </c>
      <c r="EU391" s="60" t="n">
        <f aca="false">IF(ES391,EQ391,EO391)</f>
        <v>0.218240791233887</v>
      </c>
      <c r="EV391" s="60" t="n">
        <f aca="false">LN(ET391-DK391)</f>
        <v>-0.198812070380318</v>
      </c>
      <c r="EW391" s="60" t="n">
        <f aca="false">$E$27/DI391*(ET391-1)-EV391-EU391*(2*CV391/DH391-$E$27/DI391)</f>
        <v>-0.107840271021729</v>
      </c>
      <c r="EX391" s="60" t="n">
        <f aca="false">$F$27/DI391*(ET391-1)-EV391-EU391*(2*CW391/DH391-$F$27/DI391)</f>
        <v>0.198812070380318</v>
      </c>
      <c r="EY391" s="60" t="n">
        <f aca="false">$G$27/DI391*(ET391-1)-EV391-EU391*(2*CX391/DH391-$G$27/DI391)</f>
        <v>0.198812070380318</v>
      </c>
      <c r="EZ391" s="60" t="n">
        <f aca="false">$H$27/DI391*(ET391-1)-EV391-EU391*(2*CY391/DH391-$H$27/DI391)</f>
        <v>0.198812070380318</v>
      </c>
      <c r="FA391" s="60" t="n">
        <f aca="false">$I$27/DI391*(ET391-1)-EV391-EU391*(2*CZ391/DH391-$I$27/DI391)</f>
        <v>0.198812070380318</v>
      </c>
      <c r="FB391" s="60" t="n">
        <f aca="false">$J$27/DI391*(ET391-1)-EV391-EU391*(2*DA391/DH391-$J$27/DI391)</f>
        <v>0.198812070380318</v>
      </c>
      <c r="FC391" s="60" t="n">
        <f aca="false">$K$27/DI391*(ET391-1)-EV391-EU391*(2*DB391/DH391-$K$27/DI391)</f>
        <v>0.198812070380318</v>
      </c>
      <c r="FD391" s="60" t="n">
        <f aca="false">$L$27/DI391*(ET391-1)-EV391-EU391*(2*DC391/DH391-$L$27/DI391)</f>
        <v>0.198812070380318</v>
      </c>
      <c r="FE391" s="60" t="n">
        <f aca="false">$M$27/DI391*(ET391-1)-EV391-EU391*(2*DD391/DH391-$M$27/DI391)</f>
        <v>0.198812070380318</v>
      </c>
      <c r="FF391" s="60" t="n">
        <f aca="false">$N$27/DI391*(ET391-1)-EV391-EU391*(2*DE391/DH391-$N$27/DI391)</f>
        <v>0.198812070380318</v>
      </c>
      <c r="FG391" s="60" t="n">
        <f aca="false">$O$27/DI391*(ET391-1)-EV391-EU391*(2*DF391/DH391-$O$27/DI391)</f>
        <v>0.198812070380318</v>
      </c>
      <c r="FH391" s="60" t="n">
        <f aca="false">$P$27/DI391*(ET391-1)-EV391-EU391*(2*DG391/DH391-$P$27/DI391)</f>
        <v>0.198812070380318</v>
      </c>
      <c r="FI391" s="60" t="n">
        <f aca="false">DK391/ET391&gt;$C$22</f>
        <v>0</v>
      </c>
      <c r="FJ391" s="60" t="n">
        <f aca="false">$E$28*SUMPRODUCT($E$31:$P$31,CJ391:CU391,$E$28:$P$28)</f>
        <v>0.184416866619846</v>
      </c>
      <c r="FK391" s="60" t="n">
        <f aca="false">$F$28*SUMPRODUCT($E$32:$P$32,CJ391:CU391,$E$28:$P$28)</f>
        <v>0</v>
      </c>
      <c r="FL391" s="60" t="n">
        <f aca="false">$G$28*SUMPRODUCT($E$33:$P$33,CJ391:CU391,$E$28:$P$28)</f>
        <v>0</v>
      </c>
      <c r="FM391" s="60" t="n">
        <f aca="false">$H$28*SUMPRODUCT($E$34:$P$34,CJ391:CU391,$E$28:$P$28)</f>
        <v>0</v>
      </c>
      <c r="FN391" s="60" t="n">
        <f aca="false">$I$28*SUMPRODUCT($E$35:$P$35,CJ391:CU391,$E$28:$P$28)</f>
        <v>0</v>
      </c>
      <c r="FO391" s="60" t="n">
        <f aca="false">$J$28*SUMPRODUCT($E$36:$P$36,CJ391:CU391,$E$28:$P$28)</f>
        <v>0</v>
      </c>
      <c r="FP391" s="60" t="n">
        <f aca="false">$K$28*SUMPRODUCT($E$37:$P$37,CJ391:CU391,$E$28:$P$28)</f>
        <v>0</v>
      </c>
      <c r="FQ391" s="60" t="n">
        <f aca="false">$L$28*SUMPRODUCT($E$38:$P$38,CJ391:CU391,$E$28:$P$28)</f>
        <v>0</v>
      </c>
      <c r="FR391" s="60" t="n">
        <f aca="false">$M$28*SUMPRODUCT($E$39:$P$39,CJ391:CU391,$E$28:$P$28)</f>
        <v>0</v>
      </c>
      <c r="FS391" s="60" t="n">
        <f aca="false">$N$28*SUMPRODUCT($E$40:$P$40,CJ391:CU391,$E$28:$P$28)</f>
        <v>0</v>
      </c>
      <c r="FT391" s="60" t="n">
        <f aca="false">$O$28*SUMPRODUCT($E$41:$P$41,CJ391:CU391,$E$28:$P$28)</f>
        <v>0</v>
      </c>
      <c r="FU391" s="60" t="n">
        <f aca="false">$P$28*SUMPRODUCT($E$42:$P$42,CJ391:CU391,$E$28:$P$28)</f>
        <v>0</v>
      </c>
      <c r="FV391" s="60" t="n">
        <f aca="false">SUMPRODUCT(CJ391:CU391,FJ391:FU391)</f>
        <v>0.184416866619846</v>
      </c>
      <c r="FW391" s="60" t="n">
        <f aca="false">SUMPRODUCT(CJ391:CU391,$E$27:$P$27)</f>
        <v>2.67389635063809E-005</v>
      </c>
      <c r="FX391" s="60" t="n">
        <f aca="false">FV391*$C$9/($C$10*$C$8)^2</f>
        <v>0.21776909410545</v>
      </c>
      <c r="FY391" s="60" t="n">
        <f aca="false">FW391*$C$9/($C$10*$C$8)</f>
        <v>0.0918845243259994</v>
      </c>
      <c r="FZ391" s="60" t="n">
        <f aca="false">CHOOSE($C$7,-(1+FY391),-1,-(1-FY391))</f>
        <v>-0.908115475674001</v>
      </c>
      <c r="GA391" s="60" t="n">
        <f aca="false">CHOOSE($C$7,FX391,FX391-FY391-FY391^2,FX391-3*FY391^2-2*FY391)</f>
        <v>0.00867174802160559</v>
      </c>
      <c r="GB391" s="60" t="n">
        <f aca="false">CHOOSE($C$7,-FX391*FY391,-FX391*FY391,-(FX391*FY391-FY391^2-FY391^3))</f>
        <v>-0.0107910842936637</v>
      </c>
      <c r="GC391" s="60" t="n">
        <f aca="false">GA391-FZ391^2/3</f>
        <v>-0.266219491031267</v>
      </c>
      <c r="GD391" s="60" t="n">
        <f aca="false">2*FZ391^3/27-FZ391*GA391/3+GB391</f>
        <v>-0.0636400988362784</v>
      </c>
      <c r="GE391" s="60" t="n">
        <f aca="false">GD391^2/4+GC391^3/27</f>
        <v>0.000313710901361829</v>
      </c>
      <c r="GF391" s="60" t="n">
        <f aca="false">-GD391/2-IF(GD391&gt;=0,1,-1)*SQRT(MAX(GE391,0))</f>
        <v>0.0495319352963236</v>
      </c>
      <c r="GG391" s="60" t="n">
        <f aca="false">SIGN(GF391)*ABS(GF391)^(1/3)</f>
        <v>0.367249967174439</v>
      </c>
      <c r="GH391" s="60" t="n">
        <f aca="false">IF(GG391=0,0,GG391-GC391/(3*GG391))</f>
        <v>0.60888329127384</v>
      </c>
      <c r="GI391" s="60" t="n">
        <f aca="false">2*SQRT(MAX(-GC391,0)/3)</f>
        <v>0.595784626668918</v>
      </c>
      <c r="GJ391" s="60" t="n">
        <f aca="false">ACOS(IF(GI391=0,0,MAX(-1,MIN(1,3*GD391/(GC391*GI391)))))</f>
        <v>0</v>
      </c>
      <c r="GK391" s="60" t="n">
        <f aca="false">GI391*COS(GJ391/3)</f>
        <v>0.595784626668918</v>
      </c>
      <c r="GL391" s="60" t="n">
        <f aca="false">IF(GE391&lt;0,GK391,GH391)-FZ391/3</f>
        <v>0.91158844983184</v>
      </c>
      <c r="GM391" s="60" t="n">
        <f aca="false">IFERROR((((GL391+FZ391)*GL391+GA391)*GL391+GB391)/((3*GL391+2*FZ391)*GL391+GA391),0)</f>
        <v>0</v>
      </c>
      <c r="GN391" s="60" t="n">
        <f aca="false">IF(ABS(GM391)&lt;0.1*ABS(GL391),GL391-GM391,GL391)</f>
        <v>0.91158844983184</v>
      </c>
      <c r="GO391" s="60" t="n">
        <f aca="false">IFERROR((((GN391+FZ391)*GN391+GA391)*GN391+GB391)/((3*GN391+2*FZ391)*GN391+GA391),0)</f>
        <v>0</v>
      </c>
      <c r="GP391" s="60" t="n">
        <f aca="false">IF(ABS(GO391)&lt;0.1*ABS(GN391),GN391-GO391,GN391)</f>
        <v>0.91158844983184</v>
      </c>
      <c r="GQ391" s="60" t="n">
        <f aca="false">-GB391/GP391</f>
        <v>0.0118376711504565</v>
      </c>
      <c r="GR391" s="60" t="n">
        <f aca="false">(GA391-GQ391)/GP391</f>
        <v>-0.00347297415783941</v>
      </c>
      <c r="GS391" s="60" t="n">
        <f aca="false">GR391^2-4*GQ391</f>
        <v>-0.0473386230523248</v>
      </c>
      <c r="GT391" s="60" t="n">
        <f aca="false">IF(GS391&gt;=0,(GR391+IF(GR391&gt;=0,1,-1)*SQRT(GS391))/2,0)</f>
        <v>0</v>
      </c>
      <c r="GU391" s="60" t="n">
        <f aca="false">IF(AND(GS391&gt;=0,GT391&lt;&gt;0),MIN(GT391,GQ391/GT391),-1)</f>
        <v>-1</v>
      </c>
      <c r="GV391" s="60" t="n">
        <f aca="false">AND(GS391&gt;=0,GU391&gt;FY391,ABS(GP391-GU391)&gt;=0.00005*MAX(GP391,GU391))</f>
        <v>0</v>
      </c>
      <c r="GW391" s="60" t="n">
        <f aca="false">IF(GV391,IFERROR((((GU391+FZ391)*GU391+GA391)*GU391+GB391)/((3*GU391+2*FZ391)*GU391+GA391),0),0)</f>
        <v>0</v>
      </c>
      <c r="GX391" s="60" t="n">
        <f aca="false">IF(ABS(GW391)&lt;0.1*ABS(GU391),GU391-GW391,GU391)</f>
        <v>-1</v>
      </c>
      <c r="GY391" s="60" t="n">
        <f aca="false">IF(GV391,IFERROR((((GX391+FZ391)*GX391+GA391)*GX391+GB391)/((3*GX391+2*FZ391)*GX391+GA391),0),0)</f>
        <v>0</v>
      </c>
      <c r="GZ391" s="60" t="n">
        <f aca="false">IF(ABS(GY391)&lt;0.1*ABS(GX391),GX391-GY391,GX391)</f>
        <v>-1</v>
      </c>
      <c r="HA391" s="60" t="n">
        <f aca="false">IF(GV391,MAX(GP391,GZ391),GP391)</f>
        <v>0.91158844983184</v>
      </c>
      <c r="HB391" s="60" t="n">
        <f aca="false">IF(GV391,MIN(GP391,GZ391),-1)</f>
        <v>-1</v>
      </c>
      <c r="HC391" s="60" t="n">
        <f aca="false">CHOOSE($C$7,FX391/HA391,FX391/FY391*LN(1+FY391/HA391),FX391/(2*SQRT(2)*FY391)*LN((HA391+(1+SQRT(2))*FY391)/(HA391+(1-SQRT(2))*FY391)))</f>
        <v>0.218240791233887</v>
      </c>
      <c r="HD391" s="60" t="n">
        <f aca="false">HA391-1-LN(HA391-FY391)-HC391</f>
        <v>-0.107840271021729</v>
      </c>
      <c r="HE391" s="60" t="n">
        <f aca="false">IF(GV391,CHOOSE($C$7,FX391/HB391,FX391/FY391*LN(1+FY391/HB391),FX391/(2*SQRT(2)*FY391)*LN((HB391+(1+SQRT(2))*FY391)/(HB391+(1-SQRT(2))*FY391))),0)</f>
        <v>0</v>
      </c>
      <c r="HF391" s="60" t="n">
        <f aca="false">IF(GV391,HB391-1-LN(HB391-FY391)-HE391,0)</f>
        <v>0</v>
      </c>
      <c r="HG391" s="60" t="n">
        <f aca="false">AND(GV391,HF391&lt;HD391)</f>
        <v>0</v>
      </c>
      <c r="HH391" s="60" t="n">
        <f aca="false">IF(HG391,HB391,HA391)</f>
        <v>0.91158844983184</v>
      </c>
      <c r="HI391" s="60" t="n">
        <f aca="false">IF(HG391,HE391,HC391)</f>
        <v>0.218240791233887</v>
      </c>
      <c r="HJ391" s="60" t="n">
        <f aca="false">LN(HH391-FY391)</f>
        <v>-0.198812070380318</v>
      </c>
      <c r="HK391" s="60" t="n">
        <f aca="false">$E$27/FW391*(HH391-1)-HJ391-HI391*(2*FJ391/FV391-$E$27/FW391)</f>
        <v>-0.107840271021729</v>
      </c>
      <c r="HL391" s="60" t="n">
        <f aca="false">$F$27/FW391*(HH391-1)-HJ391-HI391*(2*FK391/FV391-$F$27/FW391)</f>
        <v>0.198812070380318</v>
      </c>
      <c r="HM391" s="60" t="n">
        <f aca="false">$G$27/FW391*(HH391-1)-HJ391-HI391*(2*FL391/FV391-$G$27/FW391)</f>
        <v>0.198812070380318</v>
      </c>
      <c r="HN391" s="60" t="n">
        <f aca="false">$H$27/FW391*(HH391-1)-HJ391-HI391*(2*FM391/FV391-$H$27/FW391)</f>
        <v>0.198812070380318</v>
      </c>
      <c r="HO391" s="60" t="n">
        <f aca="false">$I$27/FW391*(HH391-1)-HJ391-HI391*(2*FN391/FV391-$I$27/FW391)</f>
        <v>0.198812070380318</v>
      </c>
      <c r="HP391" s="60" t="n">
        <f aca="false">$J$27/FW391*(HH391-1)-HJ391-HI391*(2*FO391/FV391-$J$27/FW391)</f>
        <v>0.198812070380318</v>
      </c>
      <c r="HQ391" s="60" t="n">
        <f aca="false">$K$27/FW391*(HH391-1)-HJ391-HI391*(2*FP391/FV391-$K$27/FW391)</f>
        <v>0.198812070380318</v>
      </c>
      <c r="HR391" s="60" t="n">
        <f aca="false">$L$27/FW391*(HH391-1)-HJ391-HI391*(2*FQ391/FV391-$L$27/FW391)</f>
        <v>0.198812070380318</v>
      </c>
      <c r="HS391" s="60" t="n">
        <f aca="false">$M$27/FW391*(HH391-1)-HJ391-HI391*(2*FR391/FV391-$M$27/FW391)</f>
        <v>0.198812070380318</v>
      </c>
      <c r="HT391" s="60" t="n">
        <f aca="false">$N$27/FW391*(HH391-1)-HJ391-HI391*(2*FS391/FV391-$N$27/FW391)</f>
        <v>0.198812070380318</v>
      </c>
      <c r="HU391" s="60" t="n">
        <f aca="false">$O$27/FW391*(HH391-1)-HJ391-HI391*(2*FT391/FV391-$O$27/FW391)</f>
        <v>0.198812070380318</v>
      </c>
      <c r="HV391" s="60" t="n">
        <f aca="false">$P$27/FW391*(HH391-1)-HJ391-HI391*(2*FU391/FV391-$P$27/FW391)</f>
        <v>0.198812070380318</v>
      </c>
      <c r="HW391" s="60" t="n">
        <f aca="false">FY391/HH391&gt;$C$22</f>
        <v>0</v>
      </c>
      <c r="HX391" s="60" t="n">
        <f aca="false">IF($E$13&gt;0,MAX(-300,MIN(300,EW391-HK391)),0)</f>
        <v>0</v>
      </c>
      <c r="HY391" s="60" t="n">
        <f aca="false">IF($F$13&gt;0,MAX(-300,MIN(300,EX391-HL391)),0)</f>
        <v>0</v>
      </c>
      <c r="HZ391" s="60" t="n">
        <f aca="false">IF($G$13&gt;0,MAX(-300,MIN(300,EY391-HM391)),0)</f>
        <v>0</v>
      </c>
      <c r="IA391" s="60" t="n">
        <f aca="false">IF($H$13&gt;0,MAX(-300,MIN(300,EZ391-HN391)),0)</f>
        <v>0</v>
      </c>
      <c r="IB391" s="60" t="n">
        <f aca="false">IF($I$13&gt;0,MAX(-300,MIN(300,FA391-HO391)),0)</f>
        <v>0</v>
      </c>
      <c r="IC391" s="60" t="n">
        <f aca="false">IF($J$13&gt;0,MAX(-300,MIN(300,FB391-HP391)),0)</f>
        <v>0</v>
      </c>
      <c r="ID391" s="60" t="n">
        <f aca="false">IF($K$13&gt;0,MAX(-300,MIN(300,FC391-HQ391)),0)</f>
        <v>0</v>
      </c>
      <c r="IE391" s="60" t="n">
        <f aca="false">IF($L$13&gt;0,MAX(-300,MIN(300,FD391-HR391)),0)</f>
        <v>0</v>
      </c>
      <c r="IF391" s="60" t="n">
        <f aca="false">IF($M$13&gt;0,MAX(-300,MIN(300,FE391-HS391)),0)</f>
        <v>0</v>
      </c>
      <c r="IG391" s="60" t="n">
        <f aca="false">IF($N$13&gt;0,MAX(-300,MIN(300,FF391-HT391)),0)</f>
        <v>0</v>
      </c>
      <c r="IH391" s="60" t="n">
        <f aca="false">IF($O$13&gt;0,MAX(-300,MIN(300,FG391-HU391)),0)</f>
        <v>0</v>
      </c>
      <c r="II391" s="60" t="n">
        <f aca="false">IF($P$13&gt;0,MAX(-300,MIN(300,FH391-HV391)),0)</f>
        <v>0</v>
      </c>
      <c r="IJ391" s="60" t="n">
        <f aca="false">SUMXMY2(HX391:II391,B391:M391)</f>
        <v>0</v>
      </c>
      <c r="IK391" s="60" t="n">
        <f aca="false">SUMSQ(B391:M391)</f>
        <v>0</v>
      </c>
    </row>
    <row r="392" customFormat="false" ht="15" hidden="false" customHeight="false" outlineLevel="0" collapsed="false">
      <c r="A392" s="59" t="n">
        <v>31</v>
      </c>
      <c r="B392" s="60" t="n">
        <f aca="false">HX391</f>
        <v>0</v>
      </c>
      <c r="C392" s="60" t="n">
        <f aca="false">HY391</f>
        <v>0</v>
      </c>
      <c r="D392" s="60" t="n">
        <f aca="false">HZ391</f>
        <v>0</v>
      </c>
      <c r="E392" s="60" t="n">
        <f aca="false">IA391</f>
        <v>0</v>
      </c>
      <c r="F392" s="60" t="n">
        <f aca="false">IB391</f>
        <v>0</v>
      </c>
      <c r="G392" s="60" t="n">
        <f aca="false">IC391</f>
        <v>0</v>
      </c>
      <c r="H392" s="60" t="n">
        <f aca="false">ID391</f>
        <v>0</v>
      </c>
      <c r="I392" s="60" t="n">
        <f aca="false">IE391</f>
        <v>0</v>
      </c>
      <c r="J392" s="60" t="n">
        <f aca="false">IF391</f>
        <v>0</v>
      </c>
      <c r="K392" s="60" t="n">
        <f aca="false">IG391</f>
        <v>0</v>
      </c>
      <c r="L392" s="60" t="n">
        <f aca="false">IH391</f>
        <v>0</v>
      </c>
      <c r="M392" s="60" t="n">
        <f aca="false">II391</f>
        <v>0</v>
      </c>
      <c r="N392" s="60" t="n">
        <f aca="false">EXP(B392)</f>
        <v>1</v>
      </c>
      <c r="O392" s="60" t="n">
        <f aca="false">EXP(C392)</f>
        <v>1</v>
      </c>
      <c r="P392" s="60" t="n">
        <f aca="false">EXP(D392)</f>
        <v>1</v>
      </c>
      <c r="Q392" s="60" t="n">
        <f aca="false">EXP(E392)</f>
        <v>1</v>
      </c>
      <c r="R392" s="60" t="n">
        <f aca="false">EXP(F392)</f>
        <v>1</v>
      </c>
      <c r="S392" s="60" t="n">
        <f aca="false">EXP(G392)</f>
        <v>1</v>
      </c>
      <c r="T392" s="60" t="n">
        <f aca="false">EXP(H392)</f>
        <v>1</v>
      </c>
      <c r="U392" s="60" t="n">
        <f aca="false">EXP(I392)</f>
        <v>1</v>
      </c>
      <c r="V392" s="60" t="n">
        <f aca="false">EXP(J392)</f>
        <v>1</v>
      </c>
      <c r="W392" s="60" t="n">
        <f aca="false">EXP(K392)</f>
        <v>1</v>
      </c>
      <c r="X392" s="60" t="n">
        <f aca="false">EXP(L392)</f>
        <v>1</v>
      </c>
      <c r="Y392" s="60" t="n">
        <f aca="false">EXP(M392)</f>
        <v>1</v>
      </c>
      <c r="Z392" s="60" t="n">
        <f aca="false">MAX(N392:Y392)</f>
        <v>1</v>
      </c>
      <c r="AA392" s="60" t="n">
        <f aca="false">MIN(N392:Y392)</f>
        <v>1</v>
      </c>
      <c r="AB392" s="60" t="n">
        <f aca="false">AND(Z392&gt;1,AA392&lt;1)</f>
        <v>0</v>
      </c>
      <c r="AC392" s="60" t="n">
        <f aca="false">IF(AB392,1/(1-Z392),0)</f>
        <v>0</v>
      </c>
      <c r="AD392" s="60" t="n">
        <f aca="false">IF(AB392,1/(1-AA392),1)</f>
        <v>1</v>
      </c>
      <c r="AE392" s="60" t="n">
        <f aca="false">IF(AB392,MIN(MAX(BI391,AC392+0.000000001*(AD392-AC392)),AD392-0.000000001*(AD392-AC392)),IF(AA392&gt;=1,1,0))</f>
        <v>1</v>
      </c>
      <c r="AF392" s="60" t="n">
        <f aca="false">SUMPRODUCT($E$13:$P$13*(N392:Y392-1)/(1+AE392*(N392:Y392-1)))</f>
        <v>0</v>
      </c>
      <c r="AG392" s="60" t="n">
        <f aca="false">-SUMPRODUCT($E$13:$P$13*(N392:Y392-1)^2/(1+AE392*(N392:Y392-1))^2)</f>
        <v>-0</v>
      </c>
      <c r="AH392" s="60" t="n">
        <f aca="false">IF(OR(NOT(AB392),AG392=0),AE392,IF(AE392-AF392/AG392&lt;=AC392,(AE392+AC392)/2,IF(AE392-AF392/AG392&gt;=AD392,(AE392+AD392)/2,AE392-AF392/AG392)))</f>
        <v>1</v>
      </c>
      <c r="AI392" s="60" t="n">
        <f aca="false">SUMPRODUCT($E$13:$P$13*(N392:Y392-1)/(1+AH392*(N392:Y392-1)))</f>
        <v>0</v>
      </c>
      <c r="AJ392" s="60" t="n">
        <f aca="false">-SUMPRODUCT($E$13:$P$13*(N392:Y392-1)^2/(1+AH392*(N392:Y392-1))^2)</f>
        <v>-0</v>
      </c>
      <c r="AK392" s="60" t="n">
        <f aca="false">IF(OR(NOT(AB392),AJ392=0),AH392,IF(AH392-AI392/AJ392&lt;=AC392,(AH392+AC392)/2,IF(AH392-AI392/AJ392&gt;=AD392,(AH392+AD392)/2,AH392-AI392/AJ392)))</f>
        <v>1</v>
      </c>
      <c r="AL392" s="60" t="n">
        <f aca="false">SUMPRODUCT($E$13:$P$13*(N392:Y392-1)/(1+AK392*(N392:Y392-1)))</f>
        <v>0</v>
      </c>
      <c r="AM392" s="60" t="n">
        <f aca="false">-SUMPRODUCT($E$13:$P$13*(N392:Y392-1)^2/(1+AK392*(N392:Y392-1))^2)</f>
        <v>-0</v>
      </c>
      <c r="AN392" s="60" t="n">
        <f aca="false">IF(OR(NOT(AB392),AM392=0),AK392,IF(AK392-AL392/AM392&lt;=AC392,(AK392+AC392)/2,IF(AK392-AL392/AM392&gt;=AD392,(AK392+AD392)/2,AK392-AL392/AM392)))</f>
        <v>1</v>
      </c>
      <c r="AO392" s="60" t="n">
        <f aca="false">SUMPRODUCT($E$13:$P$13*(N392:Y392-1)/(1+AN392*(N392:Y392-1)))</f>
        <v>0</v>
      </c>
      <c r="AP392" s="60" t="n">
        <f aca="false">-SUMPRODUCT($E$13:$P$13*(N392:Y392-1)^2/(1+AN392*(N392:Y392-1))^2)</f>
        <v>-0</v>
      </c>
      <c r="AQ392" s="60" t="n">
        <f aca="false">IF(OR(NOT(AB392),AP392=0),AN392,IF(AN392-AO392/AP392&lt;=AC392,(AN392+AC392)/2,IF(AN392-AO392/AP392&gt;=AD392,(AN392+AD392)/2,AN392-AO392/AP392)))</f>
        <v>1</v>
      </c>
      <c r="AR392" s="60" t="n">
        <f aca="false">SUMPRODUCT($E$13:$P$13*(N392:Y392-1)/(1+AQ392*(N392:Y392-1)))</f>
        <v>0</v>
      </c>
      <c r="AS392" s="60" t="n">
        <f aca="false">-SUMPRODUCT($E$13:$P$13*(N392:Y392-1)^2/(1+AQ392*(N392:Y392-1))^2)</f>
        <v>-0</v>
      </c>
      <c r="AT392" s="60" t="n">
        <f aca="false">IF(OR(NOT(AB392),AS392=0),AQ392,IF(AQ392-AR392/AS392&lt;=AC392,(AQ392+AC392)/2,IF(AQ392-AR392/AS392&gt;=AD392,(AQ392+AD392)/2,AQ392-AR392/AS392)))</f>
        <v>1</v>
      </c>
      <c r="AU392" s="60" t="n">
        <f aca="false">SUMPRODUCT($E$13:$P$13*(N392:Y392-1)/(1+AT392*(N392:Y392-1)))</f>
        <v>0</v>
      </c>
      <c r="AV392" s="60" t="n">
        <f aca="false">-SUMPRODUCT($E$13:$P$13*(N392:Y392-1)^2/(1+AT392*(N392:Y392-1))^2)</f>
        <v>-0</v>
      </c>
      <c r="AW392" s="60" t="n">
        <f aca="false">IF(OR(NOT(AB392),AV392=0),AT392,IF(AT392-AU392/AV392&lt;=AC392,(AT392+AC392)/2,IF(AT392-AU392/AV392&gt;=AD392,(AT392+AD392)/2,AT392-AU392/AV392)))</f>
        <v>1</v>
      </c>
      <c r="AX392" s="60" t="n">
        <f aca="false">SUMPRODUCT($E$13:$P$13*(N392:Y392-1)/(1+AW392*(N392:Y392-1)))</f>
        <v>0</v>
      </c>
      <c r="AY392" s="60" t="n">
        <f aca="false">-SUMPRODUCT($E$13:$P$13*(N392:Y392-1)^2/(1+AW392*(N392:Y392-1))^2)</f>
        <v>-0</v>
      </c>
      <c r="AZ392" s="60" t="n">
        <f aca="false">IF(OR(NOT(AB392),AY392=0),AW392,IF(AW392-AX392/AY392&lt;=AC392,(AW392+AC392)/2,IF(AW392-AX392/AY392&gt;=AD392,(AW392+AD392)/2,AW392-AX392/AY392)))</f>
        <v>1</v>
      </c>
      <c r="BA392" s="60" t="n">
        <f aca="false">SUMPRODUCT($E$13:$P$13*(N392:Y392-1)/(1+AZ392*(N392:Y392-1)))</f>
        <v>0</v>
      </c>
      <c r="BB392" s="60" t="n">
        <f aca="false">-SUMPRODUCT($E$13:$P$13*(N392:Y392-1)^2/(1+AZ392*(N392:Y392-1))^2)</f>
        <v>-0</v>
      </c>
      <c r="BC392" s="60" t="n">
        <f aca="false">IF(OR(NOT(AB392),BB392=0),AZ392,IF(AZ392-BA392/BB392&lt;=AC392,(AZ392+AC392)/2,IF(AZ392-BA392/BB392&gt;=AD392,(AZ392+AD392)/2,AZ392-BA392/BB392)))</f>
        <v>1</v>
      </c>
      <c r="BD392" s="60" t="n">
        <f aca="false">SUMPRODUCT($E$13:$P$13*(N392:Y392-1)/(1+BC392*(N392:Y392-1)))</f>
        <v>0</v>
      </c>
      <c r="BE392" s="60" t="n">
        <f aca="false">-SUMPRODUCT($E$13:$P$13*(N392:Y392-1)^2/(1+BC392*(N392:Y392-1))^2)</f>
        <v>-0</v>
      </c>
      <c r="BF392" s="60" t="n">
        <f aca="false">IF(OR(NOT(AB392),BE392=0),BC392,IF(BC392-BD392/BE392&lt;=AC392,(BC392+AC392)/2,IF(BC392-BD392/BE392&gt;=AD392,(BC392+AD392)/2,BC392-BD392/BE392)))</f>
        <v>1</v>
      </c>
      <c r="BG392" s="60" t="n">
        <f aca="false">SUMPRODUCT($E$13:$P$13*(N392:Y392-1)/(1+BF392*(N392:Y392-1)))</f>
        <v>0</v>
      </c>
      <c r="BH392" s="60" t="n">
        <f aca="false">-SUMPRODUCT($E$13:$P$13*(N392:Y392-1)^2/(1+BF392*(N392:Y392-1))^2)</f>
        <v>-0</v>
      </c>
      <c r="BI392" s="60" t="n">
        <f aca="false">IF(OR(NOT(AB392),BH392=0),BF392,IF(BF392-BG392/BH392&lt;=AC392,(BF392+AC392)/2,IF(BF392-BG392/BH392&gt;=AD392,(BF392+AD392)/2,BF392-BG392/BH392)))</f>
        <v>1</v>
      </c>
      <c r="BJ392" s="60" t="n">
        <f aca="false">$E$13/(1+BI392*(N392-1))</f>
        <v>1</v>
      </c>
      <c r="BK392" s="60" t="n">
        <f aca="false">$F$13/(1+BI392*(O392-1))</f>
        <v>0</v>
      </c>
      <c r="BL392" s="60" t="n">
        <f aca="false">$G$13/(1+BI392*(P392-1))</f>
        <v>0</v>
      </c>
      <c r="BM392" s="60" t="n">
        <f aca="false">$H$13/(1+BI392*(Q392-1))</f>
        <v>0</v>
      </c>
      <c r="BN392" s="60" t="n">
        <f aca="false">$I$13/(1+BI392*(R392-1))</f>
        <v>0</v>
      </c>
      <c r="BO392" s="60" t="n">
        <f aca="false">$J$13/(1+BI392*(S392-1))</f>
        <v>0</v>
      </c>
      <c r="BP392" s="60" t="n">
        <f aca="false">$K$13/(1+BI392*(T392-1))</f>
        <v>0</v>
      </c>
      <c r="BQ392" s="60" t="n">
        <f aca="false">$L$13/(1+BI392*(U392-1))</f>
        <v>0</v>
      </c>
      <c r="BR392" s="60" t="n">
        <f aca="false">$M$13/(1+BI392*(V392-1))</f>
        <v>0</v>
      </c>
      <c r="BS392" s="60" t="n">
        <f aca="false">$N$13/(1+BI392*(W392-1))</f>
        <v>0</v>
      </c>
      <c r="BT392" s="60" t="n">
        <f aca="false">$O$13/(1+BI392*(X392-1))</f>
        <v>0</v>
      </c>
      <c r="BU392" s="60" t="n">
        <f aca="false">$P$13/(1+BI392*(Y392-1))</f>
        <v>0</v>
      </c>
      <c r="BV392" s="60" t="n">
        <f aca="false">SUM(BJ392:BU392)</f>
        <v>1</v>
      </c>
      <c r="BW392" s="60" t="n">
        <f aca="false">SUMPRODUCT(N392:Y392,BJ392:BU392)</f>
        <v>1</v>
      </c>
      <c r="BX392" s="60" t="n">
        <f aca="false">BJ392/BV392</f>
        <v>1</v>
      </c>
      <c r="BY392" s="60" t="n">
        <f aca="false">BK392/BV392</f>
        <v>0</v>
      </c>
      <c r="BZ392" s="60" t="n">
        <f aca="false">BL392/BV392</f>
        <v>0</v>
      </c>
      <c r="CA392" s="60" t="n">
        <f aca="false">BM392/BV392</f>
        <v>0</v>
      </c>
      <c r="CB392" s="60" t="n">
        <f aca="false">BN392/BV392</f>
        <v>0</v>
      </c>
      <c r="CC392" s="60" t="n">
        <f aca="false">BO392/BV392</f>
        <v>0</v>
      </c>
      <c r="CD392" s="60" t="n">
        <f aca="false">BP392/BV392</f>
        <v>0</v>
      </c>
      <c r="CE392" s="60" t="n">
        <f aca="false">BQ392/BV392</f>
        <v>0</v>
      </c>
      <c r="CF392" s="60" t="n">
        <f aca="false">BR392/BV392</f>
        <v>0</v>
      </c>
      <c r="CG392" s="60" t="n">
        <f aca="false">BS392/BV392</f>
        <v>0</v>
      </c>
      <c r="CH392" s="60" t="n">
        <f aca="false">BT392/BV392</f>
        <v>0</v>
      </c>
      <c r="CI392" s="60" t="n">
        <f aca="false">BU392/BV392</f>
        <v>0</v>
      </c>
      <c r="CJ392" s="60" t="n">
        <f aca="false">N392*BJ392/BW392</f>
        <v>1</v>
      </c>
      <c r="CK392" s="60" t="n">
        <f aca="false">O392*BK392/BW392</f>
        <v>0</v>
      </c>
      <c r="CL392" s="60" t="n">
        <f aca="false">P392*BL392/BW392</f>
        <v>0</v>
      </c>
      <c r="CM392" s="60" t="n">
        <f aca="false">Q392*BM392/BW392</f>
        <v>0</v>
      </c>
      <c r="CN392" s="60" t="n">
        <f aca="false">R392*BN392/BW392</f>
        <v>0</v>
      </c>
      <c r="CO392" s="60" t="n">
        <f aca="false">S392*BO392/BW392</f>
        <v>0</v>
      </c>
      <c r="CP392" s="60" t="n">
        <f aca="false">T392*BP392/BW392</f>
        <v>0</v>
      </c>
      <c r="CQ392" s="60" t="n">
        <f aca="false">U392*BQ392/BW392</f>
        <v>0</v>
      </c>
      <c r="CR392" s="60" t="n">
        <f aca="false">V392*BR392/BW392</f>
        <v>0</v>
      </c>
      <c r="CS392" s="60" t="n">
        <f aca="false">W392*BS392/BW392</f>
        <v>0</v>
      </c>
      <c r="CT392" s="60" t="n">
        <f aca="false">X392*BT392/BW392</f>
        <v>0</v>
      </c>
      <c r="CU392" s="60" t="n">
        <f aca="false">Y392*BU392/BW392</f>
        <v>0</v>
      </c>
      <c r="CV392" s="60" t="n">
        <f aca="false">$E$28*SUMPRODUCT($E$31:$P$31,BX392:CI392,$E$28:$P$28)</f>
        <v>0.184416866619846</v>
      </c>
      <c r="CW392" s="60" t="n">
        <f aca="false">$F$28*SUMPRODUCT($E$32:$P$32,BX392:CI392,$E$28:$P$28)</f>
        <v>0</v>
      </c>
      <c r="CX392" s="60" t="n">
        <f aca="false">$G$28*SUMPRODUCT($E$33:$P$33,BX392:CI392,$E$28:$P$28)</f>
        <v>0</v>
      </c>
      <c r="CY392" s="60" t="n">
        <f aca="false">$H$28*SUMPRODUCT($E$34:$P$34,BX392:CI392,$E$28:$P$28)</f>
        <v>0</v>
      </c>
      <c r="CZ392" s="60" t="n">
        <f aca="false">$I$28*SUMPRODUCT($E$35:$P$35,BX392:CI392,$E$28:$P$28)</f>
        <v>0</v>
      </c>
      <c r="DA392" s="60" t="n">
        <f aca="false">$J$28*SUMPRODUCT($E$36:$P$36,BX392:CI392,$E$28:$P$28)</f>
        <v>0</v>
      </c>
      <c r="DB392" s="60" t="n">
        <f aca="false">$K$28*SUMPRODUCT($E$37:$P$37,BX392:CI392,$E$28:$P$28)</f>
        <v>0</v>
      </c>
      <c r="DC392" s="60" t="n">
        <f aca="false">$L$28*SUMPRODUCT($E$38:$P$38,BX392:CI392,$E$28:$P$28)</f>
        <v>0</v>
      </c>
      <c r="DD392" s="60" t="n">
        <f aca="false">$M$28*SUMPRODUCT($E$39:$P$39,BX392:CI392,$E$28:$P$28)</f>
        <v>0</v>
      </c>
      <c r="DE392" s="60" t="n">
        <f aca="false">$N$28*SUMPRODUCT($E$40:$P$40,BX392:CI392,$E$28:$P$28)</f>
        <v>0</v>
      </c>
      <c r="DF392" s="60" t="n">
        <f aca="false">$O$28*SUMPRODUCT($E$41:$P$41,BX392:CI392,$E$28:$P$28)</f>
        <v>0</v>
      </c>
      <c r="DG392" s="60" t="n">
        <f aca="false">$P$28*SUMPRODUCT($E$42:$P$42,BX392:CI392,$E$28:$P$28)</f>
        <v>0</v>
      </c>
      <c r="DH392" s="60" t="n">
        <f aca="false">SUMPRODUCT(BX392:CI392,CV392:DG392)</f>
        <v>0.184416866619846</v>
      </c>
      <c r="DI392" s="60" t="n">
        <f aca="false">SUMPRODUCT(BX392:CI392,$E$27:$P$27)</f>
        <v>2.67389635063809E-005</v>
      </c>
      <c r="DJ392" s="60" t="n">
        <f aca="false">DH392*$C$9/($C$10*$C$8)^2</f>
        <v>0.21776909410545</v>
      </c>
      <c r="DK392" s="60" t="n">
        <f aca="false">DI392*$C$9/($C$10*$C$8)</f>
        <v>0.0918845243259994</v>
      </c>
      <c r="DL392" s="60" t="n">
        <f aca="false">CHOOSE($C$7,-(1+DK392),-1,-(1-DK392))</f>
        <v>-0.908115475674001</v>
      </c>
      <c r="DM392" s="60" t="n">
        <f aca="false">CHOOSE($C$7,DJ392,DJ392-DK392-DK392^2,DJ392-3*DK392^2-2*DK392)</f>
        <v>0.00867174802160559</v>
      </c>
      <c r="DN392" s="60" t="n">
        <f aca="false">CHOOSE($C$7,-DJ392*DK392,-DJ392*DK392,-(DJ392*DK392-DK392^2-DK392^3))</f>
        <v>-0.0107910842936637</v>
      </c>
      <c r="DO392" s="60" t="n">
        <f aca="false">DM392-DL392^2/3</f>
        <v>-0.266219491031267</v>
      </c>
      <c r="DP392" s="60" t="n">
        <f aca="false">2*DL392^3/27-DL392*DM392/3+DN392</f>
        <v>-0.0636400988362784</v>
      </c>
      <c r="DQ392" s="60" t="n">
        <f aca="false">DP392^2/4+DO392^3/27</f>
        <v>0.000313710901361829</v>
      </c>
      <c r="DR392" s="60" t="n">
        <f aca="false">-DP392/2-IF(DP392&gt;=0,1,-1)*SQRT(MAX(DQ392,0))</f>
        <v>0.0495319352963236</v>
      </c>
      <c r="DS392" s="60" t="n">
        <f aca="false">SIGN(DR392)*ABS(DR392)^(1/3)</f>
        <v>0.367249967174439</v>
      </c>
      <c r="DT392" s="60" t="n">
        <f aca="false">IF(DS392=0,0,DS392-DO392/(3*DS392))</f>
        <v>0.60888329127384</v>
      </c>
      <c r="DU392" s="60" t="n">
        <f aca="false">2*SQRT(MAX(-DO392,0)/3)</f>
        <v>0.595784626668918</v>
      </c>
      <c r="DV392" s="60" t="n">
        <f aca="false">ACOS(IF(DU392=0,0,MAX(-1,MIN(1,3*DP392/(DO392*DU392)))))</f>
        <v>0</v>
      </c>
      <c r="DW392" s="60" t="n">
        <f aca="false">DU392*COS(DV392/3)</f>
        <v>0.595784626668918</v>
      </c>
      <c r="DX392" s="60" t="n">
        <f aca="false">IF(DQ392&lt;0,DW392,DT392)-DL392/3</f>
        <v>0.91158844983184</v>
      </c>
      <c r="DY392" s="60" t="n">
        <f aca="false">IFERROR((((DX392+DL392)*DX392+DM392)*DX392+DN392)/((3*DX392+2*DL392)*DX392+DM392),0)</f>
        <v>0</v>
      </c>
      <c r="DZ392" s="60" t="n">
        <f aca="false">IF(ABS(DY392)&lt;0.1*ABS(DX392),DX392-DY392,DX392)</f>
        <v>0.91158844983184</v>
      </c>
      <c r="EA392" s="60" t="n">
        <f aca="false">IFERROR((((DZ392+DL392)*DZ392+DM392)*DZ392+DN392)/((3*DZ392+2*DL392)*DZ392+DM392),0)</f>
        <v>0</v>
      </c>
      <c r="EB392" s="60" t="n">
        <f aca="false">IF(ABS(EA392)&lt;0.1*ABS(DZ392),DZ392-EA392,DZ392)</f>
        <v>0.91158844983184</v>
      </c>
      <c r="EC392" s="60" t="n">
        <f aca="false">-DN392/EB392</f>
        <v>0.0118376711504565</v>
      </c>
      <c r="ED392" s="60" t="n">
        <f aca="false">(DM392-EC392)/EB392</f>
        <v>-0.00347297415783941</v>
      </c>
      <c r="EE392" s="60" t="n">
        <f aca="false">ED392^2-4*EC392</f>
        <v>-0.0473386230523248</v>
      </c>
      <c r="EF392" s="60" t="n">
        <f aca="false">IF(EE392&gt;=0,(ED392+IF(ED392&gt;=0,1,-1)*SQRT(EE392))/2,0)</f>
        <v>0</v>
      </c>
      <c r="EG392" s="60" t="n">
        <f aca="false">IF(AND(EE392&gt;=0,EF392&lt;&gt;0),MIN(EF392,EC392/EF392),-1)</f>
        <v>-1</v>
      </c>
      <c r="EH392" s="60" t="n">
        <f aca="false">AND(EE392&gt;=0,EG392&gt;DK392,ABS(EB392-EG392)&gt;=0.00005*MAX(EB392,EG392))</f>
        <v>0</v>
      </c>
      <c r="EI392" s="60" t="n">
        <f aca="false">IF(EH392,IFERROR((((EG392+DL392)*EG392+DM392)*EG392+DN392)/((3*EG392+2*DL392)*EG392+DM392),0),0)</f>
        <v>0</v>
      </c>
      <c r="EJ392" s="60" t="n">
        <f aca="false">IF(ABS(EI392)&lt;0.1*ABS(EG392),EG392-EI392,EG392)</f>
        <v>-1</v>
      </c>
      <c r="EK392" s="60" t="n">
        <f aca="false">IF(EH392,IFERROR((((EJ392+DL392)*EJ392+DM392)*EJ392+DN392)/((3*EJ392+2*DL392)*EJ392+DM392),0),0)</f>
        <v>0</v>
      </c>
      <c r="EL392" s="60" t="n">
        <f aca="false">IF(ABS(EK392)&lt;0.1*ABS(EJ392),EJ392-EK392,EJ392)</f>
        <v>-1</v>
      </c>
      <c r="EM392" s="60" t="n">
        <f aca="false">IF(EH392,MAX(EB392,EL392),EB392)</f>
        <v>0.91158844983184</v>
      </c>
      <c r="EN392" s="60" t="n">
        <f aca="false">IF(EH392,MIN(EB392,EL392),-1)</f>
        <v>-1</v>
      </c>
      <c r="EO392" s="60" t="n">
        <f aca="false">CHOOSE($C$7,DJ392/EM392,DJ392/DK392*LN(1+DK392/EM392),DJ392/(2*SQRT(2)*DK392)*LN((EM392+(1+SQRT(2))*DK392)/(EM392+(1-SQRT(2))*DK392)))</f>
        <v>0.218240791233887</v>
      </c>
      <c r="EP392" s="60" t="n">
        <f aca="false">EM392-1-LN(EM392-DK392)-EO392</f>
        <v>-0.107840271021729</v>
      </c>
      <c r="EQ392" s="60" t="n">
        <f aca="false">IF(EH392,CHOOSE($C$7,DJ392/EN392,DJ392/DK392*LN(1+DK392/EN392),DJ392/(2*SQRT(2)*DK392)*LN((EN392+(1+SQRT(2))*DK392)/(EN392+(1-SQRT(2))*DK392))),0)</f>
        <v>0</v>
      </c>
      <c r="ER392" s="60" t="n">
        <f aca="false">IF(EH392,EN392-1-LN(EN392-DK392)-EQ392,0)</f>
        <v>0</v>
      </c>
      <c r="ES392" s="60" t="n">
        <f aca="false">AND(EH392,ER392&lt;EP392)</f>
        <v>0</v>
      </c>
      <c r="ET392" s="60" t="n">
        <f aca="false">IF(ES392,EN392,EM392)</f>
        <v>0.91158844983184</v>
      </c>
      <c r="EU392" s="60" t="n">
        <f aca="false">IF(ES392,EQ392,EO392)</f>
        <v>0.218240791233887</v>
      </c>
      <c r="EV392" s="60" t="n">
        <f aca="false">LN(ET392-DK392)</f>
        <v>-0.198812070380318</v>
      </c>
      <c r="EW392" s="60" t="n">
        <f aca="false">$E$27/DI392*(ET392-1)-EV392-EU392*(2*CV392/DH392-$E$27/DI392)</f>
        <v>-0.107840271021729</v>
      </c>
      <c r="EX392" s="60" t="n">
        <f aca="false">$F$27/DI392*(ET392-1)-EV392-EU392*(2*CW392/DH392-$F$27/DI392)</f>
        <v>0.198812070380318</v>
      </c>
      <c r="EY392" s="60" t="n">
        <f aca="false">$G$27/DI392*(ET392-1)-EV392-EU392*(2*CX392/DH392-$G$27/DI392)</f>
        <v>0.198812070380318</v>
      </c>
      <c r="EZ392" s="60" t="n">
        <f aca="false">$H$27/DI392*(ET392-1)-EV392-EU392*(2*CY392/DH392-$H$27/DI392)</f>
        <v>0.198812070380318</v>
      </c>
      <c r="FA392" s="60" t="n">
        <f aca="false">$I$27/DI392*(ET392-1)-EV392-EU392*(2*CZ392/DH392-$I$27/DI392)</f>
        <v>0.198812070380318</v>
      </c>
      <c r="FB392" s="60" t="n">
        <f aca="false">$J$27/DI392*(ET392-1)-EV392-EU392*(2*DA392/DH392-$J$27/DI392)</f>
        <v>0.198812070380318</v>
      </c>
      <c r="FC392" s="60" t="n">
        <f aca="false">$K$27/DI392*(ET392-1)-EV392-EU392*(2*DB392/DH392-$K$27/DI392)</f>
        <v>0.198812070380318</v>
      </c>
      <c r="FD392" s="60" t="n">
        <f aca="false">$L$27/DI392*(ET392-1)-EV392-EU392*(2*DC392/DH392-$L$27/DI392)</f>
        <v>0.198812070380318</v>
      </c>
      <c r="FE392" s="60" t="n">
        <f aca="false">$M$27/DI392*(ET392-1)-EV392-EU392*(2*DD392/DH392-$M$27/DI392)</f>
        <v>0.198812070380318</v>
      </c>
      <c r="FF392" s="60" t="n">
        <f aca="false">$N$27/DI392*(ET392-1)-EV392-EU392*(2*DE392/DH392-$N$27/DI392)</f>
        <v>0.198812070380318</v>
      </c>
      <c r="FG392" s="60" t="n">
        <f aca="false">$O$27/DI392*(ET392-1)-EV392-EU392*(2*DF392/DH392-$O$27/DI392)</f>
        <v>0.198812070380318</v>
      </c>
      <c r="FH392" s="60" t="n">
        <f aca="false">$P$27/DI392*(ET392-1)-EV392-EU392*(2*DG392/DH392-$P$27/DI392)</f>
        <v>0.198812070380318</v>
      </c>
      <c r="FI392" s="60" t="n">
        <f aca="false">DK392/ET392&gt;$C$22</f>
        <v>0</v>
      </c>
      <c r="FJ392" s="60" t="n">
        <f aca="false">$E$28*SUMPRODUCT($E$31:$P$31,CJ392:CU392,$E$28:$P$28)</f>
        <v>0.184416866619846</v>
      </c>
      <c r="FK392" s="60" t="n">
        <f aca="false">$F$28*SUMPRODUCT($E$32:$P$32,CJ392:CU392,$E$28:$P$28)</f>
        <v>0</v>
      </c>
      <c r="FL392" s="60" t="n">
        <f aca="false">$G$28*SUMPRODUCT($E$33:$P$33,CJ392:CU392,$E$28:$P$28)</f>
        <v>0</v>
      </c>
      <c r="FM392" s="60" t="n">
        <f aca="false">$H$28*SUMPRODUCT($E$34:$P$34,CJ392:CU392,$E$28:$P$28)</f>
        <v>0</v>
      </c>
      <c r="FN392" s="60" t="n">
        <f aca="false">$I$28*SUMPRODUCT($E$35:$P$35,CJ392:CU392,$E$28:$P$28)</f>
        <v>0</v>
      </c>
      <c r="FO392" s="60" t="n">
        <f aca="false">$J$28*SUMPRODUCT($E$36:$P$36,CJ392:CU392,$E$28:$P$28)</f>
        <v>0</v>
      </c>
      <c r="FP392" s="60" t="n">
        <f aca="false">$K$28*SUMPRODUCT($E$37:$P$37,CJ392:CU392,$E$28:$P$28)</f>
        <v>0</v>
      </c>
      <c r="FQ392" s="60" t="n">
        <f aca="false">$L$28*SUMPRODUCT($E$38:$P$38,CJ392:CU392,$E$28:$P$28)</f>
        <v>0</v>
      </c>
      <c r="FR392" s="60" t="n">
        <f aca="false">$M$28*SUMPRODUCT($E$39:$P$39,CJ392:CU392,$E$28:$P$28)</f>
        <v>0</v>
      </c>
      <c r="FS392" s="60" t="n">
        <f aca="false">$N$28*SUMPRODUCT($E$40:$P$40,CJ392:CU392,$E$28:$P$28)</f>
        <v>0</v>
      </c>
      <c r="FT392" s="60" t="n">
        <f aca="false">$O$28*SUMPRODUCT($E$41:$P$41,CJ392:CU392,$E$28:$P$28)</f>
        <v>0</v>
      </c>
      <c r="FU392" s="60" t="n">
        <f aca="false">$P$28*SUMPRODUCT($E$42:$P$42,CJ392:CU392,$E$28:$P$28)</f>
        <v>0</v>
      </c>
      <c r="FV392" s="60" t="n">
        <f aca="false">SUMPRODUCT(CJ392:CU392,FJ392:FU392)</f>
        <v>0.184416866619846</v>
      </c>
      <c r="FW392" s="60" t="n">
        <f aca="false">SUMPRODUCT(CJ392:CU392,$E$27:$P$27)</f>
        <v>2.67389635063809E-005</v>
      </c>
      <c r="FX392" s="60" t="n">
        <f aca="false">FV392*$C$9/($C$10*$C$8)^2</f>
        <v>0.21776909410545</v>
      </c>
      <c r="FY392" s="60" t="n">
        <f aca="false">FW392*$C$9/($C$10*$C$8)</f>
        <v>0.0918845243259994</v>
      </c>
      <c r="FZ392" s="60" t="n">
        <f aca="false">CHOOSE($C$7,-(1+FY392),-1,-(1-FY392))</f>
        <v>-0.908115475674001</v>
      </c>
      <c r="GA392" s="60" t="n">
        <f aca="false">CHOOSE($C$7,FX392,FX392-FY392-FY392^2,FX392-3*FY392^2-2*FY392)</f>
        <v>0.00867174802160559</v>
      </c>
      <c r="GB392" s="60" t="n">
        <f aca="false">CHOOSE($C$7,-FX392*FY392,-FX392*FY392,-(FX392*FY392-FY392^2-FY392^3))</f>
        <v>-0.0107910842936637</v>
      </c>
      <c r="GC392" s="60" t="n">
        <f aca="false">GA392-FZ392^2/3</f>
        <v>-0.266219491031267</v>
      </c>
      <c r="GD392" s="60" t="n">
        <f aca="false">2*FZ392^3/27-FZ392*GA392/3+GB392</f>
        <v>-0.0636400988362784</v>
      </c>
      <c r="GE392" s="60" t="n">
        <f aca="false">GD392^2/4+GC392^3/27</f>
        <v>0.000313710901361829</v>
      </c>
      <c r="GF392" s="60" t="n">
        <f aca="false">-GD392/2-IF(GD392&gt;=0,1,-1)*SQRT(MAX(GE392,0))</f>
        <v>0.0495319352963236</v>
      </c>
      <c r="GG392" s="60" t="n">
        <f aca="false">SIGN(GF392)*ABS(GF392)^(1/3)</f>
        <v>0.367249967174439</v>
      </c>
      <c r="GH392" s="60" t="n">
        <f aca="false">IF(GG392=0,0,GG392-GC392/(3*GG392))</f>
        <v>0.60888329127384</v>
      </c>
      <c r="GI392" s="60" t="n">
        <f aca="false">2*SQRT(MAX(-GC392,0)/3)</f>
        <v>0.595784626668918</v>
      </c>
      <c r="GJ392" s="60" t="n">
        <f aca="false">ACOS(IF(GI392=0,0,MAX(-1,MIN(1,3*GD392/(GC392*GI392)))))</f>
        <v>0</v>
      </c>
      <c r="GK392" s="60" t="n">
        <f aca="false">GI392*COS(GJ392/3)</f>
        <v>0.595784626668918</v>
      </c>
      <c r="GL392" s="60" t="n">
        <f aca="false">IF(GE392&lt;0,GK392,GH392)-FZ392/3</f>
        <v>0.91158844983184</v>
      </c>
      <c r="GM392" s="60" t="n">
        <f aca="false">IFERROR((((GL392+FZ392)*GL392+GA392)*GL392+GB392)/((3*GL392+2*FZ392)*GL392+GA392),0)</f>
        <v>0</v>
      </c>
      <c r="GN392" s="60" t="n">
        <f aca="false">IF(ABS(GM392)&lt;0.1*ABS(GL392),GL392-GM392,GL392)</f>
        <v>0.91158844983184</v>
      </c>
      <c r="GO392" s="60" t="n">
        <f aca="false">IFERROR((((GN392+FZ392)*GN392+GA392)*GN392+GB392)/((3*GN392+2*FZ392)*GN392+GA392),0)</f>
        <v>0</v>
      </c>
      <c r="GP392" s="60" t="n">
        <f aca="false">IF(ABS(GO392)&lt;0.1*ABS(GN392),GN392-GO392,GN392)</f>
        <v>0.91158844983184</v>
      </c>
      <c r="GQ392" s="60" t="n">
        <f aca="false">-GB392/GP392</f>
        <v>0.0118376711504565</v>
      </c>
      <c r="GR392" s="60" t="n">
        <f aca="false">(GA392-GQ392)/GP392</f>
        <v>-0.00347297415783941</v>
      </c>
      <c r="GS392" s="60" t="n">
        <f aca="false">GR392^2-4*GQ392</f>
        <v>-0.0473386230523248</v>
      </c>
      <c r="GT392" s="60" t="n">
        <f aca="false">IF(GS392&gt;=0,(GR392+IF(GR392&gt;=0,1,-1)*SQRT(GS392))/2,0)</f>
        <v>0</v>
      </c>
      <c r="GU392" s="60" t="n">
        <f aca="false">IF(AND(GS392&gt;=0,GT392&lt;&gt;0),MIN(GT392,GQ392/GT392),-1)</f>
        <v>-1</v>
      </c>
      <c r="GV392" s="60" t="n">
        <f aca="false">AND(GS392&gt;=0,GU392&gt;FY392,ABS(GP392-GU392)&gt;=0.00005*MAX(GP392,GU392))</f>
        <v>0</v>
      </c>
      <c r="GW392" s="60" t="n">
        <f aca="false">IF(GV392,IFERROR((((GU392+FZ392)*GU392+GA392)*GU392+GB392)/((3*GU392+2*FZ392)*GU392+GA392),0),0)</f>
        <v>0</v>
      </c>
      <c r="GX392" s="60" t="n">
        <f aca="false">IF(ABS(GW392)&lt;0.1*ABS(GU392),GU392-GW392,GU392)</f>
        <v>-1</v>
      </c>
      <c r="GY392" s="60" t="n">
        <f aca="false">IF(GV392,IFERROR((((GX392+FZ392)*GX392+GA392)*GX392+GB392)/((3*GX392+2*FZ392)*GX392+GA392),0),0)</f>
        <v>0</v>
      </c>
      <c r="GZ392" s="60" t="n">
        <f aca="false">IF(ABS(GY392)&lt;0.1*ABS(GX392),GX392-GY392,GX392)</f>
        <v>-1</v>
      </c>
      <c r="HA392" s="60" t="n">
        <f aca="false">IF(GV392,MAX(GP392,GZ392),GP392)</f>
        <v>0.91158844983184</v>
      </c>
      <c r="HB392" s="60" t="n">
        <f aca="false">IF(GV392,MIN(GP392,GZ392),-1)</f>
        <v>-1</v>
      </c>
      <c r="HC392" s="60" t="n">
        <f aca="false">CHOOSE($C$7,FX392/HA392,FX392/FY392*LN(1+FY392/HA392),FX392/(2*SQRT(2)*FY392)*LN((HA392+(1+SQRT(2))*FY392)/(HA392+(1-SQRT(2))*FY392)))</f>
        <v>0.218240791233887</v>
      </c>
      <c r="HD392" s="60" t="n">
        <f aca="false">HA392-1-LN(HA392-FY392)-HC392</f>
        <v>-0.107840271021729</v>
      </c>
      <c r="HE392" s="60" t="n">
        <f aca="false">IF(GV392,CHOOSE($C$7,FX392/HB392,FX392/FY392*LN(1+FY392/HB392),FX392/(2*SQRT(2)*FY392)*LN((HB392+(1+SQRT(2))*FY392)/(HB392+(1-SQRT(2))*FY392))),0)</f>
        <v>0</v>
      </c>
      <c r="HF392" s="60" t="n">
        <f aca="false">IF(GV392,HB392-1-LN(HB392-FY392)-HE392,0)</f>
        <v>0</v>
      </c>
      <c r="HG392" s="60" t="n">
        <f aca="false">AND(GV392,HF392&lt;HD392)</f>
        <v>0</v>
      </c>
      <c r="HH392" s="60" t="n">
        <f aca="false">IF(HG392,HB392,HA392)</f>
        <v>0.91158844983184</v>
      </c>
      <c r="HI392" s="60" t="n">
        <f aca="false">IF(HG392,HE392,HC392)</f>
        <v>0.218240791233887</v>
      </c>
      <c r="HJ392" s="60" t="n">
        <f aca="false">LN(HH392-FY392)</f>
        <v>-0.198812070380318</v>
      </c>
      <c r="HK392" s="60" t="n">
        <f aca="false">$E$27/FW392*(HH392-1)-HJ392-HI392*(2*FJ392/FV392-$E$27/FW392)</f>
        <v>-0.107840271021729</v>
      </c>
      <c r="HL392" s="60" t="n">
        <f aca="false">$F$27/FW392*(HH392-1)-HJ392-HI392*(2*FK392/FV392-$F$27/FW392)</f>
        <v>0.198812070380318</v>
      </c>
      <c r="HM392" s="60" t="n">
        <f aca="false">$G$27/FW392*(HH392-1)-HJ392-HI392*(2*FL392/FV392-$G$27/FW392)</f>
        <v>0.198812070380318</v>
      </c>
      <c r="HN392" s="60" t="n">
        <f aca="false">$H$27/FW392*(HH392-1)-HJ392-HI392*(2*FM392/FV392-$H$27/FW392)</f>
        <v>0.198812070380318</v>
      </c>
      <c r="HO392" s="60" t="n">
        <f aca="false">$I$27/FW392*(HH392-1)-HJ392-HI392*(2*FN392/FV392-$I$27/FW392)</f>
        <v>0.198812070380318</v>
      </c>
      <c r="HP392" s="60" t="n">
        <f aca="false">$J$27/FW392*(HH392-1)-HJ392-HI392*(2*FO392/FV392-$J$27/FW392)</f>
        <v>0.198812070380318</v>
      </c>
      <c r="HQ392" s="60" t="n">
        <f aca="false">$K$27/FW392*(HH392-1)-HJ392-HI392*(2*FP392/FV392-$K$27/FW392)</f>
        <v>0.198812070380318</v>
      </c>
      <c r="HR392" s="60" t="n">
        <f aca="false">$L$27/FW392*(HH392-1)-HJ392-HI392*(2*FQ392/FV392-$L$27/FW392)</f>
        <v>0.198812070380318</v>
      </c>
      <c r="HS392" s="60" t="n">
        <f aca="false">$M$27/FW392*(HH392-1)-HJ392-HI392*(2*FR392/FV392-$M$27/FW392)</f>
        <v>0.198812070380318</v>
      </c>
      <c r="HT392" s="60" t="n">
        <f aca="false">$N$27/FW392*(HH392-1)-HJ392-HI392*(2*FS392/FV392-$N$27/FW392)</f>
        <v>0.198812070380318</v>
      </c>
      <c r="HU392" s="60" t="n">
        <f aca="false">$O$27/FW392*(HH392-1)-HJ392-HI392*(2*FT392/FV392-$O$27/FW392)</f>
        <v>0.198812070380318</v>
      </c>
      <c r="HV392" s="60" t="n">
        <f aca="false">$P$27/FW392*(HH392-1)-HJ392-HI392*(2*FU392/FV392-$P$27/FW392)</f>
        <v>0.198812070380318</v>
      </c>
      <c r="HW392" s="60" t="n">
        <f aca="false">FY392/HH392&gt;$C$22</f>
        <v>0</v>
      </c>
      <c r="HX392" s="60" t="n">
        <f aca="false">IF($E$13&gt;0,MAX(-300,MIN(300,EW392-HK392)),0)</f>
        <v>0</v>
      </c>
      <c r="HY392" s="60" t="n">
        <f aca="false">IF($F$13&gt;0,MAX(-300,MIN(300,EX392-HL392)),0)</f>
        <v>0</v>
      </c>
      <c r="HZ392" s="60" t="n">
        <f aca="false">IF($G$13&gt;0,MAX(-300,MIN(300,EY392-HM392)),0)</f>
        <v>0</v>
      </c>
      <c r="IA392" s="60" t="n">
        <f aca="false">IF($H$13&gt;0,MAX(-300,MIN(300,EZ392-HN392)),0)</f>
        <v>0</v>
      </c>
      <c r="IB392" s="60" t="n">
        <f aca="false">IF($I$13&gt;0,MAX(-300,MIN(300,FA392-HO392)),0)</f>
        <v>0</v>
      </c>
      <c r="IC392" s="60" t="n">
        <f aca="false">IF($J$13&gt;0,MAX(-300,MIN(300,FB392-HP392)),0)</f>
        <v>0</v>
      </c>
      <c r="ID392" s="60" t="n">
        <f aca="false">IF($K$13&gt;0,MAX(-300,MIN(300,FC392-HQ392)),0)</f>
        <v>0</v>
      </c>
      <c r="IE392" s="60" t="n">
        <f aca="false">IF($L$13&gt;0,MAX(-300,MIN(300,FD392-HR392)),0)</f>
        <v>0</v>
      </c>
      <c r="IF392" s="60" t="n">
        <f aca="false">IF($M$13&gt;0,MAX(-300,MIN(300,FE392-HS392)),0)</f>
        <v>0</v>
      </c>
      <c r="IG392" s="60" t="n">
        <f aca="false">IF($N$13&gt;0,MAX(-300,MIN(300,FF392-HT392)),0)</f>
        <v>0</v>
      </c>
      <c r="IH392" s="60" t="n">
        <f aca="false">IF($O$13&gt;0,MAX(-300,MIN(300,FG392-HU392)),0)</f>
        <v>0</v>
      </c>
      <c r="II392" s="60" t="n">
        <f aca="false">IF($P$13&gt;0,MAX(-300,MIN(300,FH392-HV392)),0)</f>
        <v>0</v>
      </c>
      <c r="IJ392" s="60" t="n">
        <f aca="false">SUMXMY2(HX392:II392,B392:M392)</f>
        <v>0</v>
      </c>
      <c r="IK392" s="60" t="n">
        <f aca="false">SUMSQ(B392:M392)</f>
        <v>0</v>
      </c>
    </row>
    <row r="393" customFormat="false" ht="15" hidden="false" customHeight="false" outlineLevel="0" collapsed="false">
      <c r="A393" s="59" t="n">
        <v>32</v>
      </c>
      <c r="B393" s="60" t="n">
        <f aca="false">HX392</f>
        <v>0</v>
      </c>
      <c r="C393" s="60" t="n">
        <f aca="false">HY392</f>
        <v>0</v>
      </c>
      <c r="D393" s="60" t="n">
        <f aca="false">HZ392</f>
        <v>0</v>
      </c>
      <c r="E393" s="60" t="n">
        <f aca="false">IA392</f>
        <v>0</v>
      </c>
      <c r="F393" s="60" t="n">
        <f aca="false">IB392</f>
        <v>0</v>
      </c>
      <c r="G393" s="60" t="n">
        <f aca="false">IC392</f>
        <v>0</v>
      </c>
      <c r="H393" s="60" t="n">
        <f aca="false">ID392</f>
        <v>0</v>
      </c>
      <c r="I393" s="60" t="n">
        <f aca="false">IE392</f>
        <v>0</v>
      </c>
      <c r="J393" s="60" t="n">
        <f aca="false">IF392</f>
        <v>0</v>
      </c>
      <c r="K393" s="60" t="n">
        <f aca="false">IG392</f>
        <v>0</v>
      </c>
      <c r="L393" s="60" t="n">
        <f aca="false">IH392</f>
        <v>0</v>
      </c>
      <c r="M393" s="60" t="n">
        <f aca="false">II392</f>
        <v>0</v>
      </c>
      <c r="N393" s="60" t="n">
        <f aca="false">EXP(B393)</f>
        <v>1</v>
      </c>
      <c r="O393" s="60" t="n">
        <f aca="false">EXP(C393)</f>
        <v>1</v>
      </c>
      <c r="P393" s="60" t="n">
        <f aca="false">EXP(D393)</f>
        <v>1</v>
      </c>
      <c r="Q393" s="60" t="n">
        <f aca="false">EXP(E393)</f>
        <v>1</v>
      </c>
      <c r="R393" s="60" t="n">
        <f aca="false">EXP(F393)</f>
        <v>1</v>
      </c>
      <c r="S393" s="60" t="n">
        <f aca="false">EXP(G393)</f>
        <v>1</v>
      </c>
      <c r="T393" s="60" t="n">
        <f aca="false">EXP(H393)</f>
        <v>1</v>
      </c>
      <c r="U393" s="60" t="n">
        <f aca="false">EXP(I393)</f>
        <v>1</v>
      </c>
      <c r="V393" s="60" t="n">
        <f aca="false">EXP(J393)</f>
        <v>1</v>
      </c>
      <c r="W393" s="60" t="n">
        <f aca="false">EXP(K393)</f>
        <v>1</v>
      </c>
      <c r="X393" s="60" t="n">
        <f aca="false">EXP(L393)</f>
        <v>1</v>
      </c>
      <c r="Y393" s="60" t="n">
        <f aca="false">EXP(M393)</f>
        <v>1</v>
      </c>
      <c r="Z393" s="60" t="n">
        <f aca="false">MAX(N393:Y393)</f>
        <v>1</v>
      </c>
      <c r="AA393" s="60" t="n">
        <f aca="false">MIN(N393:Y393)</f>
        <v>1</v>
      </c>
      <c r="AB393" s="60" t="n">
        <f aca="false">AND(Z393&gt;1,AA393&lt;1)</f>
        <v>0</v>
      </c>
      <c r="AC393" s="60" t="n">
        <f aca="false">IF(AB393,1/(1-Z393),0)</f>
        <v>0</v>
      </c>
      <c r="AD393" s="60" t="n">
        <f aca="false">IF(AB393,1/(1-AA393),1)</f>
        <v>1</v>
      </c>
      <c r="AE393" s="60" t="n">
        <f aca="false">IF(AB393,MIN(MAX(BI392,AC393+0.000000001*(AD393-AC393)),AD393-0.000000001*(AD393-AC393)),IF(AA393&gt;=1,1,0))</f>
        <v>1</v>
      </c>
      <c r="AF393" s="60" t="n">
        <f aca="false">SUMPRODUCT($E$13:$P$13*(N393:Y393-1)/(1+AE393*(N393:Y393-1)))</f>
        <v>0</v>
      </c>
      <c r="AG393" s="60" t="n">
        <f aca="false">-SUMPRODUCT($E$13:$P$13*(N393:Y393-1)^2/(1+AE393*(N393:Y393-1))^2)</f>
        <v>-0</v>
      </c>
      <c r="AH393" s="60" t="n">
        <f aca="false">IF(OR(NOT(AB393),AG393=0),AE393,IF(AE393-AF393/AG393&lt;=AC393,(AE393+AC393)/2,IF(AE393-AF393/AG393&gt;=AD393,(AE393+AD393)/2,AE393-AF393/AG393)))</f>
        <v>1</v>
      </c>
      <c r="AI393" s="60" t="n">
        <f aca="false">SUMPRODUCT($E$13:$P$13*(N393:Y393-1)/(1+AH393*(N393:Y393-1)))</f>
        <v>0</v>
      </c>
      <c r="AJ393" s="60" t="n">
        <f aca="false">-SUMPRODUCT($E$13:$P$13*(N393:Y393-1)^2/(1+AH393*(N393:Y393-1))^2)</f>
        <v>-0</v>
      </c>
      <c r="AK393" s="60" t="n">
        <f aca="false">IF(OR(NOT(AB393),AJ393=0),AH393,IF(AH393-AI393/AJ393&lt;=AC393,(AH393+AC393)/2,IF(AH393-AI393/AJ393&gt;=AD393,(AH393+AD393)/2,AH393-AI393/AJ393)))</f>
        <v>1</v>
      </c>
      <c r="AL393" s="60" t="n">
        <f aca="false">SUMPRODUCT($E$13:$P$13*(N393:Y393-1)/(1+AK393*(N393:Y393-1)))</f>
        <v>0</v>
      </c>
      <c r="AM393" s="60" t="n">
        <f aca="false">-SUMPRODUCT($E$13:$P$13*(N393:Y393-1)^2/(1+AK393*(N393:Y393-1))^2)</f>
        <v>-0</v>
      </c>
      <c r="AN393" s="60" t="n">
        <f aca="false">IF(OR(NOT(AB393),AM393=0),AK393,IF(AK393-AL393/AM393&lt;=AC393,(AK393+AC393)/2,IF(AK393-AL393/AM393&gt;=AD393,(AK393+AD393)/2,AK393-AL393/AM393)))</f>
        <v>1</v>
      </c>
      <c r="AO393" s="60" t="n">
        <f aca="false">SUMPRODUCT($E$13:$P$13*(N393:Y393-1)/(1+AN393*(N393:Y393-1)))</f>
        <v>0</v>
      </c>
      <c r="AP393" s="60" t="n">
        <f aca="false">-SUMPRODUCT($E$13:$P$13*(N393:Y393-1)^2/(1+AN393*(N393:Y393-1))^2)</f>
        <v>-0</v>
      </c>
      <c r="AQ393" s="60" t="n">
        <f aca="false">IF(OR(NOT(AB393),AP393=0),AN393,IF(AN393-AO393/AP393&lt;=AC393,(AN393+AC393)/2,IF(AN393-AO393/AP393&gt;=AD393,(AN393+AD393)/2,AN393-AO393/AP393)))</f>
        <v>1</v>
      </c>
      <c r="AR393" s="60" t="n">
        <f aca="false">SUMPRODUCT($E$13:$P$13*(N393:Y393-1)/(1+AQ393*(N393:Y393-1)))</f>
        <v>0</v>
      </c>
      <c r="AS393" s="60" t="n">
        <f aca="false">-SUMPRODUCT($E$13:$P$13*(N393:Y393-1)^2/(1+AQ393*(N393:Y393-1))^2)</f>
        <v>-0</v>
      </c>
      <c r="AT393" s="60" t="n">
        <f aca="false">IF(OR(NOT(AB393),AS393=0),AQ393,IF(AQ393-AR393/AS393&lt;=AC393,(AQ393+AC393)/2,IF(AQ393-AR393/AS393&gt;=AD393,(AQ393+AD393)/2,AQ393-AR393/AS393)))</f>
        <v>1</v>
      </c>
      <c r="AU393" s="60" t="n">
        <f aca="false">SUMPRODUCT($E$13:$P$13*(N393:Y393-1)/(1+AT393*(N393:Y393-1)))</f>
        <v>0</v>
      </c>
      <c r="AV393" s="60" t="n">
        <f aca="false">-SUMPRODUCT($E$13:$P$13*(N393:Y393-1)^2/(1+AT393*(N393:Y393-1))^2)</f>
        <v>-0</v>
      </c>
      <c r="AW393" s="60" t="n">
        <f aca="false">IF(OR(NOT(AB393),AV393=0),AT393,IF(AT393-AU393/AV393&lt;=AC393,(AT393+AC393)/2,IF(AT393-AU393/AV393&gt;=AD393,(AT393+AD393)/2,AT393-AU393/AV393)))</f>
        <v>1</v>
      </c>
      <c r="AX393" s="60" t="n">
        <f aca="false">SUMPRODUCT($E$13:$P$13*(N393:Y393-1)/(1+AW393*(N393:Y393-1)))</f>
        <v>0</v>
      </c>
      <c r="AY393" s="60" t="n">
        <f aca="false">-SUMPRODUCT($E$13:$P$13*(N393:Y393-1)^2/(1+AW393*(N393:Y393-1))^2)</f>
        <v>-0</v>
      </c>
      <c r="AZ393" s="60" t="n">
        <f aca="false">IF(OR(NOT(AB393),AY393=0),AW393,IF(AW393-AX393/AY393&lt;=AC393,(AW393+AC393)/2,IF(AW393-AX393/AY393&gt;=AD393,(AW393+AD393)/2,AW393-AX393/AY393)))</f>
        <v>1</v>
      </c>
      <c r="BA393" s="60" t="n">
        <f aca="false">SUMPRODUCT($E$13:$P$13*(N393:Y393-1)/(1+AZ393*(N393:Y393-1)))</f>
        <v>0</v>
      </c>
      <c r="BB393" s="60" t="n">
        <f aca="false">-SUMPRODUCT($E$13:$P$13*(N393:Y393-1)^2/(1+AZ393*(N393:Y393-1))^2)</f>
        <v>-0</v>
      </c>
      <c r="BC393" s="60" t="n">
        <f aca="false">IF(OR(NOT(AB393),BB393=0),AZ393,IF(AZ393-BA393/BB393&lt;=AC393,(AZ393+AC393)/2,IF(AZ393-BA393/BB393&gt;=AD393,(AZ393+AD393)/2,AZ393-BA393/BB393)))</f>
        <v>1</v>
      </c>
      <c r="BD393" s="60" t="n">
        <f aca="false">SUMPRODUCT($E$13:$P$13*(N393:Y393-1)/(1+BC393*(N393:Y393-1)))</f>
        <v>0</v>
      </c>
      <c r="BE393" s="60" t="n">
        <f aca="false">-SUMPRODUCT($E$13:$P$13*(N393:Y393-1)^2/(1+BC393*(N393:Y393-1))^2)</f>
        <v>-0</v>
      </c>
      <c r="BF393" s="60" t="n">
        <f aca="false">IF(OR(NOT(AB393),BE393=0),BC393,IF(BC393-BD393/BE393&lt;=AC393,(BC393+AC393)/2,IF(BC393-BD393/BE393&gt;=AD393,(BC393+AD393)/2,BC393-BD393/BE393)))</f>
        <v>1</v>
      </c>
      <c r="BG393" s="60" t="n">
        <f aca="false">SUMPRODUCT($E$13:$P$13*(N393:Y393-1)/(1+BF393*(N393:Y393-1)))</f>
        <v>0</v>
      </c>
      <c r="BH393" s="60" t="n">
        <f aca="false">-SUMPRODUCT($E$13:$P$13*(N393:Y393-1)^2/(1+BF393*(N393:Y393-1))^2)</f>
        <v>-0</v>
      </c>
      <c r="BI393" s="60" t="n">
        <f aca="false">IF(OR(NOT(AB393),BH393=0),BF393,IF(BF393-BG393/BH393&lt;=AC393,(BF393+AC393)/2,IF(BF393-BG393/BH393&gt;=AD393,(BF393+AD393)/2,BF393-BG393/BH393)))</f>
        <v>1</v>
      </c>
      <c r="BJ393" s="60" t="n">
        <f aca="false">$E$13/(1+BI393*(N393-1))</f>
        <v>1</v>
      </c>
      <c r="BK393" s="60" t="n">
        <f aca="false">$F$13/(1+BI393*(O393-1))</f>
        <v>0</v>
      </c>
      <c r="BL393" s="60" t="n">
        <f aca="false">$G$13/(1+BI393*(P393-1))</f>
        <v>0</v>
      </c>
      <c r="BM393" s="60" t="n">
        <f aca="false">$H$13/(1+BI393*(Q393-1))</f>
        <v>0</v>
      </c>
      <c r="BN393" s="60" t="n">
        <f aca="false">$I$13/(1+BI393*(R393-1))</f>
        <v>0</v>
      </c>
      <c r="BO393" s="60" t="n">
        <f aca="false">$J$13/(1+BI393*(S393-1))</f>
        <v>0</v>
      </c>
      <c r="BP393" s="60" t="n">
        <f aca="false">$K$13/(1+BI393*(T393-1))</f>
        <v>0</v>
      </c>
      <c r="BQ393" s="60" t="n">
        <f aca="false">$L$13/(1+BI393*(U393-1))</f>
        <v>0</v>
      </c>
      <c r="BR393" s="60" t="n">
        <f aca="false">$M$13/(1+BI393*(V393-1))</f>
        <v>0</v>
      </c>
      <c r="BS393" s="60" t="n">
        <f aca="false">$N$13/(1+BI393*(W393-1))</f>
        <v>0</v>
      </c>
      <c r="BT393" s="60" t="n">
        <f aca="false">$O$13/(1+BI393*(X393-1))</f>
        <v>0</v>
      </c>
      <c r="BU393" s="60" t="n">
        <f aca="false">$P$13/(1+BI393*(Y393-1))</f>
        <v>0</v>
      </c>
      <c r="BV393" s="60" t="n">
        <f aca="false">SUM(BJ393:BU393)</f>
        <v>1</v>
      </c>
      <c r="BW393" s="60" t="n">
        <f aca="false">SUMPRODUCT(N393:Y393,BJ393:BU393)</f>
        <v>1</v>
      </c>
      <c r="BX393" s="60" t="n">
        <f aca="false">BJ393/BV393</f>
        <v>1</v>
      </c>
      <c r="BY393" s="60" t="n">
        <f aca="false">BK393/BV393</f>
        <v>0</v>
      </c>
      <c r="BZ393" s="60" t="n">
        <f aca="false">BL393/BV393</f>
        <v>0</v>
      </c>
      <c r="CA393" s="60" t="n">
        <f aca="false">BM393/BV393</f>
        <v>0</v>
      </c>
      <c r="CB393" s="60" t="n">
        <f aca="false">BN393/BV393</f>
        <v>0</v>
      </c>
      <c r="CC393" s="60" t="n">
        <f aca="false">BO393/BV393</f>
        <v>0</v>
      </c>
      <c r="CD393" s="60" t="n">
        <f aca="false">BP393/BV393</f>
        <v>0</v>
      </c>
      <c r="CE393" s="60" t="n">
        <f aca="false">BQ393/BV393</f>
        <v>0</v>
      </c>
      <c r="CF393" s="60" t="n">
        <f aca="false">BR393/BV393</f>
        <v>0</v>
      </c>
      <c r="CG393" s="60" t="n">
        <f aca="false">BS393/BV393</f>
        <v>0</v>
      </c>
      <c r="CH393" s="60" t="n">
        <f aca="false">BT393/BV393</f>
        <v>0</v>
      </c>
      <c r="CI393" s="60" t="n">
        <f aca="false">BU393/BV393</f>
        <v>0</v>
      </c>
      <c r="CJ393" s="60" t="n">
        <f aca="false">N393*BJ393/BW393</f>
        <v>1</v>
      </c>
      <c r="CK393" s="60" t="n">
        <f aca="false">O393*BK393/BW393</f>
        <v>0</v>
      </c>
      <c r="CL393" s="60" t="n">
        <f aca="false">P393*BL393/BW393</f>
        <v>0</v>
      </c>
      <c r="CM393" s="60" t="n">
        <f aca="false">Q393*BM393/BW393</f>
        <v>0</v>
      </c>
      <c r="CN393" s="60" t="n">
        <f aca="false">R393*BN393/BW393</f>
        <v>0</v>
      </c>
      <c r="CO393" s="60" t="n">
        <f aca="false">S393*BO393/BW393</f>
        <v>0</v>
      </c>
      <c r="CP393" s="60" t="n">
        <f aca="false">T393*BP393/BW393</f>
        <v>0</v>
      </c>
      <c r="CQ393" s="60" t="n">
        <f aca="false">U393*BQ393/BW393</f>
        <v>0</v>
      </c>
      <c r="CR393" s="60" t="n">
        <f aca="false">V393*BR393/BW393</f>
        <v>0</v>
      </c>
      <c r="CS393" s="60" t="n">
        <f aca="false">W393*BS393/BW393</f>
        <v>0</v>
      </c>
      <c r="CT393" s="60" t="n">
        <f aca="false">X393*BT393/BW393</f>
        <v>0</v>
      </c>
      <c r="CU393" s="60" t="n">
        <f aca="false">Y393*BU393/BW393</f>
        <v>0</v>
      </c>
      <c r="CV393" s="60" t="n">
        <f aca="false">$E$28*SUMPRODUCT($E$31:$P$31,BX393:CI393,$E$28:$P$28)</f>
        <v>0.184416866619846</v>
      </c>
      <c r="CW393" s="60" t="n">
        <f aca="false">$F$28*SUMPRODUCT($E$32:$P$32,BX393:CI393,$E$28:$P$28)</f>
        <v>0</v>
      </c>
      <c r="CX393" s="60" t="n">
        <f aca="false">$G$28*SUMPRODUCT($E$33:$P$33,BX393:CI393,$E$28:$P$28)</f>
        <v>0</v>
      </c>
      <c r="CY393" s="60" t="n">
        <f aca="false">$H$28*SUMPRODUCT($E$34:$P$34,BX393:CI393,$E$28:$P$28)</f>
        <v>0</v>
      </c>
      <c r="CZ393" s="60" t="n">
        <f aca="false">$I$28*SUMPRODUCT($E$35:$P$35,BX393:CI393,$E$28:$P$28)</f>
        <v>0</v>
      </c>
      <c r="DA393" s="60" t="n">
        <f aca="false">$J$28*SUMPRODUCT($E$36:$P$36,BX393:CI393,$E$28:$P$28)</f>
        <v>0</v>
      </c>
      <c r="DB393" s="60" t="n">
        <f aca="false">$K$28*SUMPRODUCT($E$37:$P$37,BX393:CI393,$E$28:$P$28)</f>
        <v>0</v>
      </c>
      <c r="DC393" s="60" t="n">
        <f aca="false">$L$28*SUMPRODUCT($E$38:$P$38,BX393:CI393,$E$28:$P$28)</f>
        <v>0</v>
      </c>
      <c r="DD393" s="60" t="n">
        <f aca="false">$M$28*SUMPRODUCT($E$39:$P$39,BX393:CI393,$E$28:$P$28)</f>
        <v>0</v>
      </c>
      <c r="DE393" s="60" t="n">
        <f aca="false">$N$28*SUMPRODUCT($E$40:$P$40,BX393:CI393,$E$28:$P$28)</f>
        <v>0</v>
      </c>
      <c r="DF393" s="60" t="n">
        <f aca="false">$O$28*SUMPRODUCT($E$41:$P$41,BX393:CI393,$E$28:$P$28)</f>
        <v>0</v>
      </c>
      <c r="DG393" s="60" t="n">
        <f aca="false">$P$28*SUMPRODUCT($E$42:$P$42,BX393:CI393,$E$28:$P$28)</f>
        <v>0</v>
      </c>
      <c r="DH393" s="60" t="n">
        <f aca="false">SUMPRODUCT(BX393:CI393,CV393:DG393)</f>
        <v>0.184416866619846</v>
      </c>
      <c r="DI393" s="60" t="n">
        <f aca="false">SUMPRODUCT(BX393:CI393,$E$27:$P$27)</f>
        <v>2.67389635063809E-005</v>
      </c>
      <c r="DJ393" s="60" t="n">
        <f aca="false">DH393*$C$9/($C$10*$C$8)^2</f>
        <v>0.21776909410545</v>
      </c>
      <c r="DK393" s="60" t="n">
        <f aca="false">DI393*$C$9/($C$10*$C$8)</f>
        <v>0.0918845243259994</v>
      </c>
      <c r="DL393" s="60" t="n">
        <f aca="false">CHOOSE($C$7,-(1+DK393),-1,-(1-DK393))</f>
        <v>-0.908115475674001</v>
      </c>
      <c r="DM393" s="60" t="n">
        <f aca="false">CHOOSE($C$7,DJ393,DJ393-DK393-DK393^2,DJ393-3*DK393^2-2*DK393)</f>
        <v>0.00867174802160559</v>
      </c>
      <c r="DN393" s="60" t="n">
        <f aca="false">CHOOSE($C$7,-DJ393*DK393,-DJ393*DK393,-(DJ393*DK393-DK393^2-DK393^3))</f>
        <v>-0.0107910842936637</v>
      </c>
      <c r="DO393" s="60" t="n">
        <f aca="false">DM393-DL393^2/3</f>
        <v>-0.266219491031267</v>
      </c>
      <c r="DP393" s="60" t="n">
        <f aca="false">2*DL393^3/27-DL393*DM393/3+DN393</f>
        <v>-0.0636400988362784</v>
      </c>
      <c r="DQ393" s="60" t="n">
        <f aca="false">DP393^2/4+DO393^3/27</f>
        <v>0.000313710901361829</v>
      </c>
      <c r="DR393" s="60" t="n">
        <f aca="false">-DP393/2-IF(DP393&gt;=0,1,-1)*SQRT(MAX(DQ393,0))</f>
        <v>0.0495319352963236</v>
      </c>
      <c r="DS393" s="60" t="n">
        <f aca="false">SIGN(DR393)*ABS(DR393)^(1/3)</f>
        <v>0.367249967174439</v>
      </c>
      <c r="DT393" s="60" t="n">
        <f aca="false">IF(DS393=0,0,DS393-DO393/(3*DS393))</f>
        <v>0.60888329127384</v>
      </c>
      <c r="DU393" s="60" t="n">
        <f aca="false">2*SQRT(MAX(-DO393,0)/3)</f>
        <v>0.595784626668918</v>
      </c>
      <c r="DV393" s="60" t="n">
        <f aca="false">ACOS(IF(DU393=0,0,MAX(-1,MIN(1,3*DP393/(DO393*DU393)))))</f>
        <v>0</v>
      </c>
      <c r="DW393" s="60" t="n">
        <f aca="false">DU393*COS(DV393/3)</f>
        <v>0.595784626668918</v>
      </c>
      <c r="DX393" s="60" t="n">
        <f aca="false">IF(DQ393&lt;0,DW393,DT393)-DL393/3</f>
        <v>0.91158844983184</v>
      </c>
      <c r="DY393" s="60" t="n">
        <f aca="false">IFERROR((((DX393+DL393)*DX393+DM393)*DX393+DN393)/((3*DX393+2*DL393)*DX393+DM393),0)</f>
        <v>0</v>
      </c>
      <c r="DZ393" s="60" t="n">
        <f aca="false">IF(ABS(DY393)&lt;0.1*ABS(DX393),DX393-DY393,DX393)</f>
        <v>0.91158844983184</v>
      </c>
      <c r="EA393" s="60" t="n">
        <f aca="false">IFERROR((((DZ393+DL393)*DZ393+DM393)*DZ393+DN393)/((3*DZ393+2*DL393)*DZ393+DM393),0)</f>
        <v>0</v>
      </c>
      <c r="EB393" s="60" t="n">
        <f aca="false">IF(ABS(EA393)&lt;0.1*ABS(DZ393),DZ393-EA393,DZ393)</f>
        <v>0.91158844983184</v>
      </c>
      <c r="EC393" s="60" t="n">
        <f aca="false">-DN393/EB393</f>
        <v>0.0118376711504565</v>
      </c>
      <c r="ED393" s="60" t="n">
        <f aca="false">(DM393-EC393)/EB393</f>
        <v>-0.00347297415783941</v>
      </c>
      <c r="EE393" s="60" t="n">
        <f aca="false">ED393^2-4*EC393</f>
        <v>-0.0473386230523248</v>
      </c>
      <c r="EF393" s="60" t="n">
        <f aca="false">IF(EE393&gt;=0,(ED393+IF(ED393&gt;=0,1,-1)*SQRT(EE393))/2,0)</f>
        <v>0</v>
      </c>
      <c r="EG393" s="60" t="n">
        <f aca="false">IF(AND(EE393&gt;=0,EF393&lt;&gt;0),MIN(EF393,EC393/EF393),-1)</f>
        <v>-1</v>
      </c>
      <c r="EH393" s="60" t="n">
        <f aca="false">AND(EE393&gt;=0,EG393&gt;DK393,ABS(EB393-EG393)&gt;=0.00005*MAX(EB393,EG393))</f>
        <v>0</v>
      </c>
      <c r="EI393" s="60" t="n">
        <f aca="false">IF(EH393,IFERROR((((EG393+DL393)*EG393+DM393)*EG393+DN393)/((3*EG393+2*DL393)*EG393+DM393),0),0)</f>
        <v>0</v>
      </c>
      <c r="EJ393" s="60" t="n">
        <f aca="false">IF(ABS(EI393)&lt;0.1*ABS(EG393),EG393-EI393,EG393)</f>
        <v>-1</v>
      </c>
      <c r="EK393" s="60" t="n">
        <f aca="false">IF(EH393,IFERROR((((EJ393+DL393)*EJ393+DM393)*EJ393+DN393)/((3*EJ393+2*DL393)*EJ393+DM393),0),0)</f>
        <v>0</v>
      </c>
      <c r="EL393" s="60" t="n">
        <f aca="false">IF(ABS(EK393)&lt;0.1*ABS(EJ393),EJ393-EK393,EJ393)</f>
        <v>-1</v>
      </c>
      <c r="EM393" s="60" t="n">
        <f aca="false">IF(EH393,MAX(EB393,EL393),EB393)</f>
        <v>0.91158844983184</v>
      </c>
      <c r="EN393" s="60" t="n">
        <f aca="false">IF(EH393,MIN(EB393,EL393),-1)</f>
        <v>-1</v>
      </c>
      <c r="EO393" s="60" t="n">
        <f aca="false">CHOOSE($C$7,DJ393/EM393,DJ393/DK393*LN(1+DK393/EM393),DJ393/(2*SQRT(2)*DK393)*LN((EM393+(1+SQRT(2))*DK393)/(EM393+(1-SQRT(2))*DK393)))</f>
        <v>0.218240791233887</v>
      </c>
      <c r="EP393" s="60" t="n">
        <f aca="false">EM393-1-LN(EM393-DK393)-EO393</f>
        <v>-0.107840271021729</v>
      </c>
      <c r="EQ393" s="60" t="n">
        <f aca="false">IF(EH393,CHOOSE($C$7,DJ393/EN393,DJ393/DK393*LN(1+DK393/EN393),DJ393/(2*SQRT(2)*DK393)*LN((EN393+(1+SQRT(2))*DK393)/(EN393+(1-SQRT(2))*DK393))),0)</f>
        <v>0</v>
      </c>
      <c r="ER393" s="60" t="n">
        <f aca="false">IF(EH393,EN393-1-LN(EN393-DK393)-EQ393,0)</f>
        <v>0</v>
      </c>
      <c r="ES393" s="60" t="n">
        <f aca="false">AND(EH393,ER393&lt;EP393)</f>
        <v>0</v>
      </c>
      <c r="ET393" s="60" t="n">
        <f aca="false">IF(ES393,EN393,EM393)</f>
        <v>0.91158844983184</v>
      </c>
      <c r="EU393" s="60" t="n">
        <f aca="false">IF(ES393,EQ393,EO393)</f>
        <v>0.218240791233887</v>
      </c>
      <c r="EV393" s="60" t="n">
        <f aca="false">LN(ET393-DK393)</f>
        <v>-0.198812070380318</v>
      </c>
      <c r="EW393" s="60" t="n">
        <f aca="false">$E$27/DI393*(ET393-1)-EV393-EU393*(2*CV393/DH393-$E$27/DI393)</f>
        <v>-0.107840271021729</v>
      </c>
      <c r="EX393" s="60" t="n">
        <f aca="false">$F$27/DI393*(ET393-1)-EV393-EU393*(2*CW393/DH393-$F$27/DI393)</f>
        <v>0.198812070380318</v>
      </c>
      <c r="EY393" s="60" t="n">
        <f aca="false">$G$27/DI393*(ET393-1)-EV393-EU393*(2*CX393/DH393-$G$27/DI393)</f>
        <v>0.198812070380318</v>
      </c>
      <c r="EZ393" s="60" t="n">
        <f aca="false">$H$27/DI393*(ET393-1)-EV393-EU393*(2*CY393/DH393-$H$27/DI393)</f>
        <v>0.198812070380318</v>
      </c>
      <c r="FA393" s="60" t="n">
        <f aca="false">$I$27/DI393*(ET393-1)-EV393-EU393*(2*CZ393/DH393-$I$27/DI393)</f>
        <v>0.198812070380318</v>
      </c>
      <c r="FB393" s="60" t="n">
        <f aca="false">$J$27/DI393*(ET393-1)-EV393-EU393*(2*DA393/DH393-$J$27/DI393)</f>
        <v>0.198812070380318</v>
      </c>
      <c r="FC393" s="60" t="n">
        <f aca="false">$K$27/DI393*(ET393-1)-EV393-EU393*(2*DB393/DH393-$K$27/DI393)</f>
        <v>0.198812070380318</v>
      </c>
      <c r="FD393" s="60" t="n">
        <f aca="false">$L$27/DI393*(ET393-1)-EV393-EU393*(2*DC393/DH393-$L$27/DI393)</f>
        <v>0.198812070380318</v>
      </c>
      <c r="FE393" s="60" t="n">
        <f aca="false">$M$27/DI393*(ET393-1)-EV393-EU393*(2*DD393/DH393-$M$27/DI393)</f>
        <v>0.198812070380318</v>
      </c>
      <c r="FF393" s="60" t="n">
        <f aca="false">$N$27/DI393*(ET393-1)-EV393-EU393*(2*DE393/DH393-$N$27/DI393)</f>
        <v>0.198812070380318</v>
      </c>
      <c r="FG393" s="60" t="n">
        <f aca="false">$O$27/DI393*(ET393-1)-EV393-EU393*(2*DF393/DH393-$O$27/DI393)</f>
        <v>0.198812070380318</v>
      </c>
      <c r="FH393" s="60" t="n">
        <f aca="false">$P$27/DI393*(ET393-1)-EV393-EU393*(2*DG393/DH393-$P$27/DI393)</f>
        <v>0.198812070380318</v>
      </c>
      <c r="FI393" s="60" t="n">
        <f aca="false">DK393/ET393&gt;$C$22</f>
        <v>0</v>
      </c>
      <c r="FJ393" s="60" t="n">
        <f aca="false">$E$28*SUMPRODUCT($E$31:$P$31,CJ393:CU393,$E$28:$P$28)</f>
        <v>0.184416866619846</v>
      </c>
      <c r="FK393" s="60" t="n">
        <f aca="false">$F$28*SUMPRODUCT($E$32:$P$32,CJ393:CU393,$E$28:$P$28)</f>
        <v>0</v>
      </c>
      <c r="FL393" s="60" t="n">
        <f aca="false">$G$28*SUMPRODUCT($E$33:$P$33,CJ393:CU393,$E$28:$P$28)</f>
        <v>0</v>
      </c>
      <c r="FM393" s="60" t="n">
        <f aca="false">$H$28*SUMPRODUCT($E$34:$P$34,CJ393:CU393,$E$28:$P$28)</f>
        <v>0</v>
      </c>
      <c r="FN393" s="60" t="n">
        <f aca="false">$I$28*SUMPRODUCT($E$35:$P$35,CJ393:CU393,$E$28:$P$28)</f>
        <v>0</v>
      </c>
      <c r="FO393" s="60" t="n">
        <f aca="false">$J$28*SUMPRODUCT($E$36:$P$36,CJ393:CU393,$E$28:$P$28)</f>
        <v>0</v>
      </c>
      <c r="FP393" s="60" t="n">
        <f aca="false">$K$28*SUMPRODUCT($E$37:$P$37,CJ393:CU393,$E$28:$P$28)</f>
        <v>0</v>
      </c>
      <c r="FQ393" s="60" t="n">
        <f aca="false">$L$28*SUMPRODUCT($E$38:$P$38,CJ393:CU393,$E$28:$P$28)</f>
        <v>0</v>
      </c>
      <c r="FR393" s="60" t="n">
        <f aca="false">$M$28*SUMPRODUCT($E$39:$P$39,CJ393:CU393,$E$28:$P$28)</f>
        <v>0</v>
      </c>
      <c r="FS393" s="60" t="n">
        <f aca="false">$N$28*SUMPRODUCT($E$40:$P$40,CJ393:CU393,$E$28:$P$28)</f>
        <v>0</v>
      </c>
      <c r="FT393" s="60" t="n">
        <f aca="false">$O$28*SUMPRODUCT($E$41:$P$41,CJ393:CU393,$E$28:$P$28)</f>
        <v>0</v>
      </c>
      <c r="FU393" s="60" t="n">
        <f aca="false">$P$28*SUMPRODUCT($E$42:$P$42,CJ393:CU393,$E$28:$P$28)</f>
        <v>0</v>
      </c>
      <c r="FV393" s="60" t="n">
        <f aca="false">SUMPRODUCT(CJ393:CU393,FJ393:FU393)</f>
        <v>0.184416866619846</v>
      </c>
      <c r="FW393" s="60" t="n">
        <f aca="false">SUMPRODUCT(CJ393:CU393,$E$27:$P$27)</f>
        <v>2.67389635063809E-005</v>
      </c>
      <c r="FX393" s="60" t="n">
        <f aca="false">FV393*$C$9/($C$10*$C$8)^2</f>
        <v>0.21776909410545</v>
      </c>
      <c r="FY393" s="60" t="n">
        <f aca="false">FW393*$C$9/($C$10*$C$8)</f>
        <v>0.0918845243259994</v>
      </c>
      <c r="FZ393" s="60" t="n">
        <f aca="false">CHOOSE($C$7,-(1+FY393),-1,-(1-FY393))</f>
        <v>-0.908115475674001</v>
      </c>
      <c r="GA393" s="60" t="n">
        <f aca="false">CHOOSE($C$7,FX393,FX393-FY393-FY393^2,FX393-3*FY393^2-2*FY393)</f>
        <v>0.00867174802160559</v>
      </c>
      <c r="GB393" s="60" t="n">
        <f aca="false">CHOOSE($C$7,-FX393*FY393,-FX393*FY393,-(FX393*FY393-FY393^2-FY393^3))</f>
        <v>-0.0107910842936637</v>
      </c>
      <c r="GC393" s="60" t="n">
        <f aca="false">GA393-FZ393^2/3</f>
        <v>-0.266219491031267</v>
      </c>
      <c r="GD393" s="60" t="n">
        <f aca="false">2*FZ393^3/27-FZ393*GA393/3+GB393</f>
        <v>-0.0636400988362784</v>
      </c>
      <c r="GE393" s="60" t="n">
        <f aca="false">GD393^2/4+GC393^3/27</f>
        <v>0.000313710901361829</v>
      </c>
      <c r="GF393" s="60" t="n">
        <f aca="false">-GD393/2-IF(GD393&gt;=0,1,-1)*SQRT(MAX(GE393,0))</f>
        <v>0.0495319352963236</v>
      </c>
      <c r="GG393" s="60" t="n">
        <f aca="false">SIGN(GF393)*ABS(GF393)^(1/3)</f>
        <v>0.367249967174439</v>
      </c>
      <c r="GH393" s="60" t="n">
        <f aca="false">IF(GG393=0,0,GG393-GC393/(3*GG393))</f>
        <v>0.60888329127384</v>
      </c>
      <c r="GI393" s="60" t="n">
        <f aca="false">2*SQRT(MAX(-GC393,0)/3)</f>
        <v>0.595784626668918</v>
      </c>
      <c r="GJ393" s="60" t="n">
        <f aca="false">ACOS(IF(GI393=0,0,MAX(-1,MIN(1,3*GD393/(GC393*GI393)))))</f>
        <v>0</v>
      </c>
      <c r="GK393" s="60" t="n">
        <f aca="false">GI393*COS(GJ393/3)</f>
        <v>0.595784626668918</v>
      </c>
      <c r="GL393" s="60" t="n">
        <f aca="false">IF(GE393&lt;0,GK393,GH393)-FZ393/3</f>
        <v>0.91158844983184</v>
      </c>
      <c r="GM393" s="60" t="n">
        <f aca="false">IFERROR((((GL393+FZ393)*GL393+GA393)*GL393+GB393)/((3*GL393+2*FZ393)*GL393+GA393),0)</f>
        <v>0</v>
      </c>
      <c r="GN393" s="60" t="n">
        <f aca="false">IF(ABS(GM393)&lt;0.1*ABS(GL393),GL393-GM393,GL393)</f>
        <v>0.91158844983184</v>
      </c>
      <c r="GO393" s="60" t="n">
        <f aca="false">IFERROR((((GN393+FZ393)*GN393+GA393)*GN393+GB393)/((3*GN393+2*FZ393)*GN393+GA393),0)</f>
        <v>0</v>
      </c>
      <c r="GP393" s="60" t="n">
        <f aca="false">IF(ABS(GO393)&lt;0.1*ABS(GN393),GN393-GO393,GN393)</f>
        <v>0.91158844983184</v>
      </c>
      <c r="GQ393" s="60" t="n">
        <f aca="false">-GB393/GP393</f>
        <v>0.0118376711504565</v>
      </c>
      <c r="GR393" s="60" t="n">
        <f aca="false">(GA393-GQ393)/GP393</f>
        <v>-0.00347297415783941</v>
      </c>
      <c r="GS393" s="60" t="n">
        <f aca="false">GR393^2-4*GQ393</f>
        <v>-0.0473386230523248</v>
      </c>
      <c r="GT393" s="60" t="n">
        <f aca="false">IF(GS393&gt;=0,(GR393+IF(GR393&gt;=0,1,-1)*SQRT(GS393))/2,0)</f>
        <v>0</v>
      </c>
      <c r="GU393" s="60" t="n">
        <f aca="false">IF(AND(GS393&gt;=0,GT393&lt;&gt;0),MIN(GT393,GQ393/GT393),-1)</f>
        <v>-1</v>
      </c>
      <c r="GV393" s="60" t="n">
        <f aca="false">AND(GS393&gt;=0,GU393&gt;FY393,ABS(GP393-GU393)&gt;=0.00005*MAX(GP393,GU393))</f>
        <v>0</v>
      </c>
      <c r="GW393" s="60" t="n">
        <f aca="false">IF(GV393,IFERROR((((GU393+FZ393)*GU393+GA393)*GU393+GB393)/((3*GU393+2*FZ393)*GU393+GA393),0),0)</f>
        <v>0</v>
      </c>
      <c r="GX393" s="60" t="n">
        <f aca="false">IF(ABS(GW393)&lt;0.1*ABS(GU393),GU393-GW393,GU393)</f>
        <v>-1</v>
      </c>
      <c r="GY393" s="60" t="n">
        <f aca="false">IF(GV393,IFERROR((((GX393+FZ393)*GX393+GA393)*GX393+GB393)/((3*GX393+2*FZ393)*GX393+GA393),0),0)</f>
        <v>0</v>
      </c>
      <c r="GZ393" s="60" t="n">
        <f aca="false">IF(ABS(GY393)&lt;0.1*ABS(GX393),GX393-GY393,GX393)</f>
        <v>-1</v>
      </c>
      <c r="HA393" s="60" t="n">
        <f aca="false">IF(GV393,MAX(GP393,GZ393),GP393)</f>
        <v>0.91158844983184</v>
      </c>
      <c r="HB393" s="60" t="n">
        <f aca="false">IF(GV393,MIN(GP393,GZ393),-1)</f>
        <v>-1</v>
      </c>
      <c r="HC393" s="60" t="n">
        <f aca="false">CHOOSE($C$7,FX393/HA393,FX393/FY393*LN(1+FY393/HA393),FX393/(2*SQRT(2)*FY393)*LN((HA393+(1+SQRT(2))*FY393)/(HA393+(1-SQRT(2))*FY393)))</f>
        <v>0.218240791233887</v>
      </c>
      <c r="HD393" s="60" t="n">
        <f aca="false">HA393-1-LN(HA393-FY393)-HC393</f>
        <v>-0.107840271021729</v>
      </c>
      <c r="HE393" s="60" t="n">
        <f aca="false">IF(GV393,CHOOSE($C$7,FX393/HB393,FX393/FY393*LN(1+FY393/HB393),FX393/(2*SQRT(2)*FY393)*LN((HB393+(1+SQRT(2))*FY393)/(HB393+(1-SQRT(2))*FY393))),0)</f>
        <v>0</v>
      </c>
      <c r="HF393" s="60" t="n">
        <f aca="false">IF(GV393,HB393-1-LN(HB393-FY393)-HE393,0)</f>
        <v>0</v>
      </c>
      <c r="HG393" s="60" t="n">
        <f aca="false">AND(GV393,HF393&lt;HD393)</f>
        <v>0</v>
      </c>
      <c r="HH393" s="60" t="n">
        <f aca="false">IF(HG393,HB393,HA393)</f>
        <v>0.91158844983184</v>
      </c>
      <c r="HI393" s="60" t="n">
        <f aca="false">IF(HG393,HE393,HC393)</f>
        <v>0.218240791233887</v>
      </c>
      <c r="HJ393" s="60" t="n">
        <f aca="false">LN(HH393-FY393)</f>
        <v>-0.198812070380318</v>
      </c>
      <c r="HK393" s="60" t="n">
        <f aca="false">$E$27/FW393*(HH393-1)-HJ393-HI393*(2*FJ393/FV393-$E$27/FW393)</f>
        <v>-0.107840271021729</v>
      </c>
      <c r="HL393" s="60" t="n">
        <f aca="false">$F$27/FW393*(HH393-1)-HJ393-HI393*(2*FK393/FV393-$F$27/FW393)</f>
        <v>0.198812070380318</v>
      </c>
      <c r="HM393" s="60" t="n">
        <f aca="false">$G$27/FW393*(HH393-1)-HJ393-HI393*(2*FL393/FV393-$G$27/FW393)</f>
        <v>0.198812070380318</v>
      </c>
      <c r="HN393" s="60" t="n">
        <f aca="false">$H$27/FW393*(HH393-1)-HJ393-HI393*(2*FM393/FV393-$H$27/FW393)</f>
        <v>0.198812070380318</v>
      </c>
      <c r="HO393" s="60" t="n">
        <f aca="false">$I$27/FW393*(HH393-1)-HJ393-HI393*(2*FN393/FV393-$I$27/FW393)</f>
        <v>0.198812070380318</v>
      </c>
      <c r="HP393" s="60" t="n">
        <f aca="false">$J$27/FW393*(HH393-1)-HJ393-HI393*(2*FO393/FV393-$J$27/FW393)</f>
        <v>0.198812070380318</v>
      </c>
      <c r="HQ393" s="60" t="n">
        <f aca="false">$K$27/FW393*(HH393-1)-HJ393-HI393*(2*FP393/FV393-$K$27/FW393)</f>
        <v>0.198812070380318</v>
      </c>
      <c r="HR393" s="60" t="n">
        <f aca="false">$L$27/FW393*(HH393-1)-HJ393-HI393*(2*FQ393/FV393-$L$27/FW393)</f>
        <v>0.198812070380318</v>
      </c>
      <c r="HS393" s="60" t="n">
        <f aca="false">$M$27/FW393*(HH393-1)-HJ393-HI393*(2*FR393/FV393-$M$27/FW393)</f>
        <v>0.198812070380318</v>
      </c>
      <c r="HT393" s="60" t="n">
        <f aca="false">$N$27/FW393*(HH393-1)-HJ393-HI393*(2*FS393/FV393-$N$27/FW393)</f>
        <v>0.198812070380318</v>
      </c>
      <c r="HU393" s="60" t="n">
        <f aca="false">$O$27/FW393*(HH393-1)-HJ393-HI393*(2*FT393/FV393-$O$27/FW393)</f>
        <v>0.198812070380318</v>
      </c>
      <c r="HV393" s="60" t="n">
        <f aca="false">$P$27/FW393*(HH393-1)-HJ393-HI393*(2*FU393/FV393-$P$27/FW393)</f>
        <v>0.198812070380318</v>
      </c>
      <c r="HW393" s="60" t="n">
        <f aca="false">FY393/HH393&gt;$C$22</f>
        <v>0</v>
      </c>
      <c r="HX393" s="60" t="n">
        <f aca="false">IF($E$13&gt;0,MAX(-300,MIN(300,EW393-HK393)),0)</f>
        <v>0</v>
      </c>
      <c r="HY393" s="60" t="n">
        <f aca="false">IF($F$13&gt;0,MAX(-300,MIN(300,EX393-HL393)),0)</f>
        <v>0</v>
      </c>
      <c r="HZ393" s="60" t="n">
        <f aca="false">IF($G$13&gt;0,MAX(-300,MIN(300,EY393-HM393)),0)</f>
        <v>0</v>
      </c>
      <c r="IA393" s="60" t="n">
        <f aca="false">IF($H$13&gt;0,MAX(-300,MIN(300,EZ393-HN393)),0)</f>
        <v>0</v>
      </c>
      <c r="IB393" s="60" t="n">
        <f aca="false">IF($I$13&gt;0,MAX(-300,MIN(300,FA393-HO393)),0)</f>
        <v>0</v>
      </c>
      <c r="IC393" s="60" t="n">
        <f aca="false">IF($J$13&gt;0,MAX(-300,MIN(300,FB393-HP393)),0)</f>
        <v>0</v>
      </c>
      <c r="ID393" s="60" t="n">
        <f aca="false">IF($K$13&gt;0,MAX(-300,MIN(300,FC393-HQ393)),0)</f>
        <v>0</v>
      </c>
      <c r="IE393" s="60" t="n">
        <f aca="false">IF($L$13&gt;0,MAX(-300,MIN(300,FD393-HR393)),0)</f>
        <v>0</v>
      </c>
      <c r="IF393" s="60" t="n">
        <f aca="false">IF($M$13&gt;0,MAX(-300,MIN(300,FE393-HS393)),0)</f>
        <v>0</v>
      </c>
      <c r="IG393" s="60" t="n">
        <f aca="false">IF($N$13&gt;0,MAX(-300,MIN(300,FF393-HT393)),0)</f>
        <v>0</v>
      </c>
      <c r="IH393" s="60" t="n">
        <f aca="false">IF($O$13&gt;0,MAX(-300,MIN(300,FG393-HU393)),0)</f>
        <v>0</v>
      </c>
      <c r="II393" s="60" t="n">
        <f aca="false">IF($P$13&gt;0,MAX(-300,MIN(300,FH393-HV393)),0)</f>
        <v>0</v>
      </c>
      <c r="IJ393" s="60" t="n">
        <f aca="false">SUMXMY2(HX393:II393,B393:M393)</f>
        <v>0</v>
      </c>
      <c r="IK393" s="60" t="n">
        <f aca="false">SUMSQ(B393:M393)</f>
        <v>0</v>
      </c>
    </row>
    <row r="394" customFormat="false" ht="15" hidden="false" customHeight="false" outlineLevel="0" collapsed="false">
      <c r="A394" s="59" t="n">
        <v>33</v>
      </c>
      <c r="B394" s="60" t="n">
        <f aca="false">HX393</f>
        <v>0</v>
      </c>
      <c r="C394" s="60" t="n">
        <f aca="false">HY393</f>
        <v>0</v>
      </c>
      <c r="D394" s="60" t="n">
        <f aca="false">HZ393</f>
        <v>0</v>
      </c>
      <c r="E394" s="60" t="n">
        <f aca="false">IA393</f>
        <v>0</v>
      </c>
      <c r="F394" s="60" t="n">
        <f aca="false">IB393</f>
        <v>0</v>
      </c>
      <c r="G394" s="60" t="n">
        <f aca="false">IC393</f>
        <v>0</v>
      </c>
      <c r="H394" s="60" t="n">
        <f aca="false">ID393</f>
        <v>0</v>
      </c>
      <c r="I394" s="60" t="n">
        <f aca="false">IE393</f>
        <v>0</v>
      </c>
      <c r="J394" s="60" t="n">
        <f aca="false">IF393</f>
        <v>0</v>
      </c>
      <c r="K394" s="60" t="n">
        <f aca="false">IG393</f>
        <v>0</v>
      </c>
      <c r="L394" s="60" t="n">
        <f aca="false">IH393</f>
        <v>0</v>
      </c>
      <c r="M394" s="60" t="n">
        <f aca="false">II393</f>
        <v>0</v>
      </c>
      <c r="N394" s="60" t="n">
        <f aca="false">EXP(B394)</f>
        <v>1</v>
      </c>
      <c r="O394" s="60" t="n">
        <f aca="false">EXP(C394)</f>
        <v>1</v>
      </c>
      <c r="P394" s="60" t="n">
        <f aca="false">EXP(D394)</f>
        <v>1</v>
      </c>
      <c r="Q394" s="60" t="n">
        <f aca="false">EXP(E394)</f>
        <v>1</v>
      </c>
      <c r="R394" s="60" t="n">
        <f aca="false">EXP(F394)</f>
        <v>1</v>
      </c>
      <c r="S394" s="60" t="n">
        <f aca="false">EXP(G394)</f>
        <v>1</v>
      </c>
      <c r="T394" s="60" t="n">
        <f aca="false">EXP(H394)</f>
        <v>1</v>
      </c>
      <c r="U394" s="60" t="n">
        <f aca="false">EXP(I394)</f>
        <v>1</v>
      </c>
      <c r="V394" s="60" t="n">
        <f aca="false">EXP(J394)</f>
        <v>1</v>
      </c>
      <c r="W394" s="60" t="n">
        <f aca="false">EXP(K394)</f>
        <v>1</v>
      </c>
      <c r="X394" s="60" t="n">
        <f aca="false">EXP(L394)</f>
        <v>1</v>
      </c>
      <c r="Y394" s="60" t="n">
        <f aca="false">EXP(M394)</f>
        <v>1</v>
      </c>
      <c r="Z394" s="60" t="n">
        <f aca="false">MAX(N394:Y394)</f>
        <v>1</v>
      </c>
      <c r="AA394" s="60" t="n">
        <f aca="false">MIN(N394:Y394)</f>
        <v>1</v>
      </c>
      <c r="AB394" s="60" t="n">
        <f aca="false">AND(Z394&gt;1,AA394&lt;1)</f>
        <v>0</v>
      </c>
      <c r="AC394" s="60" t="n">
        <f aca="false">IF(AB394,1/(1-Z394),0)</f>
        <v>0</v>
      </c>
      <c r="AD394" s="60" t="n">
        <f aca="false">IF(AB394,1/(1-AA394),1)</f>
        <v>1</v>
      </c>
      <c r="AE394" s="60" t="n">
        <f aca="false">IF(AB394,MIN(MAX(BI393,AC394+0.000000001*(AD394-AC394)),AD394-0.000000001*(AD394-AC394)),IF(AA394&gt;=1,1,0))</f>
        <v>1</v>
      </c>
      <c r="AF394" s="60" t="n">
        <f aca="false">SUMPRODUCT($E$13:$P$13*(N394:Y394-1)/(1+AE394*(N394:Y394-1)))</f>
        <v>0</v>
      </c>
      <c r="AG394" s="60" t="n">
        <f aca="false">-SUMPRODUCT($E$13:$P$13*(N394:Y394-1)^2/(1+AE394*(N394:Y394-1))^2)</f>
        <v>-0</v>
      </c>
      <c r="AH394" s="60" t="n">
        <f aca="false">IF(OR(NOT(AB394),AG394=0),AE394,IF(AE394-AF394/AG394&lt;=AC394,(AE394+AC394)/2,IF(AE394-AF394/AG394&gt;=AD394,(AE394+AD394)/2,AE394-AF394/AG394)))</f>
        <v>1</v>
      </c>
      <c r="AI394" s="60" t="n">
        <f aca="false">SUMPRODUCT($E$13:$P$13*(N394:Y394-1)/(1+AH394*(N394:Y394-1)))</f>
        <v>0</v>
      </c>
      <c r="AJ394" s="60" t="n">
        <f aca="false">-SUMPRODUCT($E$13:$P$13*(N394:Y394-1)^2/(1+AH394*(N394:Y394-1))^2)</f>
        <v>-0</v>
      </c>
      <c r="AK394" s="60" t="n">
        <f aca="false">IF(OR(NOT(AB394),AJ394=0),AH394,IF(AH394-AI394/AJ394&lt;=AC394,(AH394+AC394)/2,IF(AH394-AI394/AJ394&gt;=AD394,(AH394+AD394)/2,AH394-AI394/AJ394)))</f>
        <v>1</v>
      </c>
      <c r="AL394" s="60" t="n">
        <f aca="false">SUMPRODUCT($E$13:$P$13*(N394:Y394-1)/(1+AK394*(N394:Y394-1)))</f>
        <v>0</v>
      </c>
      <c r="AM394" s="60" t="n">
        <f aca="false">-SUMPRODUCT($E$13:$P$13*(N394:Y394-1)^2/(1+AK394*(N394:Y394-1))^2)</f>
        <v>-0</v>
      </c>
      <c r="AN394" s="60" t="n">
        <f aca="false">IF(OR(NOT(AB394),AM394=0),AK394,IF(AK394-AL394/AM394&lt;=AC394,(AK394+AC394)/2,IF(AK394-AL394/AM394&gt;=AD394,(AK394+AD394)/2,AK394-AL394/AM394)))</f>
        <v>1</v>
      </c>
      <c r="AO394" s="60" t="n">
        <f aca="false">SUMPRODUCT($E$13:$P$13*(N394:Y394-1)/(1+AN394*(N394:Y394-1)))</f>
        <v>0</v>
      </c>
      <c r="AP394" s="60" t="n">
        <f aca="false">-SUMPRODUCT($E$13:$P$13*(N394:Y394-1)^2/(1+AN394*(N394:Y394-1))^2)</f>
        <v>-0</v>
      </c>
      <c r="AQ394" s="60" t="n">
        <f aca="false">IF(OR(NOT(AB394),AP394=0),AN394,IF(AN394-AO394/AP394&lt;=AC394,(AN394+AC394)/2,IF(AN394-AO394/AP394&gt;=AD394,(AN394+AD394)/2,AN394-AO394/AP394)))</f>
        <v>1</v>
      </c>
      <c r="AR394" s="60" t="n">
        <f aca="false">SUMPRODUCT($E$13:$P$13*(N394:Y394-1)/(1+AQ394*(N394:Y394-1)))</f>
        <v>0</v>
      </c>
      <c r="AS394" s="60" t="n">
        <f aca="false">-SUMPRODUCT($E$13:$P$13*(N394:Y394-1)^2/(1+AQ394*(N394:Y394-1))^2)</f>
        <v>-0</v>
      </c>
      <c r="AT394" s="60" t="n">
        <f aca="false">IF(OR(NOT(AB394),AS394=0),AQ394,IF(AQ394-AR394/AS394&lt;=AC394,(AQ394+AC394)/2,IF(AQ394-AR394/AS394&gt;=AD394,(AQ394+AD394)/2,AQ394-AR394/AS394)))</f>
        <v>1</v>
      </c>
      <c r="AU394" s="60" t="n">
        <f aca="false">SUMPRODUCT($E$13:$P$13*(N394:Y394-1)/(1+AT394*(N394:Y394-1)))</f>
        <v>0</v>
      </c>
      <c r="AV394" s="60" t="n">
        <f aca="false">-SUMPRODUCT($E$13:$P$13*(N394:Y394-1)^2/(1+AT394*(N394:Y394-1))^2)</f>
        <v>-0</v>
      </c>
      <c r="AW394" s="60" t="n">
        <f aca="false">IF(OR(NOT(AB394),AV394=0),AT394,IF(AT394-AU394/AV394&lt;=AC394,(AT394+AC394)/2,IF(AT394-AU394/AV394&gt;=AD394,(AT394+AD394)/2,AT394-AU394/AV394)))</f>
        <v>1</v>
      </c>
      <c r="AX394" s="60" t="n">
        <f aca="false">SUMPRODUCT($E$13:$P$13*(N394:Y394-1)/(1+AW394*(N394:Y394-1)))</f>
        <v>0</v>
      </c>
      <c r="AY394" s="60" t="n">
        <f aca="false">-SUMPRODUCT($E$13:$P$13*(N394:Y394-1)^2/(1+AW394*(N394:Y394-1))^2)</f>
        <v>-0</v>
      </c>
      <c r="AZ394" s="60" t="n">
        <f aca="false">IF(OR(NOT(AB394),AY394=0),AW394,IF(AW394-AX394/AY394&lt;=AC394,(AW394+AC394)/2,IF(AW394-AX394/AY394&gt;=AD394,(AW394+AD394)/2,AW394-AX394/AY394)))</f>
        <v>1</v>
      </c>
      <c r="BA394" s="60" t="n">
        <f aca="false">SUMPRODUCT($E$13:$P$13*(N394:Y394-1)/(1+AZ394*(N394:Y394-1)))</f>
        <v>0</v>
      </c>
      <c r="BB394" s="60" t="n">
        <f aca="false">-SUMPRODUCT($E$13:$P$13*(N394:Y394-1)^2/(1+AZ394*(N394:Y394-1))^2)</f>
        <v>-0</v>
      </c>
      <c r="BC394" s="60" t="n">
        <f aca="false">IF(OR(NOT(AB394),BB394=0),AZ394,IF(AZ394-BA394/BB394&lt;=AC394,(AZ394+AC394)/2,IF(AZ394-BA394/BB394&gt;=AD394,(AZ394+AD394)/2,AZ394-BA394/BB394)))</f>
        <v>1</v>
      </c>
      <c r="BD394" s="60" t="n">
        <f aca="false">SUMPRODUCT($E$13:$P$13*(N394:Y394-1)/(1+BC394*(N394:Y394-1)))</f>
        <v>0</v>
      </c>
      <c r="BE394" s="60" t="n">
        <f aca="false">-SUMPRODUCT($E$13:$P$13*(N394:Y394-1)^2/(1+BC394*(N394:Y394-1))^2)</f>
        <v>-0</v>
      </c>
      <c r="BF394" s="60" t="n">
        <f aca="false">IF(OR(NOT(AB394),BE394=0),BC394,IF(BC394-BD394/BE394&lt;=AC394,(BC394+AC394)/2,IF(BC394-BD394/BE394&gt;=AD394,(BC394+AD394)/2,BC394-BD394/BE394)))</f>
        <v>1</v>
      </c>
      <c r="BG394" s="60" t="n">
        <f aca="false">SUMPRODUCT($E$13:$P$13*(N394:Y394-1)/(1+BF394*(N394:Y394-1)))</f>
        <v>0</v>
      </c>
      <c r="BH394" s="60" t="n">
        <f aca="false">-SUMPRODUCT($E$13:$P$13*(N394:Y394-1)^2/(1+BF394*(N394:Y394-1))^2)</f>
        <v>-0</v>
      </c>
      <c r="BI394" s="60" t="n">
        <f aca="false">IF(OR(NOT(AB394),BH394=0),BF394,IF(BF394-BG394/BH394&lt;=AC394,(BF394+AC394)/2,IF(BF394-BG394/BH394&gt;=AD394,(BF394+AD394)/2,BF394-BG394/BH394)))</f>
        <v>1</v>
      </c>
      <c r="BJ394" s="60" t="n">
        <f aca="false">$E$13/(1+BI394*(N394-1))</f>
        <v>1</v>
      </c>
      <c r="BK394" s="60" t="n">
        <f aca="false">$F$13/(1+BI394*(O394-1))</f>
        <v>0</v>
      </c>
      <c r="BL394" s="60" t="n">
        <f aca="false">$G$13/(1+BI394*(P394-1))</f>
        <v>0</v>
      </c>
      <c r="BM394" s="60" t="n">
        <f aca="false">$H$13/(1+BI394*(Q394-1))</f>
        <v>0</v>
      </c>
      <c r="BN394" s="60" t="n">
        <f aca="false">$I$13/(1+BI394*(R394-1))</f>
        <v>0</v>
      </c>
      <c r="BO394" s="60" t="n">
        <f aca="false">$J$13/(1+BI394*(S394-1))</f>
        <v>0</v>
      </c>
      <c r="BP394" s="60" t="n">
        <f aca="false">$K$13/(1+BI394*(T394-1))</f>
        <v>0</v>
      </c>
      <c r="BQ394" s="60" t="n">
        <f aca="false">$L$13/(1+BI394*(U394-1))</f>
        <v>0</v>
      </c>
      <c r="BR394" s="60" t="n">
        <f aca="false">$M$13/(1+BI394*(V394-1))</f>
        <v>0</v>
      </c>
      <c r="BS394" s="60" t="n">
        <f aca="false">$N$13/(1+BI394*(W394-1))</f>
        <v>0</v>
      </c>
      <c r="BT394" s="60" t="n">
        <f aca="false">$O$13/(1+BI394*(X394-1))</f>
        <v>0</v>
      </c>
      <c r="BU394" s="60" t="n">
        <f aca="false">$P$13/(1+BI394*(Y394-1))</f>
        <v>0</v>
      </c>
      <c r="BV394" s="60" t="n">
        <f aca="false">SUM(BJ394:BU394)</f>
        <v>1</v>
      </c>
      <c r="BW394" s="60" t="n">
        <f aca="false">SUMPRODUCT(N394:Y394,BJ394:BU394)</f>
        <v>1</v>
      </c>
      <c r="BX394" s="60" t="n">
        <f aca="false">BJ394/BV394</f>
        <v>1</v>
      </c>
      <c r="BY394" s="60" t="n">
        <f aca="false">BK394/BV394</f>
        <v>0</v>
      </c>
      <c r="BZ394" s="60" t="n">
        <f aca="false">BL394/BV394</f>
        <v>0</v>
      </c>
      <c r="CA394" s="60" t="n">
        <f aca="false">BM394/BV394</f>
        <v>0</v>
      </c>
      <c r="CB394" s="60" t="n">
        <f aca="false">BN394/BV394</f>
        <v>0</v>
      </c>
      <c r="CC394" s="60" t="n">
        <f aca="false">BO394/BV394</f>
        <v>0</v>
      </c>
      <c r="CD394" s="60" t="n">
        <f aca="false">BP394/BV394</f>
        <v>0</v>
      </c>
      <c r="CE394" s="60" t="n">
        <f aca="false">BQ394/BV394</f>
        <v>0</v>
      </c>
      <c r="CF394" s="60" t="n">
        <f aca="false">BR394/BV394</f>
        <v>0</v>
      </c>
      <c r="CG394" s="60" t="n">
        <f aca="false">BS394/BV394</f>
        <v>0</v>
      </c>
      <c r="CH394" s="60" t="n">
        <f aca="false">BT394/BV394</f>
        <v>0</v>
      </c>
      <c r="CI394" s="60" t="n">
        <f aca="false">BU394/BV394</f>
        <v>0</v>
      </c>
      <c r="CJ394" s="60" t="n">
        <f aca="false">N394*BJ394/BW394</f>
        <v>1</v>
      </c>
      <c r="CK394" s="60" t="n">
        <f aca="false">O394*BK394/BW394</f>
        <v>0</v>
      </c>
      <c r="CL394" s="60" t="n">
        <f aca="false">P394*BL394/BW394</f>
        <v>0</v>
      </c>
      <c r="CM394" s="60" t="n">
        <f aca="false">Q394*BM394/BW394</f>
        <v>0</v>
      </c>
      <c r="CN394" s="60" t="n">
        <f aca="false">R394*BN394/BW394</f>
        <v>0</v>
      </c>
      <c r="CO394" s="60" t="n">
        <f aca="false">S394*BO394/BW394</f>
        <v>0</v>
      </c>
      <c r="CP394" s="60" t="n">
        <f aca="false">T394*BP394/BW394</f>
        <v>0</v>
      </c>
      <c r="CQ394" s="60" t="n">
        <f aca="false">U394*BQ394/BW394</f>
        <v>0</v>
      </c>
      <c r="CR394" s="60" t="n">
        <f aca="false">V394*BR394/BW394</f>
        <v>0</v>
      </c>
      <c r="CS394" s="60" t="n">
        <f aca="false">W394*BS394/BW394</f>
        <v>0</v>
      </c>
      <c r="CT394" s="60" t="n">
        <f aca="false">X394*BT394/BW394</f>
        <v>0</v>
      </c>
      <c r="CU394" s="60" t="n">
        <f aca="false">Y394*BU394/BW394</f>
        <v>0</v>
      </c>
      <c r="CV394" s="60" t="n">
        <f aca="false">$E$28*SUMPRODUCT($E$31:$P$31,BX394:CI394,$E$28:$P$28)</f>
        <v>0.184416866619846</v>
      </c>
      <c r="CW394" s="60" t="n">
        <f aca="false">$F$28*SUMPRODUCT($E$32:$P$32,BX394:CI394,$E$28:$P$28)</f>
        <v>0</v>
      </c>
      <c r="CX394" s="60" t="n">
        <f aca="false">$G$28*SUMPRODUCT($E$33:$P$33,BX394:CI394,$E$28:$P$28)</f>
        <v>0</v>
      </c>
      <c r="CY394" s="60" t="n">
        <f aca="false">$H$28*SUMPRODUCT($E$34:$P$34,BX394:CI394,$E$28:$P$28)</f>
        <v>0</v>
      </c>
      <c r="CZ394" s="60" t="n">
        <f aca="false">$I$28*SUMPRODUCT($E$35:$P$35,BX394:CI394,$E$28:$P$28)</f>
        <v>0</v>
      </c>
      <c r="DA394" s="60" t="n">
        <f aca="false">$J$28*SUMPRODUCT($E$36:$P$36,BX394:CI394,$E$28:$P$28)</f>
        <v>0</v>
      </c>
      <c r="DB394" s="60" t="n">
        <f aca="false">$K$28*SUMPRODUCT($E$37:$P$37,BX394:CI394,$E$28:$P$28)</f>
        <v>0</v>
      </c>
      <c r="DC394" s="60" t="n">
        <f aca="false">$L$28*SUMPRODUCT($E$38:$P$38,BX394:CI394,$E$28:$P$28)</f>
        <v>0</v>
      </c>
      <c r="DD394" s="60" t="n">
        <f aca="false">$M$28*SUMPRODUCT($E$39:$P$39,BX394:CI394,$E$28:$P$28)</f>
        <v>0</v>
      </c>
      <c r="DE394" s="60" t="n">
        <f aca="false">$N$28*SUMPRODUCT($E$40:$P$40,BX394:CI394,$E$28:$P$28)</f>
        <v>0</v>
      </c>
      <c r="DF394" s="60" t="n">
        <f aca="false">$O$28*SUMPRODUCT($E$41:$P$41,BX394:CI394,$E$28:$P$28)</f>
        <v>0</v>
      </c>
      <c r="DG394" s="60" t="n">
        <f aca="false">$P$28*SUMPRODUCT($E$42:$P$42,BX394:CI394,$E$28:$P$28)</f>
        <v>0</v>
      </c>
      <c r="DH394" s="60" t="n">
        <f aca="false">SUMPRODUCT(BX394:CI394,CV394:DG394)</f>
        <v>0.184416866619846</v>
      </c>
      <c r="DI394" s="60" t="n">
        <f aca="false">SUMPRODUCT(BX394:CI394,$E$27:$P$27)</f>
        <v>2.67389635063809E-005</v>
      </c>
      <c r="DJ394" s="60" t="n">
        <f aca="false">DH394*$C$9/($C$10*$C$8)^2</f>
        <v>0.21776909410545</v>
      </c>
      <c r="DK394" s="60" t="n">
        <f aca="false">DI394*$C$9/($C$10*$C$8)</f>
        <v>0.0918845243259994</v>
      </c>
      <c r="DL394" s="60" t="n">
        <f aca="false">CHOOSE($C$7,-(1+DK394),-1,-(1-DK394))</f>
        <v>-0.908115475674001</v>
      </c>
      <c r="DM394" s="60" t="n">
        <f aca="false">CHOOSE($C$7,DJ394,DJ394-DK394-DK394^2,DJ394-3*DK394^2-2*DK394)</f>
        <v>0.00867174802160559</v>
      </c>
      <c r="DN394" s="60" t="n">
        <f aca="false">CHOOSE($C$7,-DJ394*DK394,-DJ394*DK394,-(DJ394*DK394-DK394^2-DK394^3))</f>
        <v>-0.0107910842936637</v>
      </c>
      <c r="DO394" s="60" t="n">
        <f aca="false">DM394-DL394^2/3</f>
        <v>-0.266219491031267</v>
      </c>
      <c r="DP394" s="60" t="n">
        <f aca="false">2*DL394^3/27-DL394*DM394/3+DN394</f>
        <v>-0.0636400988362784</v>
      </c>
      <c r="DQ394" s="60" t="n">
        <f aca="false">DP394^2/4+DO394^3/27</f>
        <v>0.000313710901361829</v>
      </c>
      <c r="DR394" s="60" t="n">
        <f aca="false">-DP394/2-IF(DP394&gt;=0,1,-1)*SQRT(MAX(DQ394,0))</f>
        <v>0.0495319352963236</v>
      </c>
      <c r="DS394" s="60" t="n">
        <f aca="false">SIGN(DR394)*ABS(DR394)^(1/3)</f>
        <v>0.367249967174439</v>
      </c>
      <c r="DT394" s="60" t="n">
        <f aca="false">IF(DS394=0,0,DS394-DO394/(3*DS394))</f>
        <v>0.60888329127384</v>
      </c>
      <c r="DU394" s="60" t="n">
        <f aca="false">2*SQRT(MAX(-DO394,0)/3)</f>
        <v>0.595784626668918</v>
      </c>
      <c r="DV394" s="60" t="n">
        <f aca="false">ACOS(IF(DU394=0,0,MAX(-1,MIN(1,3*DP394/(DO394*DU394)))))</f>
        <v>0</v>
      </c>
      <c r="DW394" s="60" t="n">
        <f aca="false">DU394*COS(DV394/3)</f>
        <v>0.595784626668918</v>
      </c>
      <c r="DX394" s="60" t="n">
        <f aca="false">IF(DQ394&lt;0,DW394,DT394)-DL394/3</f>
        <v>0.91158844983184</v>
      </c>
      <c r="DY394" s="60" t="n">
        <f aca="false">IFERROR((((DX394+DL394)*DX394+DM394)*DX394+DN394)/((3*DX394+2*DL394)*DX394+DM394),0)</f>
        <v>0</v>
      </c>
      <c r="DZ394" s="60" t="n">
        <f aca="false">IF(ABS(DY394)&lt;0.1*ABS(DX394),DX394-DY394,DX394)</f>
        <v>0.91158844983184</v>
      </c>
      <c r="EA394" s="60" t="n">
        <f aca="false">IFERROR((((DZ394+DL394)*DZ394+DM394)*DZ394+DN394)/((3*DZ394+2*DL394)*DZ394+DM394),0)</f>
        <v>0</v>
      </c>
      <c r="EB394" s="60" t="n">
        <f aca="false">IF(ABS(EA394)&lt;0.1*ABS(DZ394),DZ394-EA394,DZ394)</f>
        <v>0.91158844983184</v>
      </c>
      <c r="EC394" s="60" t="n">
        <f aca="false">-DN394/EB394</f>
        <v>0.0118376711504565</v>
      </c>
      <c r="ED394" s="60" t="n">
        <f aca="false">(DM394-EC394)/EB394</f>
        <v>-0.00347297415783941</v>
      </c>
      <c r="EE394" s="60" t="n">
        <f aca="false">ED394^2-4*EC394</f>
        <v>-0.0473386230523248</v>
      </c>
      <c r="EF394" s="60" t="n">
        <f aca="false">IF(EE394&gt;=0,(ED394+IF(ED394&gt;=0,1,-1)*SQRT(EE394))/2,0)</f>
        <v>0</v>
      </c>
      <c r="EG394" s="60" t="n">
        <f aca="false">IF(AND(EE394&gt;=0,EF394&lt;&gt;0),MIN(EF394,EC394/EF394),-1)</f>
        <v>-1</v>
      </c>
      <c r="EH394" s="60" t="n">
        <f aca="false">AND(EE394&gt;=0,EG394&gt;DK394,ABS(EB394-EG394)&gt;=0.00005*MAX(EB394,EG394))</f>
        <v>0</v>
      </c>
      <c r="EI394" s="60" t="n">
        <f aca="false">IF(EH394,IFERROR((((EG394+DL394)*EG394+DM394)*EG394+DN394)/((3*EG394+2*DL394)*EG394+DM394),0),0)</f>
        <v>0</v>
      </c>
      <c r="EJ394" s="60" t="n">
        <f aca="false">IF(ABS(EI394)&lt;0.1*ABS(EG394),EG394-EI394,EG394)</f>
        <v>-1</v>
      </c>
      <c r="EK394" s="60" t="n">
        <f aca="false">IF(EH394,IFERROR((((EJ394+DL394)*EJ394+DM394)*EJ394+DN394)/((3*EJ394+2*DL394)*EJ394+DM394),0),0)</f>
        <v>0</v>
      </c>
      <c r="EL394" s="60" t="n">
        <f aca="false">IF(ABS(EK394)&lt;0.1*ABS(EJ394),EJ394-EK394,EJ394)</f>
        <v>-1</v>
      </c>
      <c r="EM394" s="60" t="n">
        <f aca="false">IF(EH394,MAX(EB394,EL394),EB394)</f>
        <v>0.91158844983184</v>
      </c>
      <c r="EN394" s="60" t="n">
        <f aca="false">IF(EH394,MIN(EB394,EL394),-1)</f>
        <v>-1</v>
      </c>
      <c r="EO394" s="60" t="n">
        <f aca="false">CHOOSE($C$7,DJ394/EM394,DJ394/DK394*LN(1+DK394/EM394),DJ394/(2*SQRT(2)*DK394)*LN((EM394+(1+SQRT(2))*DK394)/(EM394+(1-SQRT(2))*DK394)))</f>
        <v>0.218240791233887</v>
      </c>
      <c r="EP394" s="60" t="n">
        <f aca="false">EM394-1-LN(EM394-DK394)-EO394</f>
        <v>-0.107840271021729</v>
      </c>
      <c r="EQ394" s="60" t="n">
        <f aca="false">IF(EH394,CHOOSE($C$7,DJ394/EN394,DJ394/DK394*LN(1+DK394/EN394),DJ394/(2*SQRT(2)*DK394)*LN((EN394+(1+SQRT(2))*DK394)/(EN394+(1-SQRT(2))*DK394))),0)</f>
        <v>0</v>
      </c>
      <c r="ER394" s="60" t="n">
        <f aca="false">IF(EH394,EN394-1-LN(EN394-DK394)-EQ394,0)</f>
        <v>0</v>
      </c>
      <c r="ES394" s="60" t="n">
        <f aca="false">AND(EH394,ER394&lt;EP394)</f>
        <v>0</v>
      </c>
      <c r="ET394" s="60" t="n">
        <f aca="false">IF(ES394,EN394,EM394)</f>
        <v>0.91158844983184</v>
      </c>
      <c r="EU394" s="60" t="n">
        <f aca="false">IF(ES394,EQ394,EO394)</f>
        <v>0.218240791233887</v>
      </c>
      <c r="EV394" s="60" t="n">
        <f aca="false">LN(ET394-DK394)</f>
        <v>-0.198812070380318</v>
      </c>
      <c r="EW394" s="60" t="n">
        <f aca="false">$E$27/DI394*(ET394-1)-EV394-EU394*(2*CV394/DH394-$E$27/DI394)</f>
        <v>-0.107840271021729</v>
      </c>
      <c r="EX394" s="60" t="n">
        <f aca="false">$F$27/DI394*(ET394-1)-EV394-EU394*(2*CW394/DH394-$F$27/DI394)</f>
        <v>0.198812070380318</v>
      </c>
      <c r="EY394" s="60" t="n">
        <f aca="false">$G$27/DI394*(ET394-1)-EV394-EU394*(2*CX394/DH394-$G$27/DI394)</f>
        <v>0.198812070380318</v>
      </c>
      <c r="EZ394" s="60" t="n">
        <f aca="false">$H$27/DI394*(ET394-1)-EV394-EU394*(2*CY394/DH394-$H$27/DI394)</f>
        <v>0.198812070380318</v>
      </c>
      <c r="FA394" s="60" t="n">
        <f aca="false">$I$27/DI394*(ET394-1)-EV394-EU394*(2*CZ394/DH394-$I$27/DI394)</f>
        <v>0.198812070380318</v>
      </c>
      <c r="FB394" s="60" t="n">
        <f aca="false">$J$27/DI394*(ET394-1)-EV394-EU394*(2*DA394/DH394-$J$27/DI394)</f>
        <v>0.198812070380318</v>
      </c>
      <c r="FC394" s="60" t="n">
        <f aca="false">$K$27/DI394*(ET394-1)-EV394-EU394*(2*DB394/DH394-$K$27/DI394)</f>
        <v>0.198812070380318</v>
      </c>
      <c r="FD394" s="60" t="n">
        <f aca="false">$L$27/DI394*(ET394-1)-EV394-EU394*(2*DC394/DH394-$L$27/DI394)</f>
        <v>0.198812070380318</v>
      </c>
      <c r="FE394" s="60" t="n">
        <f aca="false">$M$27/DI394*(ET394-1)-EV394-EU394*(2*DD394/DH394-$M$27/DI394)</f>
        <v>0.198812070380318</v>
      </c>
      <c r="FF394" s="60" t="n">
        <f aca="false">$N$27/DI394*(ET394-1)-EV394-EU394*(2*DE394/DH394-$N$27/DI394)</f>
        <v>0.198812070380318</v>
      </c>
      <c r="FG394" s="60" t="n">
        <f aca="false">$O$27/DI394*(ET394-1)-EV394-EU394*(2*DF394/DH394-$O$27/DI394)</f>
        <v>0.198812070380318</v>
      </c>
      <c r="FH394" s="60" t="n">
        <f aca="false">$P$27/DI394*(ET394-1)-EV394-EU394*(2*DG394/DH394-$P$27/DI394)</f>
        <v>0.198812070380318</v>
      </c>
      <c r="FI394" s="60" t="n">
        <f aca="false">DK394/ET394&gt;$C$22</f>
        <v>0</v>
      </c>
      <c r="FJ394" s="60" t="n">
        <f aca="false">$E$28*SUMPRODUCT($E$31:$P$31,CJ394:CU394,$E$28:$P$28)</f>
        <v>0.184416866619846</v>
      </c>
      <c r="FK394" s="60" t="n">
        <f aca="false">$F$28*SUMPRODUCT($E$32:$P$32,CJ394:CU394,$E$28:$P$28)</f>
        <v>0</v>
      </c>
      <c r="FL394" s="60" t="n">
        <f aca="false">$G$28*SUMPRODUCT($E$33:$P$33,CJ394:CU394,$E$28:$P$28)</f>
        <v>0</v>
      </c>
      <c r="FM394" s="60" t="n">
        <f aca="false">$H$28*SUMPRODUCT($E$34:$P$34,CJ394:CU394,$E$28:$P$28)</f>
        <v>0</v>
      </c>
      <c r="FN394" s="60" t="n">
        <f aca="false">$I$28*SUMPRODUCT($E$35:$P$35,CJ394:CU394,$E$28:$P$28)</f>
        <v>0</v>
      </c>
      <c r="FO394" s="60" t="n">
        <f aca="false">$J$28*SUMPRODUCT($E$36:$P$36,CJ394:CU394,$E$28:$P$28)</f>
        <v>0</v>
      </c>
      <c r="FP394" s="60" t="n">
        <f aca="false">$K$28*SUMPRODUCT($E$37:$P$37,CJ394:CU394,$E$28:$P$28)</f>
        <v>0</v>
      </c>
      <c r="FQ394" s="60" t="n">
        <f aca="false">$L$28*SUMPRODUCT($E$38:$P$38,CJ394:CU394,$E$28:$P$28)</f>
        <v>0</v>
      </c>
      <c r="FR394" s="60" t="n">
        <f aca="false">$M$28*SUMPRODUCT($E$39:$P$39,CJ394:CU394,$E$28:$P$28)</f>
        <v>0</v>
      </c>
      <c r="FS394" s="60" t="n">
        <f aca="false">$N$28*SUMPRODUCT($E$40:$P$40,CJ394:CU394,$E$28:$P$28)</f>
        <v>0</v>
      </c>
      <c r="FT394" s="60" t="n">
        <f aca="false">$O$28*SUMPRODUCT($E$41:$P$41,CJ394:CU394,$E$28:$P$28)</f>
        <v>0</v>
      </c>
      <c r="FU394" s="60" t="n">
        <f aca="false">$P$28*SUMPRODUCT($E$42:$P$42,CJ394:CU394,$E$28:$P$28)</f>
        <v>0</v>
      </c>
      <c r="FV394" s="60" t="n">
        <f aca="false">SUMPRODUCT(CJ394:CU394,FJ394:FU394)</f>
        <v>0.184416866619846</v>
      </c>
      <c r="FW394" s="60" t="n">
        <f aca="false">SUMPRODUCT(CJ394:CU394,$E$27:$P$27)</f>
        <v>2.67389635063809E-005</v>
      </c>
      <c r="FX394" s="60" t="n">
        <f aca="false">FV394*$C$9/($C$10*$C$8)^2</f>
        <v>0.21776909410545</v>
      </c>
      <c r="FY394" s="60" t="n">
        <f aca="false">FW394*$C$9/($C$10*$C$8)</f>
        <v>0.0918845243259994</v>
      </c>
      <c r="FZ394" s="60" t="n">
        <f aca="false">CHOOSE($C$7,-(1+FY394),-1,-(1-FY394))</f>
        <v>-0.908115475674001</v>
      </c>
      <c r="GA394" s="60" t="n">
        <f aca="false">CHOOSE($C$7,FX394,FX394-FY394-FY394^2,FX394-3*FY394^2-2*FY394)</f>
        <v>0.00867174802160559</v>
      </c>
      <c r="GB394" s="60" t="n">
        <f aca="false">CHOOSE($C$7,-FX394*FY394,-FX394*FY394,-(FX394*FY394-FY394^2-FY394^3))</f>
        <v>-0.0107910842936637</v>
      </c>
      <c r="GC394" s="60" t="n">
        <f aca="false">GA394-FZ394^2/3</f>
        <v>-0.266219491031267</v>
      </c>
      <c r="GD394" s="60" t="n">
        <f aca="false">2*FZ394^3/27-FZ394*GA394/3+GB394</f>
        <v>-0.0636400988362784</v>
      </c>
      <c r="GE394" s="60" t="n">
        <f aca="false">GD394^2/4+GC394^3/27</f>
        <v>0.000313710901361829</v>
      </c>
      <c r="GF394" s="60" t="n">
        <f aca="false">-GD394/2-IF(GD394&gt;=0,1,-1)*SQRT(MAX(GE394,0))</f>
        <v>0.0495319352963236</v>
      </c>
      <c r="GG394" s="60" t="n">
        <f aca="false">SIGN(GF394)*ABS(GF394)^(1/3)</f>
        <v>0.367249967174439</v>
      </c>
      <c r="GH394" s="60" t="n">
        <f aca="false">IF(GG394=0,0,GG394-GC394/(3*GG394))</f>
        <v>0.60888329127384</v>
      </c>
      <c r="GI394" s="60" t="n">
        <f aca="false">2*SQRT(MAX(-GC394,0)/3)</f>
        <v>0.595784626668918</v>
      </c>
      <c r="GJ394" s="60" t="n">
        <f aca="false">ACOS(IF(GI394=0,0,MAX(-1,MIN(1,3*GD394/(GC394*GI394)))))</f>
        <v>0</v>
      </c>
      <c r="GK394" s="60" t="n">
        <f aca="false">GI394*COS(GJ394/3)</f>
        <v>0.595784626668918</v>
      </c>
      <c r="GL394" s="60" t="n">
        <f aca="false">IF(GE394&lt;0,GK394,GH394)-FZ394/3</f>
        <v>0.91158844983184</v>
      </c>
      <c r="GM394" s="60" t="n">
        <f aca="false">IFERROR((((GL394+FZ394)*GL394+GA394)*GL394+GB394)/((3*GL394+2*FZ394)*GL394+GA394),0)</f>
        <v>0</v>
      </c>
      <c r="GN394" s="60" t="n">
        <f aca="false">IF(ABS(GM394)&lt;0.1*ABS(GL394),GL394-GM394,GL394)</f>
        <v>0.91158844983184</v>
      </c>
      <c r="GO394" s="60" t="n">
        <f aca="false">IFERROR((((GN394+FZ394)*GN394+GA394)*GN394+GB394)/((3*GN394+2*FZ394)*GN394+GA394),0)</f>
        <v>0</v>
      </c>
      <c r="GP394" s="60" t="n">
        <f aca="false">IF(ABS(GO394)&lt;0.1*ABS(GN394),GN394-GO394,GN394)</f>
        <v>0.91158844983184</v>
      </c>
      <c r="GQ394" s="60" t="n">
        <f aca="false">-GB394/GP394</f>
        <v>0.0118376711504565</v>
      </c>
      <c r="GR394" s="60" t="n">
        <f aca="false">(GA394-GQ394)/GP394</f>
        <v>-0.00347297415783941</v>
      </c>
      <c r="GS394" s="60" t="n">
        <f aca="false">GR394^2-4*GQ394</f>
        <v>-0.0473386230523248</v>
      </c>
      <c r="GT394" s="60" t="n">
        <f aca="false">IF(GS394&gt;=0,(GR394+IF(GR394&gt;=0,1,-1)*SQRT(GS394))/2,0)</f>
        <v>0</v>
      </c>
      <c r="GU394" s="60" t="n">
        <f aca="false">IF(AND(GS394&gt;=0,GT394&lt;&gt;0),MIN(GT394,GQ394/GT394),-1)</f>
        <v>-1</v>
      </c>
      <c r="GV394" s="60" t="n">
        <f aca="false">AND(GS394&gt;=0,GU394&gt;FY394,ABS(GP394-GU394)&gt;=0.00005*MAX(GP394,GU394))</f>
        <v>0</v>
      </c>
      <c r="GW394" s="60" t="n">
        <f aca="false">IF(GV394,IFERROR((((GU394+FZ394)*GU394+GA394)*GU394+GB394)/((3*GU394+2*FZ394)*GU394+GA394),0),0)</f>
        <v>0</v>
      </c>
      <c r="GX394" s="60" t="n">
        <f aca="false">IF(ABS(GW394)&lt;0.1*ABS(GU394),GU394-GW394,GU394)</f>
        <v>-1</v>
      </c>
      <c r="GY394" s="60" t="n">
        <f aca="false">IF(GV394,IFERROR((((GX394+FZ394)*GX394+GA394)*GX394+GB394)/((3*GX394+2*FZ394)*GX394+GA394),0),0)</f>
        <v>0</v>
      </c>
      <c r="GZ394" s="60" t="n">
        <f aca="false">IF(ABS(GY394)&lt;0.1*ABS(GX394),GX394-GY394,GX394)</f>
        <v>-1</v>
      </c>
      <c r="HA394" s="60" t="n">
        <f aca="false">IF(GV394,MAX(GP394,GZ394),GP394)</f>
        <v>0.91158844983184</v>
      </c>
      <c r="HB394" s="60" t="n">
        <f aca="false">IF(GV394,MIN(GP394,GZ394),-1)</f>
        <v>-1</v>
      </c>
      <c r="HC394" s="60" t="n">
        <f aca="false">CHOOSE($C$7,FX394/HA394,FX394/FY394*LN(1+FY394/HA394),FX394/(2*SQRT(2)*FY394)*LN((HA394+(1+SQRT(2))*FY394)/(HA394+(1-SQRT(2))*FY394)))</f>
        <v>0.218240791233887</v>
      </c>
      <c r="HD394" s="60" t="n">
        <f aca="false">HA394-1-LN(HA394-FY394)-HC394</f>
        <v>-0.107840271021729</v>
      </c>
      <c r="HE394" s="60" t="n">
        <f aca="false">IF(GV394,CHOOSE($C$7,FX394/HB394,FX394/FY394*LN(1+FY394/HB394),FX394/(2*SQRT(2)*FY394)*LN((HB394+(1+SQRT(2))*FY394)/(HB394+(1-SQRT(2))*FY394))),0)</f>
        <v>0</v>
      </c>
      <c r="HF394" s="60" t="n">
        <f aca="false">IF(GV394,HB394-1-LN(HB394-FY394)-HE394,0)</f>
        <v>0</v>
      </c>
      <c r="HG394" s="60" t="n">
        <f aca="false">AND(GV394,HF394&lt;HD394)</f>
        <v>0</v>
      </c>
      <c r="HH394" s="60" t="n">
        <f aca="false">IF(HG394,HB394,HA394)</f>
        <v>0.91158844983184</v>
      </c>
      <c r="HI394" s="60" t="n">
        <f aca="false">IF(HG394,HE394,HC394)</f>
        <v>0.218240791233887</v>
      </c>
      <c r="HJ394" s="60" t="n">
        <f aca="false">LN(HH394-FY394)</f>
        <v>-0.198812070380318</v>
      </c>
      <c r="HK394" s="60" t="n">
        <f aca="false">$E$27/FW394*(HH394-1)-HJ394-HI394*(2*FJ394/FV394-$E$27/FW394)</f>
        <v>-0.107840271021729</v>
      </c>
      <c r="HL394" s="60" t="n">
        <f aca="false">$F$27/FW394*(HH394-1)-HJ394-HI394*(2*FK394/FV394-$F$27/FW394)</f>
        <v>0.198812070380318</v>
      </c>
      <c r="HM394" s="60" t="n">
        <f aca="false">$G$27/FW394*(HH394-1)-HJ394-HI394*(2*FL394/FV394-$G$27/FW394)</f>
        <v>0.198812070380318</v>
      </c>
      <c r="HN394" s="60" t="n">
        <f aca="false">$H$27/FW394*(HH394-1)-HJ394-HI394*(2*FM394/FV394-$H$27/FW394)</f>
        <v>0.198812070380318</v>
      </c>
      <c r="HO394" s="60" t="n">
        <f aca="false">$I$27/FW394*(HH394-1)-HJ394-HI394*(2*FN394/FV394-$I$27/FW394)</f>
        <v>0.198812070380318</v>
      </c>
      <c r="HP394" s="60" t="n">
        <f aca="false">$J$27/FW394*(HH394-1)-HJ394-HI394*(2*FO394/FV394-$J$27/FW394)</f>
        <v>0.198812070380318</v>
      </c>
      <c r="HQ394" s="60" t="n">
        <f aca="false">$K$27/FW394*(HH394-1)-HJ394-HI394*(2*FP394/FV394-$K$27/FW394)</f>
        <v>0.198812070380318</v>
      </c>
      <c r="HR394" s="60" t="n">
        <f aca="false">$L$27/FW394*(HH394-1)-HJ394-HI394*(2*FQ394/FV394-$L$27/FW394)</f>
        <v>0.198812070380318</v>
      </c>
      <c r="HS394" s="60" t="n">
        <f aca="false">$M$27/FW394*(HH394-1)-HJ394-HI394*(2*FR394/FV394-$M$27/FW394)</f>
        <v>0.198812070380318</v>
      </c>
      <c r="HT394" s="60" t="n">
        <f aca="false">$N$27/FW394*(HH394-1)-HJ394-HI394*(2*FS394/FV394-$N$27/FW394)</f>
        <v>0.198812070380318</v>
      </c>
      <c r="HU394" s="60" t="n">
        <f aca="false">$O$27/FW394*(HH394-1)-HJ394-HI394*(2*FT394/FV394-$O$27/FW394)</f>
        <v>0.198812070380318</v>
      </c>
      <c r="HV394" s="60" t="n">
        <f aca="false">$P$27/FW394*(HH394-1)-HJ394-HI394*(2*FU394/FV394-$P$27/FW394)</f>
        <v>0.198812070380318</v>
      </c>
      <c r="HW394" s="60" t="n">
        <f aca="false">FY394/HH394&gt;$C$22</f>
        <v>0</v>
      </c>
      <c r="HX394" s="60" t="n">
        <f aca="false">IF($E$13&gt;0,MAX(-300,MIN(300,EW394-HK394)),0)</f>
        <v>0</v>
      </c>
      <c r="HY394" s="60" t="n">
        <f aca="false">IF($F$13&gt;0,MAX(-300,MIN(300,EX394-HL394)),0)</f>
        <v>0</v>
      </c>
      <c r="HZ394" s="60" t="n">
        <f aca="false">IF($G$13&gt;0,MAX(-300,MIN(300,EY394-HM394)),0)</f>
        <v>0</v>
      </c>
      <c r="IA394" s="60" t="n">
        <f aca="false">IF($H$13&gt;0,MAX(-300,MIN(300,EZ394-HN394)),0)</f>
        <v>0</v>
      </c>
      <c r="IB394" s="60" t="n">
        <f aca="false">IF($I$13&gt;0,MAX(-300,MIN(300,FA394-HO394)),0)</f>
        <v>0</v>
      </c>
      <c r="IC394" s="60" t="n">
        <f aca="false">IF($J$13&gt;0,MAX(-300,MIN(300,FB394-HP394)),0)</f>
        <v>0</v>
      </c>
      <c r="ID394" s="60" t="n">
        <f aca="false">IF($K$13&gt;0,MAX(-300,MIN(300,FC394-HQ394)),0)</f>
        <v>0</v>
      </c>
      <c r="IE394" s="60" t="n">
        <f aca="false">IF($L$13&gt;0,MAX(-300,MIN(300,FD394-HR394)),0)</f>
        <v>0</v>
      </c>
      <c r="IF394" s="60" t="n">
        <f aca="false">IF($M$13&gt;0,MAX(-300,MIN(300,FE394-HS394)),0)</f>
        <v>0</v>
      </c>
      <c r="IG394" s="60" t="n">
        <f aca="false">IF($N$13&gt;0,MAX(-300,MIN(300,FF394-HT394)),0)</f>
        <v>0</v>
      </c>
      <c r="IH394" s="60" t="n">
        <f aca="false">IF($O$13&gt;0,MAX(-300,MIN(300,FG394-HU394)),0)</f>
        <v>0</v>
      </c>
      <c r="II394" s="60" t="n">
        <f aca="false">IF($P$13&gt;0,MAX(-300,MIN(300,FH394-HV394)),0)</f>
        <v>0</v>
      </c>
      <c r="IJ394" s="60" t="n">
        <f aca="false">SUMXMY2(HX394:II394,B394:M394)</f>
        <v>0</v>
      </c>
      <c r="IK394" s="60" t="n">
        <f aca="false">SUMSQ(B394:M394)</f>
        <v>0</v>
      </c>
    </row>
    <row r="395" customFormat="false" ht="15" hidden="false" customHeight="false" outlineLevel="0" collapsed="false">
      <c r="A395" s="59" t="n">
        <v>34</v>
      </c>
      <c r="B395" s="60" t="n">
        <f aca="false">HX394</f>
        <v>0</v>
      </c>
      <c r="C395" s="60" t="n">
        <f aca="false">HY394</f>
        <v>0</v>
      </c>
      <c r="D395" s="60" t="n">
        <f aca="false">HZ394</f>
        <v>0</v>
      </c>
      <c r="E395" s="60" t="n">
        <f aca="false">IA394</f>
        <v>0</v>
      </c>
      <c r="F395" s="60" t="n">
        <f aca="false">IB394</f>
        <v>0</v>
      </c>
      <c r="G395" s="60" t="n">
        <f aca="false">IC394</f>
        <v>0</v>
      </c>
      <c r="H395" s="60" t="n">
        <f aca="false">ID394</f>
        <v>0</v>
      </c>
      <c r="I395" s="60" t="n">
        <f aca="false">IE394</f>
        <v>0</v>
      </c>
      <c r="J395" s="60" t="n">
        <f aca="false">IF394</f>
        <v>0</v>
      </c>
      <c r="K395" s="60" t="n">
        <f aca="false">IG394</f>
        <v>0</v>
      </c>
      <c r="L395" s="60" t="n">
        <f aca="false">IH394</f>
        <v>0</v>
      </c>
      <c r="M395" s="60" t="n">
        <f aca="false">II394</f>
        <v>0</v>
      </c>
      <c r="N395" s="60" t="n">
        <f aca="false">EXP(B395)</f>
        <v>1</v>
      </c>
      <c r="O395" s="60" t="n">
        <f aca="false">EXP(C395)</f>
        <v>1</v>
      </c>
      <c r="P395" s="60" t="n">
        <f aca="false">EXP(D395)</f>
        <v>1</v>
      </c>
      <c r="Q395" s="60" t="n">
        <f aca="false">EXP(E395)</f>
        <v>1</v>
      </c>
      <c r="R395" s="60" t="n">
        <f aca="false">EXP(F395)</f>
        <v>1</v>
      </c>
      <c r="S395" s="60" t="n">
        <f aca="false">EXP(G395)</f>
        <v>1</v>
      </c>
      <c r="T395" s="60" t="n">
        <f aca="false">EXP(H395)</f>
        <v>1</v>
      </c>
      <c r="U395" s="60" t="n">
        <f aca="false">EXP(I395)</f>
        <v>1</v>
      </c>
      <c r="V395" s="60" t="n">
        <f aca="false">EXP(J395)</f>
        <v>1</v>
      </c>
      <c r="W395" s="60" t="n">
        <f aca="false">EXP(K395)</f>
        <v>1</v>
      </c>
      <c r="X395" s="60" t="n">
        <f aca="false">EXP(L395)</f>
        <v>1</v>
      </c>
      <c r="Y395" s="60" t="n">
        <f aca="false">EXP(M395)</f>
        <v>1</v>
      </c>
      <c r="Z395" s="60" t="n">
        <f aca="false">MAX(N395:Y395)</f>
        <v>1</v>
      </c>
      <c r="AA395" s="60" t="n">
        <f aca="false">MIN(N395:Y395)</f>
        <v>1</v>
      </c>
      <c r="AB395" s="60" t="n">
        <f aca="false">AND(Z395&gt;1,AA395&lt;1)</f>
        <v>0</v>
      </c>
      <c r="AC395" s="60" t="n">
        <f aca="false">IF(AB395,1/(1-Z395),0)</f>
        <v>0</v>
      </c>
      <c r="AD395" s="60" t="n">
        <f aca="false">IF(AB395,1/(1-AA395),1)</f>
        <v>1</v>
      </c>
      <c r="AE395" s="60" t="n">
        <f aca="false">IF(AB395,MIN(MAX(BI394,AC395+0.000000001*(AD395-AC395)),AD395-0.000000001*(AD395-AC395)),IF(AA395&gt;=1,1,0))</f>
        <v>1</v>
      </c>
      <c r="AF395" s="60" t="n">
        <f aca="false">SUMPRODUCT($E$13:$P$13*(N395:Y395-1)/(1+AE395*(N395:Y395-1)))</f>
        <v>0</v>
      </c>
      <c r="AG395" s="60" t="n">
        <f aca="false">-SUMPRODUCT($E$13:$P$13*(N395:Y395-1)^2/(1+AE395*(N395:Y395-1))^2)</f>
        <v>-0</v>
      </c>
      <c r="AH395" s="60" t="n">
        <f aca="false">IF(OR(NOT(AB395),AG395=0),AE395,IF(AE395-AF395/AG395&lt;=AC395,(AE395+AC395)/2,IF(AE395-AF395/AG395&gt;=AD395,(AE395+AD395)/2,AE395-AF395/AG395)))</f>
        <v>1</v>
      </c>
      <c r="AI395" s="60" t="n">
        <f aca="false">SUMPRODUCT($E$13:$P$13*(N395:Y395-1)/(1+AH395*(N395:Y395-1)))</f>
        <v>0</v>
      </c>
      <c r="AJ395" s="60" t="n">
        <f aca="false">-SUMPRODUCT($E$13:$P$13*(N395:Y395-1)^2/(1+AH395*(N395:Y395-1))^2)</f>
        <v>-0</v>
      </c>
      <c r="AK395" s="60" t="n">
        <f aca="false">IF(OR(NOT(AB395),AJ395=0),AH395,IF(AH395-AI395/AJ395&lt;=AC395,(AH395+AC395)/2,IF(AH395-AI395/AJ395&gt;=AD395,(AH395+AD395)/2,AH395-AI395/AJ395)))</f>
        <v>1</v>
      </c>
      <c r="AL395" s="60" t="n">
        <f aca="false">SUMPRODUCT($E$13:$P$13*(N395:Y395-1)/(1+AK395*(N395:Y395-1)))</f>
        <v>0</v>
      </c>
      <c r="AM395" s="60" t="n">
        <f aca="false">-SUMPRODUCT($E$13:$P$13*(N395:Y395-1)^2/(1+AK395*(N395:Y395-1))^2)</f>
        <v>-0</v>
      </c>
      <c r="AN395" s="60" t="n">
        <f aca="false">IF(OR(NOT(AB395),AM395=0),AK395,IF(AK395-AL395/AM395&lt;=AC395,(AK395+AC395)/2,IF(AK395-AL395/AM395&gt;=AD395,(AK395+AD395)/2,AK395-AL395/AM395)))</f>
        <v>1</v>
      </c>
      <c r="AO395" s="60" t="n">
        <f aca="false">SUMPRODUCT($E$13:$P$13*(N395:Y395-1)/(1+AN395*(N395:Y395-1)))</f>
        <v>0</v>
      </c>
      <c r="AP395" s="60" t="n">
        <f aca="false">-SUMPRODUCT($E$13:$P$13*(N395:Y395-1)^2/(1+AN395*(N395:Y395-1))^2)</f>
        <v>-0</v>
      </c>
      <c r="AQ395" s="60" t="n">
        <f aca="false">IF(OR(NOT(AB395),AP395=0),AN395,IF(AN395-AO395/AP395&lt;=AC395,(AN395+AC395)/2,IF(AN395-AO395/AP395&gt;=AD395,(AN395+AD395)/2,AN395-AO395/AP395)))</f>
        <v>1</v>
      </c>
      <c r="AR395" s="60" t="n">
        <f aca="false">SUMPRODUCT($E$13:$P$13*(N395:Y395-1)/(1+AQ395*(N395:Y395-1)))</f>
        <v>0</v>
      </c>
      <c r="AS395" s="60" t="n">
        <f aca="false">-SUMPRODUCT($E$13:$P$13*(N395:Y395-1)^2/(1+AQ395*(N395:Y395-1))^2)</f>
        <v>-0</v>
      </c>
      <c r="AT395" s="60" t="n">
        <f aca="false">IF(OR(NOT(AB395),AS395=0),AQ395,IF(AQ395-AR395/AS395&lt;=AC395,(AQ395+AC395)/2,IF(AQ395-AR395/AS395&gt;=AD395,(AQ395+AD395)/2,AQ395-AR395/AS395)))</f>
        <v>1</v>
      </c>
      <c r="AU395" s="60" t="n">
        <f aca="false">SUMPRODUCT($E$13:$P$13*(N395:Y395-1)/(1+AT395*(N395:Y395-1)))</f>
        <v>0</v>
      </c>
      <c r="AV395" s="60" t="n">
        <f aca="false">-SUMPRODUCT($E$13:$P$13*(N395:Y395-1)^2/(1+AT395*(N395:Y395-1))^2)</f>
        <v>-0</v>
      </c>
      <c r="AW395" s="60" t="n">
        <f aca="false">IF(OR(NOT(AB395),AV395=0),AT395,IF(AT395-AU395/AV395&lt;=AC395,(AT395+AC395)/2,IF(AT395-AU395/AV395&gt;=AD395,(AT395+AD395)/2,AT395-AU395/AV395)))</f>
        <v>1</v>
      </c>
      <c r="AX395" s="60" t="n">
        <f aca="false">SUMPRODUCT($E$13:$P$13*(N395:Y395-1)/(1+AW395*(N395:Y395-1)))</f>
        <v>0</v>
      </c>
      <c r="AY395" s="60" t="n">
        <f aca="false">-SUMPRODUCT($E$13:$P$13*(N395:Y395-1)^2/(1+AW395*(N395:Y395-1))^2)</f>
        <v>-0</v>
      </c>
      <c r="AZ395" s="60" t="n">
        <f aca="false">IF(OR(NOT(AB395),AY395=0),AW395,IF(AW395-AX395/AY395&lt;=AC395,(AW395+AC395)/2,IF(AW395-AX395/AY395&gt;=AD395,(AW395+AD395)/2,AW395-AX395/AY395)))</f>
        <v>1</v>
      </c>
      <c r="BA395" s="60" t="n">
        <f aca="false">SUMPRODUCT($E$13:$P$13*(N395:Y395-1)/(1+AZ395*(N395:Y395-1)))</f>
        <v>0</v>
      </c>
      <c r="BB395" s="60" t="n">
        <f aca="false">-SUMPRODUCT($E$13:$P$13*(N395:Y395-1)^2/(1+AZ395*(N395:Y395-1))^2)</f>
        <v>-0</v>
      </c>
      <c r="BC395" s="60" t="n">
        <f aca="false">IF(OR(NOT(AB395),BB395=0),AZ395,IF(AZ395-BA395/BB395&lt;=AC395,(AZ395+AC395)/2,IF(AZ395-BA395/BB395&gt;=AD395,(AZ395+AD395)/2,AZ395-BA395/BB395)))</f>
        <v>1</v>
      </c>
      <c r="BD395" s="60" t="n">
        <f aca="false">SUMPRODUCT($E$13:$P$13*(N395:Y395-1)/(1+BC395*(N395:Y395-1)))</f>
        <v>0</v>
      </c>
      <c r="BE395" s="60" t="n">
        <f aca="false">-SUMPRODUCT($E$13:$P$13*(N395:Y395-1)^2/(1+BC395*(N395:Y395-1))^2)</f>
        <v>-0</v>
      </c>
      <c r="BF395" s="60" t="n">
        <f aca="false">IF(OR(NOT(AB395),BE395=0),BC395,IF(BC395-BD395/BE395&lt;=AC395,(BC395+AC395)/2,IF(BC395-BD395/BE395&gt;=AD395,(BC395+AD395)/2,BC395-BD395/BE395)))</f>
        <v>1</v>
      </c>
      <c r="BG395" s="60" t="n">
        <f aca="false">SUMPRODUCT($E$13:$P$13*(N395:Y395-1)/(1+BF395*(N395:Y395-1)))</f>
        <v>0</v>
      </c>
      <c r="BH395" s="60" t="n">
        <f aca="false">-SUMPRODUCT($E$13:$P$13*(N395:Y395-1)^2/(1+BF395*(N395:Y395-1))^2)</f>
        <v>-0</v>
      </c>
      <c r="BI395" s="60" t="n">
        <f aca="false">IF(OR(NOT(AB395),BH395=0),BF395,IF(BF395-BG395/BH395&lt;=AC395,(BF395+AC395)/2,IF(BF395-BG395/BH395&gt;=AD395,(BF395+AD395)/2,BF395-BG395/BH395)))</f>
        <v>1</v>
      </c>
      <c r="BJ395" s="60" t="n">
        <f aca="false">$E$13/(1+BI395*(N395-1))</f>
        <v>1</v>
      </c>
      <c r="BK395" s="60" t="n">
        <f aca="false">$F$13/(1+BI395*(O395-1))</f>
        <v>0</v>
      </c>
      <c r="BL395" s="60" t="n">
        <f aca="false">$G$13/(1+BI395*(P395-1))</f>
        <v>0</v>
      </c>
      <c r="BM395" s="60" t="n">
        <f aca="false">$H$13/(1+BI395*(Q395-1))</f>
        <v>0</v>
      </c>
      <c r="BN395" s="60" t="n">
        <f aca="false">$I$13/(1+BI395*(R395-1))</f>
        <v>0</v>
      </c>
      <c r="BO395" s="60" t="n">
        <f aca="false">$J$13/(1+BI395*(S395-1))</f>
        <v>0</v>
      </c>
      <c r="BP395" s="60" t="n">
        <f aca="false">$K$13/(1+BI395*(T395-1))</f>
        <v>0</v>
      </c>
      <c r="BQ395" s="60" t="n">
        <f aca="false">$L$13/(1+BI395*(U395-1))</f>
        <v>0</v>
      </c>
      <c r="BR395" s="60" t="n">
        <f aca="false">$M$13/(1+BI395*(V395-1))</f>
        <v>0</v>
      </c>
      <c r="BS395" s="60" t="n">
        <f aca="false">$N$13/(1+BI395*(W395-1))</f>
        <v>0</v>
      </c>
      <c r="BT395" s="60" t="n">
        <f aca="false">$O$13/(1+BI395*(X395-1))</f>
        <v>0</v>
      </c>
      <c r="BU395" s="60" t="n">
        <f aca="false">$P$13/(1+BI395*(Y395-1))</f>
        <v>0</v>
      </c>
      <c r="BV395" s="60" t="n">
        <f aca="false">SUM(BJ395:BU395)</f>
        <v>1</v>
      </c>
      <c r="BW395" s="60" t="n">
        <f aca="false">SUMPRODUCT(N395:Y395,BJ395:BU395)</f>
        <v>1</v>
      </c>
      <c r="BX395" s="60" t="n">
        <f aca="false">BJ395/BV395</f>
        <v>1</v>
      </c>
      <c r="BY395" s="60" t="n">
        <f aca="false">BK395/BV395</f>
        <v>0</v>
      </c>
      <c r="BZ395" s="60" t="n">
        <f aca="false">BL395/BV395</f>
        <v>0</v>
      </c>
      <c r="CA395" s="60" t="n">
        <f aca="false">BM395/BV395</f>
        <v>0</v>
      </c>
      <c r="CB395" s="60" t="n">
        <f aca="false">BN395/BV395</f>
        <v>0</v>
      </c>
      <c r="CC395" s="60" t="n">
        <f aca="false">BO395/BV395</f>
        <v>0</v>
      </c>
      <c r="CD395" s="60" t="n">
        <f aca="false">BP395/BV395</f>
        <v>0</v>
      </c>
      <c r="CE395" s="60" t="n">
        <f aca="false">BQ395/BV395</f>
        <v>0</v>
      </c>
      <c r="CF395" s="60" t="n">
        <f aca="false">BR395/BV395</f>
        <v>0</v>
      </c>
      <c r="CG395" s="60" t="n">
        <f aca="false">BS395/BV395</f>
        <v>0</v>
      </c>
      <c r="CH395" s="60" t="n">
        <f aca="false">BT395/BV395</f>
        <v>0</v>
      </c>
      <c r="CI395" s="60" t="n">
        <f aca="false">BU395/BV395</f>
        <v>0</v>
      </c>
      <c r="CJ395" s="60" t="n">
        <f aca="false">N395*BJ395/BW395</f>
        <v>1</v>
      </c>
      <c r="CK395" s="60" t="n">
        <f aca="false">O395*BK395/BW395</f>
        <v>0</v>
      </c>
      <c r="CL395" s="60" t="n">
        <f aca="false">P395*BL395/BW395</f>
        <v>0</v>
      </c>
      <c r="CM395" s="60" t="n">
        <f aca="false">Q395*BM395/BW395</f>
        <v>0</v>
      </c>
      <c r="CN395" s="60" t="n">
        <f aca="false">R395*BN395/BW395</f>
        <v>0</v>
      </c>
      <c r="CO395" s="60" t="n">
        <f aca="false">S395*BO395/BW395</f>
        <v>0</v>
      </c>
      <c r="CP395" s="60" t="n">
        <f aca="false">T395*BP395/BW395</f>
        <v>0</v>
      </c>
      <c r="CQ395" s="60" t="n">
        <f aca="false">U395*BQ395/BW395</f>
        <v>0</v>
      </c>
      <c r="CR395" s="60" t="n">
        <f aca="false">V395*BR395/BW395</f>
        <v>0</v>
      </c>
      <c r="CS395" s="60" t="n">
        <f aca="false">W395*BS395/BW395</f>
        <v>0</v>
      </c>
      <c r="CT395" s="60" t="n">
        <f aca="false">X395*BT395/BW395</f>
        <v>0</v>
      </c>
      <c r="CU395" s="60" t="n">
        <f aca="false">Y395*BU395/BW395</f>
        <v>0</v>
      </c>
      <c r="CV395" s="60" t="n">
        <f aca="false">$E$28*SUMPRODUCT($E$31:$P$31,BX395:CI395,$E$28:$P$28)</f>
        <v>0.184416866619846</v>
      </c>
      <c r="CW395" s="60" t="n">
        <f aca="false">$F$28*SUMPRODUCT($E$32:$P$32,BX395:CI395,$E$28:$P$28)</f>
        <v>0</v>
      </c>
      <c r="CX395" s="60" t="n">
        <f aca="false">$G$28*SUMPRODUCT($E$33:$P$33,BX395:CI395,$E$28:$P$28)</f>
        <v>0</v>
      </c>
      <c r="CY395" s="60" t="n">
        <f aca="false">$H$28*SUMPRODUCT($E$34:$P$34,BX395:CI395,$E$28:$P$28)</f>
        <v>0</v>
      </c>
      <c r="CZ395" s="60" t="n">
        <f aca="false">$I$28*SUMPRODUCT($E$35:$P$35,BX395:CI395,$E$28:$P$28)</f>
        <v>0</v>
      </c>
      <c r="DA395" s="60" t="n">
        <f aca="false">$J$28*SUMPRODUCT($E$36:$P$36,BX395:CI395,$E$28:$P$28)</f>
        <v>0</v>
      </c>
      <c r="DB395" s="60" t="n">
        <f aca="false">$K$28*SUMPRODUCT($E$37:$P$37,BX395:CI395,$E$28:$P$28)</f>
        <v>0</v>
      </c>
      <c r="DC395" s="60" t="n">
        <f aca="false">$L$28*SUMPRODUCT($E$38:$P$38,BX395:CI395,$E$28:$P$28)</f>
        <v>0</v>
      </c>
      <c r="DD395" s="60" t="n">
        <f aca="false">$M$28*SUMPRODUCT($E$39:$P$39,BX395:CI395,$E$28:$P$28)</f>
        <v>0</v>
      </c>
      <c r="DE395" s="60" t="n">
        <f aca="false">$N$28*SUMPRODUCT($E$40:$P$40,BX395:CI395,$E$28:$P$28)</f>
        <v>0</v>
      </c>
      <c r="DF395" s="60" t="n">
        <f aca="false">$O$28*SUMPRODUCT($E$41:$P$41,BX395:CI395,$E$28:$P$28)</f>
        <v>0</v>
      </c>
      <c r="DG395" s="60" t="n">
        <f aca="false">$P$28*SUMPRODUCT($E$42:$P$42,BX395:CI395,$E$28:$P$28)</f>
        <v>0</v>
      </c>
      <c r="DH395" s="60" t="n">
        <f aca="false">SUMPRODUCT(BX395:CI395,CV395:DG395)</f>
        <v>0.184416866619846</v>
      </c>
      <c r="DI395" s="60" t="n">
        <f aca="false">SUMPRODUCT(BX395:CI395,$E$27:$P$27)</f>
        <v>2.67389635063809E-005</v>
      </c>
      <c r="DJ395" s="60" t="n">
        <f aca="false">DH395*$C$9/($C$10*$C$8)^2</f>
        <v>0.21776909410545</v>
      </c>
      <c r="DK395" s="60" t="n">
        <f aca="false">DI395*$C$9/($C$10*$C$8)</f>
        <v>0.0918845243259994</v>
      </c>
      <c r="DL395" s="60" t="n">
        <f aca="false">CHOOSE($C$7,-(1+DK395),-1,-(1-DK395))</f>
        <v>-0.908115475674001</v>
      </c>
      <c r="DM395" s="60" t="n">
        <f aca="false">CHOOSE($C$7,DJ395,DJ395-DK395-DK395^2,DJ395-3*DK395^2-2*DK395)</f>
        <v>0.00867174802160559</v>
      </c>
      <c r="DN395" s="60" t="n">
        <f aca="false">CHOOSE($C$7,-DJ395*DK395,-DJ395*DK395,-(DJ395*DK395-DK395^2-DK395^3))</f>
        <v>-0.0107910842936637</v>
      </c>
      <c r="DO395" s="60" t="n">
        <f aca="false">DM395-DL395^2/3</f>
        <v>-0.266219491031267</v>
      </c>
      <c r="DP395" s="60" t="n">
        <f aca="false">2*DL395^3/27-DL395*DM395/3+DN395</f>
        <v>-0.0636400988362784</v>
      </c>
      <c r="DQ395" s="60" t="n">
        <f aca="false">DP395^2/4+DO395^3/27</f>
        <v>0.000313710901361829</v>
      </c>
      <c r="DR395" s="60" t="n">
        <f aca="false">-DP395/2-IF(DP395&gt;=0,1,-1)*SQRT(MAX(DQ395,0))</f>
        <v>0.0495319352963236</v>
      </c>
      <c r="DS395" s="60" t="n">
        <f aca="false">SIGN(DR395)*ABS(DR395)^(1/3)</f>
        <v>0.367249967174439</v>
      </c>
      <c r="DT395" s="60" t="n">
        <f aca="false">IF(DS395=0,0,DS395-DO395/(3*DS395))</f>
        <v>0.60888329127384</v>
      </c>
      <c r="DU395" s="60" t="n">
        <f aca="false">2*SQRT(MAX(-DO395,0)/3)</f>
        <v>0.595784626668918</v>
      </c>
      <c r="DV395" s="60" t="n">
        <f aca="false">ACOS(IF(DU395=0,0,MAX(-1,MIN(1,3*DP395/(DO395*DU395)))))</f>
        <v>0</v>
      </c>
      <c r="DW395" s="60" t="n">
        <f aca="false">DU395*COS(DV395/3)</f>
        <v>0.595784626668918</v>
      </c>
      <c r="DX395" s="60" t="n">
        <f aca="false">IF(DQ395&lt;0,DW395,DT395)-DL395/3</f>
        <v>0.91158844983184</v>
      </c>
      <c r="DY395" s="60" t="n">
        <f aca="false">IFERROR((((DX395+DL395)*DX395+DM395)*DX395+DN395)/((3*DX395+2*DL395)*DX395+DM395),0)</f>
        <v>0</v>
      </c>
      <c r="DZ395" s="60" t="n">
        <f aca="false">IF(ABS(DY395)&lt;0.1*ABS(DX395),DX395-DY395,DX395)</f>
        <v>0.91158844983184</v>
      </c>
      <c r="EA395" s="60" t="n">
        <f aca="false">IFERROR((((DZ395+DL395)*DZ395+DM395)*DZ395+DN395)/((3*DZ395+2*DL395)*DZ395+DM395),0)</f>
        <v>0</v>
      </c>
      <c r="EB395" s="60" t="n">
        <f aca="false">IF(ABS(EA395)&lt;0.1*ABS(DZ395),DZ395-EA395,DZ395)</f>
        <v>0.91158844983184</v>
      </c>
      <c r="EC395" s="60" t="n">
        <f aca="false">-DN395/EB395</f>
        <v>0.0118376711504565</v>
      </c>
      <c r="ED395" s="60" t="n">
        <f aca="false">(DM395-EC395)/EB395</f>
        <v>-0.00347297415783941</v>
      </c>
      <c r="EE395" s="60" t="n">
        <f aca="false">ED395^2-4*EC395</f>
        <v>-0.0473386230523248</v>
      </c>
      <c r="EF395" s="60" t="n">
        <f aca="false">IF(EE395&gt;=0,(ED395+IF(ED395&gt;=0,1,-1)*SQRT(EE395))/2,0)</f>
        <v>0</v>
      </c>
      <c r="EG395" s="60" t="n">
        <f aca="false">IF(AND(EE395&gt;=0,EF395&lt;&gt;0),MIN(EF395,EC395/EF395),-1)</f>
        <v>-1</v>
      </c>
      <c r="EH395" s="60" t="n">
        <f aca="false">AND(EE395&gt;=0,EG395&gt;DK395,ABS(EB395-EG395)&gt;=0.00005*MAX(EB395,EG395))</f>
        <v>0</v>
      </c>
      <c r="EI395" s="60" t="n">
        <f aca="false">IF(EH395,IFERROR((((EG395+DL395)*EG395+DM395)*EG395+DN395)/((3*EG395+2*DL395)*EG395+DM395),0),0)</f>
        <v>0</v>
      </c>
      <c r="EJ395" s="60" t="n">
        <f aca="false">IF(ABS(EI395)&lt;0.1*ABS(EG395),EG395-EI395,EG395)</f>
        <v>-1</v>
      </c>
      <c r="EK395" s="60" t="n">
        <f aca="false">IF(EH395,IFERROR((((EJ395+DL395)*EJ395+DM395)*EJ395+DN395)/((3*EJ395+2*DL395)*EJ395+DM395),0),0)</f>
        <v>0</v>
      </c>
      <c r="EL395" s="60" t="n">
        <f aca="false">IF(ABS(EK395)&lt;0.1*ABS(EJ395),EJ395-EK395,EJ395)</f>
        <v>-1</v>
      </c>
      <c r="EM395" s="60" t="n">
        <f aca="false">IF(EH395,MAX(EB395,EL395),EB395)</f>
        <v>0.91158844983184</v>
      </c>
      <c r="EN395" s="60" t="n">
        <f aca="false">IF(EH395,MIN(EB395,EL395),-1)</f>
        <v>-1</v>
      </c>
      <c r="EO395" s="60" t="n">
        <f aca="false">CHOOSE($C$7,DJ395/EM395,DJ395/DK395*LN(1+DK395/EM395),DJ395/(2*SQRT(2)*DK395)*LN((EM395+(1+SQRT(2))*DK395)/(EM395+(1-SQRT(2))*DK395)))</f>
        <v>0.218240791233887</v>
      </c>
      <c r="EP395" s="60" t="n">
        <f aca="false">EM395-1-LN(EM395-DK395)-EO395</f>
        <v>-0.107840271021729</v>
      </c>
      <c r="EQ395" s="60" t="n">
        <f aca="false">IF(EH395,CHOOSE($C$7,DJ395/EN395,DJ395/DK395*LN(1+DK395/EN395),DJ395/(2*SQRT(2)*DK395)*LN((EN395+(1+SQRT(2))*DK395)/(EN395+(1-SQRT(2))*DK395))),0)</f>
        <v>0</v>
      </c>
      <c r="ER395" s="60" t="n">
        <f aca="false">IF(EH395,EN395-1-LN(EN395-DK395)-EQ395,0)</f>
        <v>0</v>
      </c>
      <c r="ES395" s="60" t="n">
        <f aca="false">AND(EH395,ER395&lt;EP395)</f>
        <v>0</v>
      </c>
      <c r="ET395" s="60" t="n">
        <f aca="false">IF(ES395,EN395,EM395)</f>
        <v>0.91158844983184</v>
      </c>
      <c r="EU395" s="60" t="n">
        <f aca="false">IF(ES395,EQ395,EO395)</f>
        <v>0.218240791233887</v>
      </c>
      <c r="EV395" s="60" t="n">
        <f aca="false">LN(ET395-DK395)</f>
        <v>-0.198812070380318</v>
      </c>
      <c r="EW395" s="60" t="n">
        <f aca="false">$E$27/DI395*(ET395-1)-EV395-EU395*(2*CV395/DH395-$E$27/DI395)</f>
        <v>-0.107840271021729</v>
      </c>
      <c r="EX395" s="60" t="n">
        <f aca="false">$F$27/DI395*(ET395-1)-EV395-EU395*(2*CW395/DH395-$F$27/DI395)</f>
        <v>0.198812070380318</v>
      </c>
      <c r="EY395" s="60" t="n">
        <f aca="false">$G$27/DI395*(ET395-1)-EV395-EU395*(2*CX395/DH395-$G$27/DI395)</f>
        <v>0.198812070380318</v>
      </c>
      <c r="EZ395" s="60" t="n">
        <f aca="false">$H$27/DI395*(ET395-1)-EV395-EU395*(2*CY395/DH395-$H$27/DI395)</f>
        <v>0.198812070380318</v>
      </c>
      <c r="FA395" s="60" t="n">
        <f aca="false">$I$27/DI395*(ET395-1)-EV395-EU395*(2*CZ395/DH395-$I$27/DI395)</f>
        <v>0.198812070380318</v>
      </c>
      <c r="FB395" s="60" t="n">
        <f aca="false">$J$27/DI395*(ET395-1)-EV395-EU395*(2*DA395/DH395-$J$27/DI395)</f>
        <v>0.198812070380318</v>
      </c>
      <c r="FC395" s="60" t="n">
        <f aca="false">$K$27/DI395*(ET395-1)-EV395-EU395*(2*DB395/DH395-$K$27/DI395)</f>
        <v>0.198812070380318</v>
      </c>
      <c r="FD395" s="60" t="n">
        <f aca="false">$L$27/DI395*(ET395-1)-EV395-EU395*(2*DC395/DH395-$L$27/DI395)</f>
        <v>0.198812070380318</v>
      </c>
      <c r="FE395" s="60" t="n">
        <f aca="false">$M$27/DI395*(ET395-1)-EV395-EU395*(2*DD395/DH395-$M$27/DI395)</f>
        <v>0.198812070380318</v>
      </c>
      <c r="FF395" s="60" t="n">
        <f aca="false">$N$27/DI395*(ET395-1)-EV395-EU395*(2*DE395/DH395-$N$27/DI395)</f>
        <v>0.198812070380318</v>
      </c>
      <c r="FG395" s="60" t="n">
        <f aca="false">$O$27/DI395*(ET395-1)-EV395-EU395*(2*DF395/DH395-$O$27/DI395)</f>
        <v>0.198812070380318</v>
      </c>
      <c r="FH395" s="60" t="n">
        <f aca="false">$P$27/DI395*(ET395-1)-EV395-EU395*(2*DG395/DH395-$P$27/DI395)</f>
        <v>0.198812070380318</v>
      </c>
      <c r="FI395" s="60" t="n">
        <f aca="false">DK395/ET395&gt;$C$22</f>
        <v>0</v>
      </c>
      <c r="FJ395" s="60" t="n">
        <f aca="false">$E$28*SUMPRODUCT($E$31:$P$31,CJ395:CU395,$E$28:$P$28)</f>
        <v>0.184416866619846</v>
      </c>
      <c r="FK395" s="60" t="n">
        <f aca="false">$F$28*SUMPRODUCT($E$32:$P$32,CJ395:CU395,$E$28:$P$28)</f>
        <v>0</v>
      </c>
      <c r="FL395" s="60" t="n">
        <f aca="false">$G$28*SUMPRODUCT($E$33:$P$33,CJ395:CU395,$E$28:$P$28)</f>
        <v>0</v>
      </c>
      <c r="FM395" s="60" t="n">
        <f aca="false">$H$28*SUMPRODUCT($E$34:$P$34,CJ395:CU395,$E$28:$P$28)</f>
        <v>0</v>
      </c>
      <c r="FN395" s="60" t="n">
        <f aca="false">$I$28*SUMPRODUCT($E$35:$P$35,CJ395:CU395,$E$28:$P$28)</f>
        <v>0</v>
      </c>
      <c r="FO395" s="60" t="n">
        <f aca="false">$J$28*SUMPRODUCT($E$36:$P$36,CJ395:CU395,$E$28:$P$28)</f>
        <v>0</v>
      </c>
      <c r="FP395" s="60" t="n">
        <f aca="false">$K$28*SUMPRODUCT($E$37:$P$37,CJ395:CU395,$E$28:$P$28)</f>
        <v>0</v>
      </c>
      <c r="FQ395" s="60" t="n">
        <f aca="false">$L$28*SUMPRODUCT($E$38:$P$38,CJ395:CU395,$E$28:$P$28)</f>
        <v>0</v>
      </c>
      <c r="FR395" s="60" t="n">
        <f aca="false">$M$28*SUMPRODUCT($E$39:$P$39,CJ395:CU395,$E$28:$P$28)</f>
        <v>0</v>
      </c>
      <c r="FS395" s="60" t="n">
        <f aca="false">$N$28*SUMPRODUCT($E$40:$P$40,CJ395:CU395,$E$28:$P$28)</f>
        <v>0</v>
      </c>
      <c r="FT395" s="60" t="n">
        <f aca="false">$O$28*SUMPRODUCT($E$41:$P$41,CJ395:CU395,$E$28:$P$28)</f>
        <v>0</v>
      </c>
      <c r="FU395" s="60" t="n">
        <f aca="false">$P$28*SUMPRODUCT($E$42:$P$42,CJ395:CU395,$E$28:$P$28)</f>
        <v>0</v>
      </c>
      <c r="FV395" s="60" t="n">
        <f aca="false">SUMPRODUCT(CJ395:CU395,FJ395:FU395)</f>
        <v>0.184416866619846</v>
      </c>
      <c r="FW395" s="60" t="n">
        <f aca="false">SUMPRODUCT(CJ395:CU395,$E$27:$P$27)</f>
        <v>2.67389635063809E-005</v>
      </c>
      <c r="FX395" s="60" t="n">
        <f aca="false">FV395*$C$9/($C$10*$C$8)^2</f>
        <v>0.21776909410545</v>
      </c>
      <c r="FY395" s="60" t="n">
        <f aca="false">FW395*$C$9/($C$10*$C$8)</f>
        <v>0.0918845243259994</v>
      </c>
      <c r="FZ395" s="60" t="n">
        <f aca="false">CHOOSE($C$7,-(1+FY395),-1,-(1-FY395))</f>
        <v>-0.908115475674001</v>
      </c>
      <c r="GA395" s="60" t="n">
        <f aca="false">CHOOSE($C$7,FX395,FX395-FY395-FY395^2,FX395-3*FY395^2-2*FY395)</f>
        <v>0.00867174802160559</v>
      </c>
      <c r="GB395" s="60" t="n">
        <f aca="false">CHOOSE($C$7,-FX395*FY395,-FX395*FY395,-(FX395*FY395-FY395^2-FY395^3))</f>
        <v>-0.0107910842936637</v>
      </c>
      <c r="GC395" s="60" t="n">
        <f aca="false">GA395-FZ395^2/3</f>
        <v>-0.266219491031267</v>
      </c>
      <c r="GD395" s="60" t="n">
        <f aca="false">2*FZ395^3/27-FZ395*GA395/3+GB395</f>
        <v>-0.0636400988362784</v>
      </c>
      <c r="GE395" s="60" t="n">
        <f aca="false">GD395^2/4+GC395^3/27</f>
        <v>0.000313710901361829</v>
      </c>
      <c r="GF395" s="60" t="n">
        <f aca="false">-GD395/2-IF(GD395&gt;=0,1,-1)*SQRT(MAX(GE395,0))</f>
        <v>0.0495319352963236</v>
      </c>
      <c r="GG395" s="60" t="n">
        <f aca="false">SIGN(GF395)*ABS(GF395)^(1/3)</f>
        <v>0.367249967174439</v>
      </c>
      <c r="GH395" s="60" t="n">
        <f aca="false">IF(GG395=0,0,GG395-GC395/(3*GG395))</f>
        <v>0.60888329127384</v>
      </c>
      <c r="GI395" s="60" t="n">
        <f aca="false">2*SQRT(MAX(-GC395,0)/3)</f>
        <v>0.595784626668918</v>
      </c>
      <c r="GJ395" s="60" t="n">
        <f aca="false">ACOS(IF(GI395=0,0,MAX(-1,MIN(1,3*GD395/(GC395*GI395)))))</f>
        <v>0</v>
      </c>
      <c r="GK395" s="60" t="n">
        <f aca="false">GI395*COS(GJ395/3)</f>
        <v>0.595784626668918</v>
      </c>
      <c r="GL395" s="60" t="n">
        <f aca="false">IF(GE395&lt;0,GK395,GH395)-FZ395/3</f>
        <v>0.91158844983184</v>
      </c>
      <c r="GM395" s="60" t="n">
        <f aca="false">IFERROR((((GL395+FZ395)*GL395+GA395)*GL395+GB395)/((3*GL395+2*FZ395)*GL395+GA395),0)</f>
        <v>0</v>
      </c>
      <c r="GN395" s="60" t="n">
        <f aca="false">IF(ABS(GM395)&lt;0.1*ABS(GL395),GL395-GM395,GL395)</f>
        <v>0.91158844983184</v>
      </c>
      <c r="GO395" s="60" t="n">
        <f aca="false">IFERROR((((GN395+FZ395)*GN395+GA395)*GN395+GB395)/((3*GN395+2*FZ395)*GN395+GA395),0)</f>
        <v>0</v>
      </c>
      <c r="GP395" s="60" t="n">
        <f aca="false">IF(ABS(GO395)&lt;0.1*ABS(GN395),GN395-GO395,GN395)</f>
        <v>0.91158844983184</v>
      </c>
      <c r="GQ395" s="60" t="n">
        <f aca="false">-GB395/GP395</f>
        <v>0.0118376711504565</v>
      </c>
      <c r="GR395" s="60" t="n">
        <f aca="false">(GA395-GQ395)/GP395</f>
        <v>-0.00347297415783941</v>
      </c>
      <c r="GS395" s="60" t="n">
        <f aca="false">GR395^2-4*GQ395</f>
        <v>-0.0473386230523248</v>
      </c>
      <c r="GT395" s="60" t="n">
        <f aca="false">IF(GS395&gt;=0,(GR395+IF(GR395&gt;=0,1,-1)*SQRT(GS395))/2,0)</f>
        <v>0</v>
      </c>
      <c r="GU395" s="60" t="n">
        <f aca="false">IF(AND(GS395&gt;=0,GT395&lt;&gt;0),MIN(GT395,GQ395/GT395),-1)</f>
        <v>-1</v>
      </c>
      <c r="GV395" s="60" t="n">
        <f aca="false">AND(GS395&gt;=0,GU395&gt;FY395,ABS(GP395-GU395)&gt;=0.00005*MAX(GP395,GU395))</f>
        <v>0</v>
      </c>
      <c r="GW395" s="60" t="n">
        <f aca="false">IF(GV395,IFERROR((((GU395+FZ395)*GU395+GA395)*GU395+GB395)/((3*GU395+2*FZ395)*GU395+GA395),0),0)</f>
        <v>0</v>
      </c>
      <c r="GX395" s="60" t="n">
        <f aca="false">IF(ABS(GW395)&lt;0.1*ABS(GU395),GU395-GW395,GU395)</f>
        <v>-1</v>
      </c>
      <c r="GY395" s="60" t="n">
        <f aca="false">IF(GV395,IFERROR((((GX395+FZ395)*GX395+GA395)*GX395+GB395)/((3*GX395+2*FZ395)*GX395+GA395),0),0)</f>
        <v>0</v>
      </c>
      <c r="GZ395" s="60" t="n">
        <f aca="false">IF(ABS(GY395)&lt;0.1*ABS(GX395),GX395-GY395,GX395)</f>
        <v>-1</v>
      </c>
      <c r="HA395" s="60" t="n">
        <f aca="false">IF(GV395,MAX(GP395,GZ395),GP395)</f>
        <v>0.91158844983184</v>
      </c>
      <c r="HB395" s="60" t="n">
        <f aca="false">IF(GV395,MIN(GP395,GZ395),-1)</f>
        <v>-1</v>
      </c>
      <c r="HC395" s="60" t="n">
        <f aca="false">CHOOSE($C$7,FX395/HA395,FX395/FY395*LN(1+FY395/HA395),FX395/(2*SQRT(2)*FY395)*LN((HA395+(1+SQRT(2))*FY395)/(HA395+(1-SQRT(2))*FY395)))</f>
        <v>0.218240791233887</v>
      </c>
      <c r="HD395" s="60" t="n">
        <f aca="false">HA395-1-LN(HA395-FY395)-HC395</f>
        <v>-0.107840271021729</v>
      </c>
      <c r="HE395" s="60" t="n">
        <f aca="false">IF(GV395,CHOOSE($C$7,FX395/HB395,FX395/FY395*LN(1+FY395/HB395),FX395/(2*SQRT(2)*FY395)*LN((HB395+(1+SQRT(2))*FY395)/(HB395+(1-SQRT(2))*FY395))),0)</f>
        <v>0</v>
      </c>
      <c r="HF395" s="60" t="n">
        <f aca="false">IF(GV395,HB395-1-LN(HB395-FY395)-HE395,0)</f>
        <v>0</v>
      </c>
      <c r="HG395" s="60" t="n">
        <f aca="false">AND(GV395,HF395&lt;HD395)</f>
        <v>0</v>
      </c>
      <c r="HH395" s="60" t="n">
        <f aca="false">IF(HG395,HB395,HA395)</f>
        <v>0.91158844983184</v>
      </c>
      <c r="HI395" s="60" t="n">
        <f aca="false">IF(HG395,HE395,HC395)</f>
        <v>0.218240791233887</v>
      </c>
      <c r="HJ395" s="60" t="n">
        <f aca="false">LN(HH395-FY395)</f>
        <v>-0.198812070380318</v>
      </c>
      <c r="HK395" s="60" t="n">
        <f aca="false">$E$27/FW395*(HH395-1)-HJ395-HI395*(2*FJ395/FV395-$E$27/FW395)</f>
        <v>-0.107840271021729</v>
      </c>
      <c r="HL395" s="60" t="n">
        <f aca="false">$F$27/FW395*(HH395-1)-HJ395-HI395*(2*FK395/FV395-$F$27/FW395)</f>
        <v>0.198812070380318</v>
      </c>
      <c r="HM395" s="60" t="n">
        <f aca="false">$G$27/FW395*(HH395-1)-HJ395-HI395*(2*FL395/FV395-$G$27/FW395)</f>
        <v>0.198812070380318</v>
      </c>
      <c r="HN395" s="60" t="n">
        <f aca="false">$H$27/FW395*(HH395-1)-HJ395-HI395*(2*FM395/FV395-$H$27/FW395)</f>
        <v>0.198812070380318</v>
      </c>
      <c r="HO395" s="60" t="n">
        <f aca="false">$I$27/FW395*(HH395-1)-HJ395-HI395*(2*FN395/FV395-$I$27/FW395)</f>
        <v>0.198812070380318</v>
      </c>
      <c r="HP395" s="60" t="n">
        <f aca="false">$J$27/FW395*(HH395-1)-HJ395-HI395*(2*FO395/FV395-$J$27/FW395)</f>
        <v>0.198812070380318</v>
      </c>
      <c r="HQ395" s="60" t="n">
        <f aca="false">$K$27/FW395*(HH395-1)-HJ395-HI395*(2*FP395/FV395-$K$27/FW395)</f>
        <v>0.198812070380318</v>
      </c>
      <c r="HR395" s="60" t="n">
        <f aca="false">$L$27/FW395*(HH395-1)-HJ395-HI395*(2*FQ395/FV395-$L$27/FW395)</f>
        <v>0.198812070380318</v>
      </c>
      <c r="HS395" s="60" t="n">
        <f aca="false">$M$27/FW395*(HH395-1)-HJ395-HI395*(2*FR395/FV395-$M$27/FW395)</f>
        <v>0.198812070380318</v>
      </c>
      <c r="HT395" s="60" t="n">
        <f aca="false">$N$27/FW395*(HH395-1)-HJ395-HI395*(2*FS395/FV395-$N$27/FW395)</f>
        <v>0.198812070380318</v>
      </c>
      <c r="HU395" s="60" t="n">
        <f aca="false">$O$27/FW395*(HH395-1)-HJ395-HI395*(2*FT395/FV395-$O$27/FW395)</f>
        <v>0.198812070380318</v>
      </c>
      <c r="HV395" s="60" t="n">
        <f aca="false">$P$27/FW395*(HH395-1)-HJ395-HI395*(2*FU395/FV395-$P$27/FW395)</f>
        <v>0.198812070380318</v>
      </c>
      <c r="HW395" s="60" t="n">
        <f aca="false">FY395/HH395&gt;$C$22</f>
        <v>0</v>
      </c>
      <c r="HX395" s="60" t="n">
        <f aca="false">IF($E$13&gt;0,MAX(-300,MIN(300,EW395-HK395)),0)</f>
        <v>0</v>
      </c>
      <c r="HY395" s="60" t="n">
        <f aca="false">IF($F$13&gt;0,MAX(-300,MIN(300,EX395-HL395)),0)</f>
        <v>0</v>
      </c>
      <c r="HZ395" s="60" t="n">
        <f aca="false">IF($G$13&gt;0,MAX(-300,MIN(300,EY395-HM395)),0)</f>
        <v>0</v>
      </c>
      <c r="IA395" s="60" t="n">
        <f aca="false">IF($H$13&gt;0,MAX(-300,MIN(300,EZ395-HN395)),0)</f>
        <v>0</v>
      </c>
      <c r="IB395" s="60" t="n">
        <f aca="false">IF($I$13&gt;0,MAX(-300,MIN(300,FA395-HO395)),0)</f>
        <v>0</v>
      </c>
      <c r="IC395" s="60" t="n">
        <f aca="false">IF($J$13&gt;0,MAX(-300,MIN(300,FB395-HP395)),0)</f>
        <v>0</v>
      </c>
      <c r="ID395" s="60" t="n">
        <f aca="false">IF($K$13&gt;0,MAX(-300,MIN(300,FC395-HQ395)),0)</f>
        <v>0</v>
      </c>
      <c r="IE395" s="60" t="n">
        <f aca="false">IF($L$13&gt;0,MAX(-300,MIN(300,FD395-HR395)),0)</f>
        <v>0</v>
      </c>
      <c r="IF395" s="60" t="n">
        <f aca="false">IF($M$13&gt;0,MAX(-300,MIN(300,FE395-HS395)),0)</f>
        <v>0</v>
      </c>
      <c r="IG395" s="60" t="n">
        <f aca="false">IF($N$13&gt;0,MAX(-300,MIN(300,FF395-HT395)),0)</f>
        <v>0</v>
      </c>
      <c r="IH395" s="60" t="n">
        <f aca="false">IF($O$13&gt;0,MAX(-300,MIN(300,FG395-HU395)),0)</f>
        <v>0</v>
      </c>
      <c r="II395" s="60" t="n">
        <f aca="false">IF($P$13&gt;0,MAX(-300,MIN(300,FH395-HV395)),0)</f>
        <v>0</v>
      </c>
      <c r="IJ395" s="60" t="n">
        <f aca="false">SUMXMY2(HX395:II395,B395:M395)</f>
        <v>0</v>
      </c>
      <c r="IK395" s="60" t="n">
        <f aca="false">SUMSQ(B395:M395)</f>
        <v>0</v>
      </c>
    </row>
    <row r="396" customFormat="false" ht="15" hidden="false" customHeight="false" outlineLevel="0" collapsed="false">
      <c r="A396" s="59" t="n">
        <v>35</v>
      </c>
      <c r="B396" s="60" t="n">
        <f aca="false">HX395</f>
        <v>0</v>
      </c>
      <c r="C396" s="60" t="n">
        <f aca="false">HY395</f>
        <v>0</v>
      </c>
      <c r="D396" s="60" t="n">
        <f aca="false">HZ395</f>
        <v>0</v>
      </c>
      <c r="E396" s="60" t="n">
        <f aca="false">IA395</f>
        <v>0</v>
      </c>
      <c r="F396" s="60" t="n">
        <f aca="false">IB395</f>
        <v>0</v>
      </c>
      <c r="G396" s="60" t="n">
        <f aca="false">IC395</f>
        <v>0</v>
      </c>
      <c r="H396" s="60" t="n">
        <f aca="false">ID395</f>
        <v>0</v>
      </c>
      <c r="I396" s="60" t="n">
        <f aca="false">IE395</f>
        <v>0</v>
      </c>
      <c r="J396" s="60" t="n">
        <f aca="false">IF395</f>
        <v>0</v>
      </c>
      <c r="K396" s="60" t="n">
        <f aca="false">IG395</f>
        <v>0</v>
      </c>
      <c r="L396" s="60" t="n">
        <f aca="false">IH395</f>
        <v>0</v>
      </c>
      <c r="M396" s="60" t="n">
        <f aca="false">II395</f>
        <v>0</v>
      </c>
      <c r="N396" s="60" t="n">
        <f aca="false">EXP(B396)</f>
        <v>1</v>
      </c>
      <c r="O396" s="60" t="n">
        <f aca="false">EXP(C396)</f>
        <v>1</v>
      </c>
      <c r="P396" s="60" t="n">
        <f aca="false">EXP(D396)</f>
        <v>1</v>
      </c>
      <c r="Q396" s="60" t="n">
        <f aca="false">EXP(E396)</f>
        <v>1</v>
      </c>
      <c r="R396" s="60" t="n">
        <f aca="false">EXP(F396)</f>
        <v>1</v>
      </c>
      <c r="S396" s="60" t="n">
        <f aca="false">EXP(G396)</f>
        <v>1</v>
      </c>
      <c r="T396" s="60" t="n">
        <f aca="false">EXP(H396)</f>
        <v>1</v>
      </c>
      <c r="U396" s="60" t="n">
        <f aca="false">EXP(I396)</f>
        <v>1</v>
      </c>
      <c r="V396" s="60" t="n">
        <f aca="false">EXP(J396)</f>
        <v>1</v>
      </c>
      <c r="W396" s="60" t="n">
        <f aca="false">EXP(K396)</f>
        <v>1</v>
      </c>
      <c r="X396" s="60" t="n">
        <f aca="false">EXP(L396)</f>
        <v>1</v>
      </c>
      <c r="Y396" s="60" t="n">
        <f aca="false">EXP(M396)</f>
        <v>1</v>
      </c>
      <c r="Z396" s="60" t="n">
        <f aca="false">MAX(N396:Y396)</f>
        <v>1</v>
      </c>
      <c r="AA396" s="60" t="n">
        <f aca="false">MIN(N396:Y396)</f>
        <v>1</v>
      </c>
      <c r="AB396" s="60" t="n">
        <f aca="false">AND(Z396&gt;1,AA396&lt;1)</f>
        <v>0</v>
      </c>
      <c r="AC396" s="60" t="n">
        <f aca="false">IF(AB396,1/(1-Z396),0)</f>
        <v>0</v>
      </c>
      <c r="AD396" s="60" t="n">
        <f aca="false">IF(AB396,1/(1-AA396),1)</f>
        <v>1</v>
      </c>
      <c r="AE396" s="60" t="n">
        <f aca="false">IF(AB396,MIN(MAX(BI395,AC396+0.000000001*(AD396-AC396)),AD396-0.000000001*(AD396-AC396)),IF(AA396&gt;=1,1,0))</f>
        <v>1</v>
      </c>
      <c r="AF396" s="60" t="n">
        <f aca="false">SUMPRODUCT($E$13:$P$13*(N396:Y396-1)/(1+AE396*(N396:Y396-1)))</f>
        <v>0</v>
      </c>
      <c r="AG396" s="60" t="n">
        <f aca="false">-SUMPRODUCT($E$13:$P$13*(N396:Y396-1)^2/(1+AE396*(N396:Y396-1))^2)</f>
        <v>-0</v>
      </c>
      <c r="AH396" s="60" t="n">
        <f aca="false">IF(OR(NOT(AB396),AG396=0),AE396,IF(AE396-AF396/AG396&lt;=AC396,(AE396+AC396)/2,IF(AE396-AF396/AG396&gt;=AD396,(AE396+AD396)/2,AE396-AF396/AG396)))</f>
        <v>1</v>
      </c>
      <c r="AI396" s="60" t="n">
        <f aca="false">SUMPRODUCT($E$13:$P$13*(N396:Y396-1)/(1+AH396*(N396:Y396-1)))</f>
        <v>0</v>
      </c>
      <c r="AJ396" s="60" t="n">
        <f aca="false">-SUMPRODUCT($E$13:$P$13*(N396:Y396-1)^2/(1+AH396*(N396:Y396-1))^2)</f>
        <v>-0</v>
      </c>
      <c r="AK396" s="60" t="n">
        <f aca="false">IF(OR(NOT(AB396),AJ396=0),AH396,IF(AH396-AI396/AJ396&lt;=AC396,(AH396+AC396)/2,IF(AH396-AI396/AJ396&gt;=AD396,(AH396+AD396)/2,AH396-AI396/AJ396)))</f>
        <v>1</v>
      </c>
      <c r="AL396" s="60" t="n">
        <f aca="false">SUMPRODUCT($E$13:$P$13*(N396:Y396-1)/(1+AK396*(N396:Y396-1)))</f>
        <v>0</v>
      </c>
      <c r="AM396" s="60" t="n">
        <f aca="false">-SUMPRODUCT($E$13:$P$13*(N396:Y396-1)^2/(1+AK396*(N396:Y396-1))^2)</f>
        <v>-0</v>
      </c>
      <c r="AN396" s="60" t="n">
        <f aca="false">IF(OR(NOT(AB396),AM396=0),AK396,IF(AK396-AL396/AM396&lt;=AC396,(AK396+AC396)/2,IF(AK396-AL396/AM396&gt;=AD396,(AK396+AD396)/2,AK396-AL396/AM396)))</f>
        <v>1</v>
      </c>
      <c r="AO396" s="60" t="n">
        <f aca="false">SUMPRODUCT($E$13:$P$13*(N396:Y396-1)/(1+AN396*(N396:Y396-1)))</f>
        <v>0</v>
      </c>
      <c r="AP396" s="60" t="n">
        <f aca="false">-SUMPRODUCT($E$13:$P$13*(N396:Y396-1)^2/(1+AN396*(N396:Y396-1))^2)</f>
        <v>-0</v>
      </c>
      <c r="AQ396" s="60" t="n">
        <f aca="false">IF(OR(NOT(AB396),AP396=0),AN396,IF(AN396-AO396/AP396&lt;=AC396,(AN396+AC396)/2,IF(AN396-AO396/AP396&gt;=AD396,(AN396+AD396)/2,AN396-AO396/AP396)))</f>
        <v>1</v>
      </c>
      <c r="AR396" s="60" t="n">
        <f aca="false">SUMPRODUCT($E$13:$P$13*(N396:Y396-1)/(1+AQ396*(N396:Y396-1)))</f>
        <v>0</v>
      </c>
      <c r="AS396" s="60" t="n">
        <f aca="false">-SUMPRODUCT($E$13:$P$13*(N396:Y396-1)^2/(1+AQ396*(N396:Y396-1))^2)</f>
        <v>-0</v>
      </c>
      <c r="AT396" s="60" t="n">
        <f aca="false">IF(OR(NOT(AB396),AS396=0),AQ396,IF(AQ396-AR396/AS396&lt;=AC396,(AQ396+AC396)/2,IF(AQ396-AR396/AS396&gt;=AD396,(AQ396+AD396)/2,AQ396-AR396/AS396)))</f>
        <v>1</v>
      </c>
      <c r="AU396" s="60" t="n">
        <f aca="false">SUMPRODUCT($E$13:$P$13*(N396:Y396-1)/(1+AT396*(N396:Y396-1)))</f>
        <v>0</v>
      </c>
      <c r="AV396" s="60" t="n">
        <f aca="false">-SUMPRODUCT($E$13:$P$13*(N396:Y396-1)^2/(1+AT396*(N396:Y396-1))^2)</f>
        <v>-0</v>
      </c>
      <c r="AW396" s="60" t="n">
        <f aca="false">IF(OR(NOT(AB396),AV396=0),AT396,IF(AT396-AU396/AV396&lt;=AC396,(AT396+AC396)/2,IF(AT396-AU396/AV396&gt;=AD396,(AT396+AD396)/2,AT396-AU396/AV396)))</f>
        <v>1</v>
      </c>
      <c r="AX396" s="60" t="n">
        <f aca="false">SUMPRODUCT($E$13:$P$13*(N396:Y396-1)/(1+AW396*(N396:Y396-1)))</f>
        <v>0</v>
      </c>
      <c r="AY396" s="60" t="n">
        <f aca="false">-SUMPRODUCT($E$13:$P$13*(N396:Y396-1)^2/(1+AW396*(N396:Y396-1))^2)</f>
        <v>-0</v>
      </c>
      <c r="AZ396" s="60" t="n">
        <f aca="false">IF(OR(NOT(AB396),AY396=0),AW396,IF(AW396-AX396/AY396&lt;=AC396,(AW396+AC396)/2,IF(AW396-AX396/AY396&gt;=AD396,(AW396+AD396)/2,AW396-AX396/AY396)))</f>
        <v>1</v>
      </c>
      <c r="BA396" s="60" t="n">
        <f aca="false">SUMPRODUCT($E$13:$P$13*(N396:Y396-1)/(1+AZ396*(N396:Y396-1)))</f>
        <v>0</v>
      </c>
      <c r="BB396" s="60" t="n">
        <f aca="false">-SUMPRODUCT($E$13:$P$13*(N396:Y396-1)^2/(1+AZ396*(N396:Y396-1))^2)</f>
        <v>-0</v>
      </c>
      <c r="BC396" s="60" t="n">
        <f aca="false">IF(OR(NOT(AB396),BB396=0),AZ396,IF(AZ396-BA396/BB396&lt;=AC396,(AZ396+AC396)/2,IF(AZ396-BA396/BB396&gt;=AD396,(AZ396+AD396)/2,AZ396-BA396/BB396)))</f>
        <v>1</v>
      </c>
      <c r="BD396" s="60" t="n">
        <f aca="false">SUMPRODUCT($E$13:$P$13*(N396:Y396-1)/(1+BC396*(N396:Y396-1)))</f>
        <v>0</v>
      </c>
      <c r="BE396" s="60" t="n">
        <f aca="false">-SUMPRODUCT($E$13:$P$13*(N396:Y396-1)^2/(1+BC396*(N396:Y396-1))^2)</f>
        <v>-0</v>
      </c>
      <c r="BF396" s="60" t="n">
        <f aca="false">IF(OR(NOT(AB396),BE396=0),BC396,IF(BC396-BD396/BE396&lt;=AC396,(BC396+AC396)/2,IF(BC396-BD396/BE396&gt;=AD396,(BC396+AD396)/2,BC396-BD396/BE396)))</f>
        <v>1</v>
      </c>
      <c r="BG396" s="60" t="n">
        <f aca="false">SUMPRODUCT($E$13:$P$13*(N396:Y396-1)/(1+BF396*(N396:Y396-1)))</f>
        <v>0</v>
      </c>
      <c r="BH396" s="60" t="n">
        <f aca="false">-SUMPRODUCT($E$13:$P$13*(N396:Y396-1)^2/(1+BF396*(N396:Y396-1))^2)</f>
        <v>-0</v>
      </c>
      <c r="BI396" s="60" t="n">
        <f aca="false">IF(OR(NOT(AB396),BH396=0),BF396,IF(BF396-BG396/BH396&lt;=AC396,(BF396+AC396)/2,IF(BF396-BG396/BH396&gt;=AD396,(BF396+AD396)/2,BF396-BG396/BH396)))</f>
        <v>1</v>
      </c>
      <c r="BJ396" s="60" t="n">
        <f aca="false">$E$13/(1+BI396*(N396-1))</f>
        <v>1</v>
      </c>
      <c r="BK396" s="60" t="n">
        <f aca="false">$F$13/(1+BI396*(O396-1))</f>
        <v>0</v>
      </c>
      <c r="BL396" s="60" t="n">
        <f aca="false">$G$13/(1+BI396*(P396-1))</f>
        <v>0</v>
      </c>
      <c r="BM396" s="60" t="n">
        <f aca="false">$H$13/(1+BI396*(Q396-1))</f>
        <v>0</v>
      </c>
      <c r="BN396" s="60" t="n">
        <f aca="false">$I$13/(1+BI396*(R396-1))</f>
        <v>0</v>
      </c>
      <c r="BO396" s="60" t="n">
        <f aca="false">$J$13/(1+BI396*(S396-1))</f>
        <v>0</v>
      </c>
      <c r="BP396" s="60" t="n">
        <f aca="false">$K$13/(1+BI396*(T396-1))</f>
        <v>0</v>
      </c>
      <c r="BQ396" s="60" t="n">
        <f aca="false">$L$13/(1+BI396*(U396-1))</f>
        <v>0</v>
      </c>
      <c r="BR396" s="60" t="n">
        <f aca="false">$M$13/(1+BI396*(V396-1))</f>
        <v>0</v>
      </c>
      <c r="BS396" s="60" t="n">
        <f aca="false">$N$13/(1+BI396*(W396-1))</f>
        <v>0</v>
      </c>
      <c r="BT396" s="60" t="n">
        <f aca="false">$O$13/(1+BI396*(X396-1))</f>
        <v>0</v>
      </c>
      <c r="BU396" s="60" t="n">
        <f aca="false">$P$13/(1+BI396*(Y396-1))</f>
        <v>0</v>
      </c>
      <c r="BV396" s="60" t="n">
        <f aca="false">SUM(BJ396:BU396)</f>
        <v>1</v>
      </c>
      <c r="BW396" s="60" t="n">
        <f aca="false">SUMPRODUCT(N396:Y396,BJ396:BU396)</f>
        <v>1</v>
      </c>
      <c r="BX396" s="60" t="n">
        <f aca="false">BJ396/BV396</f>
        <v>1</v>
      </c>
      <c r="BY396" s="60" t="n">
        <f aca="false">BK396/BV396</f>
        <v>0</v>
      </c>
      <c r="BZ396" s="60" t="n">
        <f aca="false">BL396/BV396</f>
        <v>0</v>
      </c>
      <c r="CA396" s="60" t="n">
        <f aca="false">BM396/BV396</f>
        <v>0</v>
      </c>
      <c r="CB396" s="60" t="n">
        <f aca="false">BN396/BV396</f>
        <v>0</v>
      </c>
      <c r="CC396" s="60" t="n">
        <f aca="false">BO396/BV396</f>
        <v>0</v>
      </c>
      <c r="CD396" s="60" t="n">
        <f aca="false">BP396/BV396</f>
        <v>0</v>
      </c>
      <c r="CE396" s="60" t="n">
        <f aca="false">BQ396/BV396</f>
        <v>0</v>
      </c>
      <c r="CF396" s="60" t="n">
        <f aca="false">BR396/BV396</f>
        <v>0</v>
      </c>
      <c r="CG396" s="60" t="n">
        <f aca="false">BS396/BV396</f>
        <v>0</v>
      </c>
      <c r="CH396" s="60" t="n">
        <f aca="false">BT396/BV396</f>
        <v>0</v>
      </c>
      <c r="CI396" s="60" t="n">
        <f aca="false">BU396/BV396</f>
        <v>0</v>
      </c>
      <c r="CJ396" s="60" t="n">
        <f aca="false">N396*BJ396/BW396</f>
        <v>1</v>
      </c>
      <c r="CK396" s="60" t="n">
        <f aca="false">O396*BK396/BW396</f>
        <v>0</v>
      </c>
      <c r="CL396" s="60" t="n">
        <f aca="false">P396*BL396/BW396</f>
        <v>0</v>
      </c>
      <c r="CM396" s="60" t="n">
        <f aca="false">Q396*BM396/BW396</f>
        <v>0</v>
      </c>
      <c r="CN396" s="60" t="n">
        <f aca="false">R396*BN396/BW396</f>
        <v>0</v>
      </c>
      <c r="CO396" s="60" t="n">
        <f aca="false">S396*BO396/BW396</f>
        <v>0</v>
      </c>
      <c r="CP396" s="60" t="n">
        <f aca="false">T396*BP396/BW396</f>
        <v>0</v>
      </c>
      <c r="CQ396" s="60" t="n">
        <f aca="false">U396*BQ396/BW396</f>
        <v>0</v>
      </c>
      <c r="CR396" s="60" t="n">
        <f aca="false">V396*BR396/BW396</f>
        <v>0</v>
      </c>
      <c r="CS396" s="60" t="n">
        <f aca="false">W396*BS396/BW396</f>
        <v>0</v>
      </c>
      <c r="CT396" s="60" t="n">
        <f aca="false">X396*BT396/BW396</f>
        <v>0</v>
      </c>
      <c r="CU396" s="60" t="n">
        <f aca="false">Y396*BU396/BW396</f>
        <v>0</v>
      </c>
      <c r="CV396" s="60" t="n">
        <f aca="false">$E$28*SUMPRODUCT($E$31:$P$31,BX396:CI396,$E$28:$P$28)</f>
        <v>0.184416866619846</v>
      </c>
      <c r="CW396" s="60" t="n">
        <f aca="false">$F$28*SUMPRODUCT($E$32:$P$32,BX396:CI396,$E$28:$P$28)</f>
        <v>0</v>
      </c>
      <c r="CX396" s="60" t="n">
        <f aca="false">$G$28*SUMPRODUCT($E$33:$P$33,BX396:CI396,$E$28:$P$28)</f>
        <v>0</v>
      </c>
      <c r="CY396" s="60" t="n">
        <f aca="false">$H$28*SUMPRODUCT($E$34:$P$34,BX396:CI396,$E$28:$P$28)</f>
        <v>0</v>
      </c>
      <c r="CZ396" s="60" t="n">
        <f aca="false">$I$28*SUMPRODUCT($E$35:$P$35,BX396:CI396,$E$28:$P$28)</f>
        <v>0</v>
      </c>
      <c r="DA396" s="60" t="n">
        <f aca="false">$J$28*SUMPRODUCT($E$36:$P$36,BX396:CI396,$E$28:$P$28)</f>
        <v>0</v>
      </c>
      <c r="DB396" s="60" t="n">
        <f aca="false">$K$28*SUMPRODUCT($E$37:$P$37,BX396:CI396,$E$28:$P$28)</f>
        <v>0</v>
      </c>
      <c r="DC396" s="60" t="n">
        <f aca="false">$L$28*SUMPRODUCT($E$38:$P$38,BX396:CI396,$E$28:$P$28)</f>
        <v>0</v>
      </c>
      <c r="DD396" s="60" t="n">
        <f aca="false">$M$28*SUMPRODUCT($E$39:$P$39,BX396:CI396,$E$28:$P$28)</f>
        <v>0</v>
      </c>
      <c r="DE396" s="60" t="n">
        <f aca="false">$N$28*SUMPRODUCT($E$40:$P$40,BX396:CI396,$E$28:$P$28)</f>
        <v>0</v>
      </c>
      <c r="DF396" s="60" t="n">
        <f aca="false">$O$28*SUMPRODUCT($E$41:$P$41,BX396:CI396,$E$28:$P$28)</f>
        <v>0</v>
      </c>
      <c r="DG396" s="60" t="n">
        <f aca="false">$P$28*SUMPRODUCT($E$42:$P$42,BX396:CI396,$E$28:$P$28)</f>
        <v>0</v>
      </c>
      <c r="DH396" s="60" t="n">
        <f aca="false">SUMPRODUCT(BX396:CI396,CV396:DG396)</f>
        <v>0.184416866619846</v>
      </c>
      <c r="DI396" s="60" t="n">
        <f aca="false">SUMPRODUCT(BX396:CI396,$E$27:$P$27)</f>
        <v>2.67389635063809E-005</v>
      </c>
      <c r="DJ396" s="60" t="n">
        <f aca="false">DH396*$C$9/($C$10*$C$8)^2</f>
        <v>0.21776909410545</v>
      </c>
      <c r="DK396" s="60" t="n">
        <f aca="false">DI396*$C$9/($C$10*$C$8)</f>
        <v>0.0918845243259994</v>
      </c>
      <c r="DL396" s="60" t="n">
        <f aca="false">CHOOSE($C$7,-(1+DK396),-1,-(1-DK396))</f>
        <v>-0.908115475674001</v>
      </c>
      <c r="DM396" s="60" t="n">
        <f aca="false">CHOOSE($C$7,DJ396,DJ396-DK396-DK396^2,DJ396-3*DK396^2-2*DK396)</f>
        <v>0.00867174802160559</v>
      </c>
      <c r="DN396" s="60" t="n">
        <f aca="false">CHOOSE($C$7,-DJ396*DK396,-DJ396*DK396,-(DJ396*DK396-DK396^2-DK396^3))</f>
        <v>-0.0107910842936637</v>
      </c>
      <c r="DO396" s="60" t="n">
        <f aca="false">DM396-DL396^2/3</f>
        <v>-0.266219491031267</v>
      </c>
      <c r="DP396" s="60" t="n">
        <f aca="false">2*DL396^3/27-DL396*DM396/3+DN396</f>
        <v>-0.0636400988362784</v>
      </c>
      <c r="DQ396" s="60" t="n">
        <f aca="false">DP396^2/4+DO396^3/27</f>
        <v>0.000313710901361829</v>
      </c>
      <c r="DR396" s="60" t="n">
        <f aca="false">-DP396/2-IF(DP396&gt;=0,1,-1)*SQRT(MAX(DQ396,0))</f>
        <v>0.0495319352963236</v>
      </c>
      <c r="DS396" s="60" t="n">
        <f aca="false">SIGN(DR396)*ABS(DR396)^(1/3)</f>
        <v>0.367249967174439</v>
      </c>
      <c r="DT396" s="60" t="n">
        <f aca="false">IF(DS396=0,0,DS396-DO396/(3*DS396))</f>
        <v>0.60888329127384</v>
      </c>
      <c r="DU396" s="60" t="n">
        <f aca="false">2*SQRT(MAX(-DO396,0)/3)</f>
        <v>0.595784626668918</v>
      </c>
      <c r="DV396" s="60" t="n">
        <f aca="false">ACOS(IF(DU396=0,0,MAX(-1,MIN(1,3*DP396/(DO396*DU396)))))</f>
        <v>0</v>
      </c>
      <c r="DW396" s="60" t="n">
        <f aca="false">DU396*COS(DV396/3)</f>
        <v>0.595784626668918</v>
      </c>
      <c r="DX396" s="60" t="n">
        <f aca="false">IF(DQ396&lt;0,DW396,DT396)-DL396/3</f>
        <v>0.91158844983184</v>
      </c>
      <c r="DY396" s="60" t="n">
        <f aca="false">IFERROR((((DX396+DL396)*DX396+DM396)*DX396+DN396)/((3*DX396+2*DL396)*DX396+DM396),0)</f>
        <v>0</v>
      </c>
      <c r="DZ396" s="60" t="n">
        <f aca="false">IF(ABS(DY396)&lt;0.1*ABS(DX396),DX396-DY396,DX396)</f>
        <v>0.91158844983184</v>
      </c>
      <c r="EA396" s="60" t="n">
        <f aca="false">IFERROR((((DZ396+DL396)*DZ396+DM396)*DZ396+DN396)/((3*DZ396+2*DL396)*DZ396+DM396),0)</f>
        <v>0</v>
      </c>
      <c r="EB396" s="60" t="n">
        <f aca="false">IF(ABS(EA396)&lt;0.1*ABS(DZ396),DZ396-EA396,DZ396)</f>
        <v>0.91158844983184</v>
      </c>
      <c r="EC396" s="60" t="n">
        <f aca="false">-DN396/EB396</f>
        <v>0.0118376711504565</v>
      </c>
      <c r="ED396" s="60" t="n">
        <f aca="false">(DM396-EC396)/EB396</f>
        <v>-0.00347297415783941</v>
      </c>
      <c r="EE396" s="60" t="n">
        <f aca="false">ED396^2-4*EC396</f>
        <v>-0.0473386230523248</v>
      </c>
      <c r="EF396" s="60" t="n">
        <f aca="false">IF(EE396&gt;=0,(ED396+IF(ED396&gt;=0,1,-1)*SQRT(EE396))/2,0)</f>
        <v>0</v>
      </c>
      <c r="EG396" s="60" t="n">
        <f aca="false">IF(AND(EE396&gt;=0,EF396&lt;&gt;0),MIN(EF396,EC396/EF396),-1)</f>
        <v>-1</v>
      </c>
      <c r="EH396" s="60" t="n">
        <f aca="false">AND(EE396&gt;=0,EG396&gt;DK396,ABS(EB396-EG396)&gt;=0.00005*MAX(EB396,EG396))</f>
        <v>0</v>
      </c>
      <c r="EI396" s="60" t="n">
        <f aca="false">IF(EH396,IFERROR((((EG396+DL396)*EG396+DM396)*EG396+DN396)/((3*EG396+2*DL396)*EG396+DM396),0),0)</f>
        <v>0</v>
      </c>
      <c r="EJ396" s="60" t="n">
        <f aca="false">IF(ABS(EI396)&lt;0.1*ABS(EG396),EG396-EI396,EG396)</f>
        <v>-1</v>
      </c>
      <c r="EK396" s="60" t="n">
        <f aca="false">IF(EH396,IFERROR((((EJ396+DL396)*EJ396+DM396)*EJ396+DN396)/((3*EJ396+2*DL396)*EJ396+DM396),0),0)</f>
        <v>0</v>
      </c>
      <c r="EL396" s="60" t="n">
        <f aca="false">IF(ABS(EK396)&lt;0.1*ABS(EJ396),EJ396-EK396,EJ396)</f>
        <v>-1</v>
      </c>
      <c r="EM396" s="60" t="n">
        <f aca="false">IF(EH396,MAX(EB396,EL396),EB396)</f>
        <v>0.91158844983184</v>
      </c>
      <c r="EN396" s="60" t="n">
        <f aca="false">IF(EH396,MIN(EB396,EL396),-1)</f>
        <v>-1</v>
      </c>
      <c r="EO396" s="60" t="n">
        <f aca="false">CHOOSE($C$7,DJ396/EM396,DJ396/DK396*LN(1+DK396/EM396),DJ396/(2*SQRT(2)*DK396)*LN((EM396+(1+SQRT(2))*DK396)/(EM396+(1-SQRT(2))*DK396)))</f>
        <v>0.218240791233887</v>
      </c>
      <c r="EP396" s="60" t="n">
        <f aca="false">EM396-1-LN(EM396-DK396)-EO396</f>
        <v>-0.107840271021729</v>
      </c>
      <c r="EQ396" s="60" t="n">
        <f aca="false">IF(EH396,CHOOSE($C$7,DJ396/EN396,DJ396/DK396*LN(1+DK396/EN396),DJ396/(2*SQRT(2)*DK396)*LN((EN396+(1+SQRT(2))*DK396)/(EN396+(1-SQRT(2))*DK396))),0)</f>
        <v>0</v>
      </c>
      <c r="ER396" s="60" t="n">
        <f aca="false">IF(EH396,EN396-1-LN(EN396-DK396)-EQ396,0)</f>
        <v>0</v>
      </c>
      <c r="ES396" s="60" t="n">
        <f aca="false">AND(EH396,ER396&lt;EP396)</f>
        <v>0</v>
      </c>
      <c r="ET396" s="60" t="n">
        <f aca="false">IF(ES396,EN396,EM396)</f>
        <v>0.91158844983184</v>
      </c>
      <c r="EU396" s="60" t="n">
        <f aca="false">IF(ES396,EQ396,EO396)</f>
        <v>0.218240791233887</v>
      </c>
      <c r="EV396" s="60" t="n">
        <f aca="false">LN(ET396-DK396)</f>
        <v>-0.198812070380318</v>
      </c>
      <c r="EW396" s="60" t="n">
        <f aca="false">$E$27/DI396*(ET396-1)-EV396-EU396*(2*CV396/DH396-$E$27/DI396)</f>
        <v>-0.107840271021729</v>
      </c>
      <c r="EX396" s="60" t="n">
        <f aca="false">$F$27/DI396*(ET396-1)-EV396-EU396*(2*CW396/DH396-$F$27/DI396)</f>
        <v>0.198812070380318</v>
      </c>
      <c r="EY396" s="60" t="n">
        <f aca="false">$G$27/DI396*(ET396-1)-EV396-EU396*(2*CX396/DH396-$G$27/DI396)</f>
        <v>0.198812070380318</v>
      </c>
      <c r="EZ396" s="60" t="n">
        <f aca="false">$H$27/DI396*(ET396-1)-EV396-EU396*(2*CY396/DH396-$H$27/DI396)</f>
        <v>0.198812070380318</v>
      </c>
      <c r="FA396" s="60" t="n">
        <f aca="false">$I$27/DI396*(ET396-1)-EV396-EU396*(2*CZ396/DH396-$I$27/DI396)</f>
        <v>0.198812070380318</v>
      </c>
      <c r="FB396" s="60" t="n">
        <f aca="false">$J$27/DI396*(ET396-1)-EV396-EU396*(2*DA396/DH396-$J$27/DI396)</f>
        <v>0.198812070380318</v>
      </c>
      <c r="FC396" s="60" t="n">
        <f aca="false">$K$27/DI396*(ET396-1)-EV396-EU396*(2*DB396/DH396-$K$27/DI396)</f>
        <v>0.198812070380318</v>
      </c>
      <c r="FD396" s="60" t="n">
        <f aca="false">$L$27/DI396*(ET396-1)-EV396-EU396*(2*DC396/DH396-$L$27/DI396)</f>
        <v>0.198812070380318</v>
      </c>
      <c r="FE396" s="60" t="n">
        <f aca="false">$M$27/DI396*(ET396-1)-EV396-EU396*(2*DD396/DH396-$M$27/DI396)</f>
        <v>0.198812070380318</v>
      </c>
      <c r="FF396" s="60" t="n">
        <f aca="false">$N$27/DI396*(ET396-1)-EV396-EU396*(2*DE396/DH396-$N$27/DI396)</f>
        <v>0.198812070380318</v>
      </c>
      <c r="FG396" s="60" t="n">
        <f aca="false">$O$27/DI396*(ET396-1)-EV396-EU396*(2*DF396/DH396-$O$27/DI396)</f>
        <v>0.198812070380318</v>
      </c>
      <c r="FH396" s="60" t="n">
        <f aca="false">$P$27/DI396*(ET396-1)-EV396-EU396*(2*DG396/DH396-$P$27/DI396)</f>
        <v>0.198812070380318</v>
      </c>
      <c r="FI396" s="60" t="n">
        <f aca="false">DK396/ET396&gt;$C$22</f>
        <v>0</v>
      </c>
      <c r="FJ396" s="60" t="n">
        <f aca="false">$E$28*SUMPRODUCT($E$31:$P$31,CJ396:CU396,$E$28:$P$28)</f>
        <v>0.184416866619846</v>
      </c>
      <c r="FK396" s="60" t="n">
        <f aca="false">$F$28*SUMPRODUCT($E$32:$P$32,CJ396:CU396,$E$28:$P$28)</f>
        <v>0</v>
      </c>
      <c r="FL396" s="60" t="n">
        <f aca="false">$G$28*SUMPRODUCT($E$33:$P$33,CJ396:CU396,$E$28:$P$28)</f>
        <v>0</v>
      </c>
      <c r="FM396" s="60" t="n">
        <f aca="false">$H$28*SUMPRODUCT($E$34:$P$34,CJ396:CU396,$E$28:$P$28)</f>
        <v>0</v>
      </c>
      <c r="FN396" s="60" t="n">
        <f aca="false">$I$28*SUMPRODUCT($E$35:$P$35,CJ396:CU396,$E$28:$P$28)</f>
        <v>0</v>
      </c>
      <c r="FO396" s="60" t="n">
        <f aca="false">$J$28*SUMPRODUCT($E$36:$P$36,CJ396:CU396,$E$28:$P$28)</f>
        <v>0</v>
      </c>
      <c r="FP396" s="60" t="n">
        <f aca="false">$K$28*SUMPRODUCT($E$37:$P$37,CJ396:CU396,$E$28:$P$28)</f>
        <v>0</v>
      </c>
      <c r="FQ396" s="60" t="n">
        <f aca="false">$L$28*SUMPRODUCT($E$38:$P$38,CJ396:CU396,$E$28:$P$28)</f>
        <v>0</v>
      </c>
      <c r="FR396" s="60" t="n">
        <f aca="false">$M$28*SUMPRODUCT($E$39:$P$39,CJ396:CU396,$E$28:$P$28)</f>
        <v>0</v>
      </c>
      <c r="FS396" s="60" t="n">
        <f aca="false">$N$28*SUMPRODUCT($E$40:$P$40,CJ396:CU396,$E$28:$P$28)</f>
        <v>0</v>
      </c>
      <c r="FT396" s="60" t="n">
        <f aca="false">$O$28*SUMPRODUCT($E$41:$P$41,CJ396:CU396,$E$28:$P$28)</f>
        <v>0</v>
      </c>
      <c r="FU396" s="60" t="n">
        <f aca="false">$P$28*SUMPRODUCT($E$42:$P$42,CJ396:CU396,$E$28:$P$28)</f>
        <v>0</v>
      </c>
      <c r="FV396" s="60" t="n">
        <f aca="false">SUMPRODUCT(CJ396:CU396,FJ396:FU396)</f>
        <v>0.184416866619846</v>
      </c>
      <c r="FW396" s="60" t="n">
        <f aca="false">SUMPRODUCT(CJ396:CU396,$E$27:$P$27)</f>
        <v>2.67389635063809E-005</v>
      </c>
      <c r="FX396" s="60" t="n">
        <f aca="false">FV396*$C$9/($C$10*$C$8)^2</f>
        <v>0.21776909410545</v>
      </c>
      <c r="FY396" s="60" t="n">
        <f aca="false">FW396*$C$9/($C$10*$C$8)</f>
        <v>0.0918845243259994</v>
      </c>
      <c r="FZ396" s="60" t="n">
        <f aca="false">CHOOSE($C$7,-(1+FY396),-1,-(1-FY396))</f>
        <v>-0.908115475674001</v>
      </c>
      <c r="GA396" s="60" t="n">
        <f aca="false">CHOOSE($C$7,FX396,FX396-FY396-FY396^2,FX396-3*FY396^2-2*FY396)</f>
        <v>0.00867174802160559</v>
      </c>
      <c r="GB396" s="60" t="n">
        <f aca="false">CHOOSE($C$7,-FX396*FY396,-FX396*FY396,-(FX396*FY396-FY396^2-FY396^3))</f>
        <v>-0.0107910842936637</v>
      </c>
      <c r="GC396" s="60" t="n">
        <f aca="false">GA396-FZ396^2/3</f>
        <v>-0.266219491031267</v>
      </c>
      <c r="GD396" s="60" t="n">
        <f aca="false">2*FZ396^3/27-FZ396*GA396/3+GB396</f>
        <v>-0.0636400988362784</v>
      </c>
      <c r="GE396" s="60" t="n">
        <f aca="false">GD396^2/4+GC396^3/27</f>
        <v>0.000313710901361829</v>
      </c>
      <c r="GF396" s="60" t="n">
        <f aca="false">-GD396/2-IF(GD396&gt;=0,1,-1)*SQRT(MAX(GE396,0))</f>
        <v>0.0495319352963236</v>
      </c>
      <c r="GG396" s="60" t="n">
        <f aca="false">SIGN(GF396)*ABS(GF396)^(1/3)</f>
        <v>0.367249967174439</v>
      </c>
      <c r="GH396" s="60" t="n">
        <f aca="false">IF(GG396=0,0,GG396-GC396/(3*GG396))</f>
        <v>0.60888329127384</v>
      </c>
      <c r="GI396" s="60" t="n">
        <f aca="false">2*SQRT(MAX(-GC396,0)/3)</f>
        <v>0.595784626668918</v>
      </c>
      <c r="GJ396" s="60" t="n">
        <f aca="false">ACOS(IF(GI396=0,0,MAX(-1,MIN(1,3*GD396/(GC396*GI396)))))</f>
        <v>0</v>
      </c>
      <c r="GK396" s="60" t="n">
        <f aca="false">GI396*COS(GJ396/3)</f>
        <v>0.595784626668918</v>
      </c>
      <c r="GL396" s="60" t="n">
        <f aca="false">IF(GE396&lt;0,GK396,GH396)-FZ396/3</f>
        <v>0.91158844983184</v>
      </c>
      <c r="GM396" s="60" t="n">
        <f aca="false">IFERROR((((GL396+FZ396)*GL396+GA396)*GL396+GB396)/((3*GL396+2*FZ396)*GL396+GA396),0)</f>
        <v>0</v>
      </c>
      <c r="GN396" s="60" t="n">
        <f aca="false">IF(ABS(GM396)&lt;0.1*ABS(GL396),GL396-GM396,GL396)</f>
        <v>0.91158844983184</v>
      </c>
      <c r="GO396" s="60" t="n">
        <f aca="false">IFERROR((((GN396+FZ396)*GN396+GA396)*GN396+GB396)/((3*GN396+2*FZ396)*GN396+GA396),0)</f>
        <v>0</v>
      </c>
      <c r="GP396" s="60" t="n">
        <f aca="false">IF(ABS(GO396)&lt;0.1*ABS(GN396),GN396-GO396,GN396)</f>
        <v>0.91158844983184</v>
      </c>
      <c r="GQ396" s="60" t="n">
        <f aca="false">-GB396/GP396</f>
        <v>0.0118376711504565</v>
      </c>
      <c r="GR396" s="60" t="n">
        <f aca="false">(GA396-GQ396)/GP396</f>
        <v>-0.00347297415783941</v>
      </c>
      <c r="GS396" s="60" t="n">
        <f aca="false">GR396^2-4*GQ396</f>
        <v>-0.0473386230523248</v>
      </c>
      <c r="GT396" s="60" t="n">
        <f aca="false">IF(GS396&gt;=0,(GR396+IF(GR396&gt;=0,1,-1)*SQRT(GS396))/2,0)</f>
        <v>0</v>
      </c>
      <c r="GU396" s="60" t="n">
        <f aca="false">IF(AND(GS396&gt;=0,GT396&lt;&gt;0),MIN(GT396,GQ396/GT396),-1)</f>
        <v>-1</v>
      </c>
      <c r="GV396" s="60" t="n">
        <f aca="false">AND(GS396&gt;=0,GU396&gt;FY396,ABS(GP396-GU396)&gt;=0.00005*MAX(GP396,GU396))</f>
        <v>0</v>
      </c>
      <c r="GW396" s="60" t="n">
        <f aca="false">IF(GV396,IFERROR((((GU396+FZ396)*GU396+GA396)*GU396+GB396)/((3*GU396+2*FZ396)*GU396+GA396),0),0)</f>
        <v>0</v>
      </c>
      <c r="GX396" s="60" t="n">
        <f aca="false">IF(ABS(GW396)&lt;0.1*ABS(GU396),GU396-GW396,GU396)</f>
        <v>-1</v>
      </c>
      <c r="GY396" s="60" t="n">
        <f aca="false">IF(GV396,IFERROR((((GX396+FZ396)*GX396+GA396)*GX396+GB396)/((3*GX396+2*FZ396)*GX396+GA396),0),0)</f>
        <v>0</v>
      </c>
      <c r="GZ396" s="60" t="n">
        <f aca="false">IF(ABS(GY396)&lt;0.1*ABS(GX396),GX396-GY396,GX396)</f>
        <v>-1</v>
      </c>
      <c r="HA396" s="60" t="n">
        <f aca="false">IF(GV396,MAX(GP396,GZ396),GP396)</f>
        <v>0.91158844983184</v>
      </c>
      <c r="HB396" s="60" t="n">
        <f aca="false">IF(GV396,MIN(GP396,GZ396),-1)</f>
        <v>-1</v>
      </c>
      <c r="HC396" s="60" t="n">
        <f aca="false">CHOOSE($C$7,FX396/HA396,FX396/FY396*LN(1+FY396/HA396),FX396/(2*SQRT(2)*FY396)*LN((HA396+(1+SQRT(2))*FY396)/(HA396+(1-SQRT(2))*FY396)))</f>
        <v>0.218240791233887</v>
      </c>
      <c r="HD396" s="60" t="n">
        <f aca="false">HA396-1-LN(HA396-FY396)-HC396</f>
        <v>-0.107840271021729</v>
      </c>
      <c r="HE396" s="60" t="n">
        <f aca="false">IF(GV396,CHOOSE($C$7,FX396/HB396,FX396/FY396*LN(1+FY396/HB396),FX396/(2*SQRT(2)*FY396)*LN((HB396+(1+SQRT(2))*FY396)/(HB396+(1-SQRT(2))*FY396))),0)</f>
        <v>0</v>
      </c>
      <c r="HF396" s="60" t="n">
        <f aca="false">IF(GV396,HB396-1-LN(HB396-FY396)-HE396,0)</f>
        <v>0</v>
      </c>
      <c r="HG396" s="60" t="n">
        <f aca="false">AND(GV396,HF396&lt;HD396)</f>
        <v>0</v>
      </c>
      <c r="HH396" s="60" t="n">
        <f aca="false">IF(HG396,HB396,HA396)</f>
        <v>0.91158844983184</v>
      </c>
      <c r="HI396" s="60" t="n">
        <f aca="false">IF(HG396,HE396,HC396)</f>
        <v>0.218240791233887</v>
      </c>
      <c r="HJ396" s="60" t="n">
        <f aca="false">LN(HH396-FY396)</f>
        <v>-0.198812070380318</v>
      </c>
      <c r="HK396" s="60" t="n">
        <f aca="false">$E$27/FW396*(HH396-1)-HJ396-HI396*(2*FJ396/FV396-$E$27/FW396)</f>
        <v>-0.107840271021729</v>
      </c>
      <c r="HL396" s="60" t="n">
        <f aca="false">$F$27/FW396*(HH396-1)-HJ396-HI396*(2*FK396/FV396-$F$27/FW396)</f>
        <v>0.198812070380318</v>
      </c>
      <c r="HM396" s="60" t="n">
        <f aca="false">$G$27/FW396*(HH396-1)-HJ396-HI396*(2*FL396/FV396-$G$27/FW396)</f>
        <v>0.198812070380318</v>
      </c>
      <c r="HN396" s="60" t="n">
        <f aca="false">$H$27/FW396*(HH396-1)-HJ396-HI396*(2*FM396/FV396-$H$27/FW396)</f>
        <v>0.198812070380318</v>
      </c>
      <c r="HO396" s="60" t="n">
        <f aca="false">$I$27/FW396*(HH396-1)-HJ396-HI396*(2*FN396/FV396-$I$27/FW396)</f>
        <v>0.198812070380318</v>
      </c>
      <c r="HP396" s="60" t="n">
        <f aca="false">$J$27/FW396*(HH396-1)-HJ396-HI396*(2*FO396/FV396-$J$27/FW396)</f>
        <v>0.198812070380318</v>
      </c>
      <c r="HQ396" s="60" t="n">
        <f aca="false">$K$27/FW396*(HH396-1)-HJ396-HI396*(2*FP396/FV396-$K$27/FW396)</f>
        <v>0.198812070380318</v>
      </c>
      <c r="HR396" s="60" t="n">
        <f aca="false">$L$27/FW396*(HH396-1)-HJ396-HI396*(2*FQ396/FV396-$L$27/FW396)</f>
        <v>0.198812070380318</v>
      </c>
      <c r="HS396" s="60" t="n">
        <f aca="false">$M$27/FW396*(HH396-1)-HJ396-HI396*(2*FR396/FV396-$M$27/FW396)</f>
        <v>0.198812070380318</v>
      </c>
      <c r="HT396" s="60" t="n">
        <f aca="false">$N$27/FW396*(HH396-1)-HJ396-HI396*(2*FS396/FV396-$N$27/FW396)</f>
        <v>0.198812070380318</v>
      </c>
      <c r="HU396" s="60" t="n">
        <f aca="false">$O$27/FW396*(HH396-1)-HJ396-HI396*(2*FT396/FV396-$O$27/FW396)</f>
        <v>0.198812070380318</v>
      </c>
      <c r="HV396" s="60" t="n">
        <f aca="false">$P$27/FW396*(HH396-1)-HJ396-HI396*(2*FU396/FV396-$P$27/FW396)</f>
        <v>0.198812070380318</v>
      </c>
      <c r="HW396" s="60" t="n">
        <f aca="false">FY396/HH396&gt;$C$22</f>
        <v>0</v>
      </c>
      <c r="HX396" s="60" t="n">
        <f aca="false">IF($E$13&gt;0,MAX(-300,MIN(300,EW396-HK396)),0)</f>
        <v>0</v>
      </c>
      <c r="HY396" s="60" t="n">
        <f aca="false">IF($F$13&gt;0,MAX(-300,MIN(300,EX396-HL396)),0)</f>
        <v>0</v>
      </c>
      <c r="HZ396" s="60" t="n">
        <f aca="false">IF($G$13&gt;0,MAX(-300,MIN(300,EY396-HM396)),0)</f>
        <v>0</v>
      </c>
      <c r="IA396" s="60" t="n">
        <f aca="false">IF($H$13&gt;0,MAX(-300,MIN(300,EZ396-HN396)),0)</f>
        <v>0</v>
      </c>
      <c r="IB396" s="60" t="n">
        <f aca="false">IF($I$13&gt;0,MAX(-300,MIN(300,FA396-HO396)),0)</f>
        <v>0</v>
      </c>
      <c r="IC396" s="60" t="n">
        <f aca="false">IF($J$13&gt;0,MAX(-300,MIN(300,FB396-HP396)),0)</f>
        <v>0</v>
      </c>
      <c r="ID396" s="60" t="n">
        <f aca="false">IF($K$13&gt;0,MAX(-300,MIN(300,FC396-HQ396)),0)</f>
        <v>0</v>
      </c>
      <c r="IE396" s="60" t="n">
        <f aca="false">IF($L$13&gt;0,MAX(-300,MIN(300,FD396-HR396)),0)</f>
        <v>0</v>
      </c>
      <c r="IF396" s="60" t="n">
        <f aca="false">IF($M$13&gt;0,MAX(-300,MIN(300,FE396-HS396)),0)</f>
        <v>0</v>
      </c>
      <c r="IG396" s="60" t="n">
        <f aca="false">IF($N$13&gt;0,MAX(-300,MIN(300,FF396-HT396)),0)</f>
        <v>0</v>
      </c>
      <c r="IH396" s="60" t="n">
        <f aca="false">IF($O$13&gt;0,MAX(-300,MIN(300,FG396-HU396)),0)</f>
        <v>0</v>
      </c>
      <c r="II396" s="60" t="n">
        <f aca="false">IF($P$13&gt;0,MAX(-300,MIN(300,FH396-HV396)),0)</f>
        <v>0</v>
      </c>
      <c r="IJ396" s="60" t="n">
        <f aca="false">SUMXMY2(HX396:II396,B396:M396)</f>
        <v>0</v>
      </c>
      <c r="IK396" s="60" t="n">
        <f aca="false">SUMSQ(B396:M396)</f>
        <v>0</v>
      </c>
    </row>
    <row r="397" customFormat="false" ht="15" hidden="false" customHeight="false" outlineLevel="0" collapsed="false">
      <c r="A397" s="59" t="n">
        <v>36</v>
      </c>
      <c r="B397" s="60" t="n">
        <f aca="false">HX396</f>
        <v>0</v>
      </c>
      <c r="C397" s="60" t="n">
        <f aca="false">HY396</f>
        <v>0</v>
      </c>
      <c r="D397" s="60" t="n">
        <f aca="false">HZ396</f>
        <v>0</v>
      </c>
      <c r="E397" s="60" t="n">
        <f aca="false">IA396</f>
        <v>0</v>
      </c>
      <c r="F397" s="60" t="n">
        <f aca="false">IB396</f>
        <v>0</v>
      </c>
      <c r="G397" s="60" t="n">
        <f aca="false">IC396</f>
        <v>0</v>
      </c>
      <c r="H397" s="60" t="n">
        <f aca="false">ID396</f>
        <v>0</v>
      </c>
      <c r="I397" s="60" t="n">
        <f aca="false">IE396</f>
        <v>0</v>
      </c>
      <c r="J397" s="60" t="n">
        <f aca="false">IF396</f>
        <v>0</v>
      </c>
      <c r="K397" s="60" t="n">
        <f aca="false">IG396</f>
        <v>0</v>
      </c>
      <c r="L397" s="60" t="n">
        <f aca="false">IH396</f>
        <v>0</v>
      </c>
      <c r="M397" s="60" t="n">
        <f aca="false">II396</f>
        <v>0</v>
      </c>
      <c r="N397" s="60" t="n">
        <f aca="false">EXP(B397)</f>
        <v>1</v>
      </c>
      <c r="O397" s="60" t="n">
        <f aca="false">EXP(C397)</f>
        <v>1</v>
      </c>
      <c r="P397" s="60" t="n">
        <f aca="false">EXP(D397)</f>
        <v>1</v>
      </c>
      <c r="Q397" s="60" t="n">
        <f aca="false">EXP(E397)</f>
        <v>1</v>
      </c>
      <c r="R397" s="60" t="n">
        <f aca="false">EXP(F397)</f>
        <v>1</v>
      </c>
      <c r="S397" s="60" t="n">
        <f aca="false">EXP(G397)</f>
        <v>1</v>
      </c>
      <c r="T397" s="60" t="n">
        <f aca="false">EXP(H397)</f>
        <v>1</v>
      </c>
      <c r="U397" s="60" t="n">
        <f aca="false">EXP(I397)</f>
        <v>1</v>
      </c>
      <c r="V397" s="60" t="n">
        <f aca="false">EXP(J397)</f>
        <v>1</v>
      </c>
      <c r="W397" s="60" t="n">
        <f aca="false">EXP(K397)</f>
        <v>1</v>
      </c>
      <c r="X397" s="60" t="n">
        <f aca="false">EXP(L397)</f>
        <v>1</v>
      </c>
      <c r="Y397" s="60" t="n">
        <f aca="false">EXP(M397)</f>
        <v>1</v>
      </c>
      <c r="Z397" s="60" t="n">
        <f aca="false">MAX(N397:Y397)</f>
        <v>1</v>
      </c>
      <c r="AA397" s="60" t="n">
        <f aca="false">MIN(N397:Y397)</f>
        <v>1</v>
      </c>
      <c r="AB397" s="60" t="n">
        <f aca="false">AND(Z397&gt;1,AA397&lt;1)</f>
        <v>0</v>
      </c>
      <c r="AC397" s="60" t="n">
        <f aca="false">IF(AB397,1/(1-Z397),0)</f>
        <v>0</v>
      </c>
      <c r="AD397" s="60" t="n">
        <f aca="false">IF(AB397,1/(1-AA397),1)</f>
        <v>1</v>
      </c>
      <c r="AE397" s="60" t="n">
        <f aca="false">IF(AB397,MIN(MAX(BI396,AC397+0.000000001*(AD397-AC397)),AD397-0.000000001*(AD397-AC397)),IF(AA397&gt;=1,1,0))</f>
        <v>1</v>
      </c>
      <c r="AF397" s="60" t="n">
        <f aca="false">SUMPRODUCT($E$13:$P$13*(N397:Y397-1)/(1+AE397*(N397:Y397-1)))</f>
        <v>0</v>
      </c>
      <c r="AG397" s="60" t="n">
        <f aca="false">-SUMPRODUCT($E$13:$P$13*(N397:Y397-1)^2/(1+AE397*(N397:Y397-1))^2)</f>
        <v>-0</v>
      </c>
      <c r="AH397" s="60" t="n">
        <f aca="false">IF(OR(NOT(AB397),AG397=0),AE397,IF(AE397-AF397/AG397&lt;=AC397,(AE397+AC397)/2,IF(AE397-AF397/AG397&gt;=AD397,(AE397+AD397)/2,AE397-AF397/AG397)))</f>
        <v>1</v>
      </c>
      <c r="AI397" s="60" t="n">
        <f aca="false">SUMPRODUCT($E$13:$P$13*(N397:Y397-1)/(1+AH397*(N397:Y397-1)))</f>
        <v>0</v>
      </c>
      <c r="AJ397" s="60" t="n">
        <f aca="false">-SUMPRODUCT($E$13:$P$13*(N397:Y397-1)^2/(1+AH397*(N397:Y397-1))^2)</f>
        <v>-0</v>
      </c>
      <c r="AK397" s="60" t="n">
        <f aca="false">IF(OR(NOT(AB397),AJ397=0),AH397,IF(AH397-AI397/AJ397&lt;=AC397,(AH397+AC397)/2,IF(AH397-AI397/AJ397&gt;=AD397,(AH397+AD397)/2,AH397-AI397/AJ397)))</f>
        <v>1</v>
      </c>
      <c r="AL397" s="60" t="n">
        <f aca="false">SUMPRODUCT($E$13:$P$13*(N397:Y397-1)/(1+AK397*(N397:Y397-1)))</f>
        <v>0</v>
      </c>
      <c r="AM397" s="60" t="n">
        <f aca="false">-SUMPRODUCT($E$13:$P$13*(N397:Y397-1)^2/(1+AK397*(N397:Y397-1))^2)</f>
        <v>-0</v>
      </c>
      <c r="AN397" s="60" t="n">
        <f aca="false">IF(OR(NOT(AB397),AM397=0),AK397,IF(AK397-AL397/AM397&lt;=AC397,(AK397+AC397)/2,IF(AK397-AL397/AM397&gt;=AD397,(AK397+AD397)/2,AK397-AL397/AM397)))</f>
        <v>1</v>
      </c>
      <c r="AO397" s="60" t="n">
        <f aca="false">SUMPRODUCT($E$13:$P$13*(N397:Y397-1)/(1+AN397*(N397:Y397-1)))</f>
        <v>0</v>
      </c>
      <c r="AP397" s="60" t="n">
        <f aca="false">-SUMPRODUCT($E$13:$P$13*(N397:Y397-1)^2/(1+AN397*(N397:Y397-1))^2)</f>
        <v>-0</v>
      </c>
      <c r="AQ397" s="60" t="n">
        <f aca="false">IF(OR(NOT(AB397),AP397=0),AN397,IF(AN397-AO397/AP397&lt;=AC397,(AN397+AC397)/2,IF(AN397-AO397/AP397&gt;=AD397,(AN397+AD397)/2,AN397-AO397/AP397)))</f>
        <v>1</v>
      </c>
      <c r="AR397" s="60" t="n">
        <f aca="false">SUMPRODUCT($E$13:$P$13*(N397:Y397-1)/(1+AQ397*(N397:Y397-1)))</f>
        <v>0</v>
      </c>
      <c r="AS397" s="60" t="n">
        <f aca="false">-SUMPRODUCT($E$13:$P$13*(N397:Y397-1)^2/(1+AQ397*(N397:Y397-1))^2)</f>
        <v>-0</v>
      </c>
      <c r="AT397" s="60" t="n">
        <f aca="false">IF(OR(NOT(AB397),AS397=0),AQ397,IF(AQ397-AR397/AS397&lt;=AC397,(AQ397+AC397)/2,IF(AQ397-AR397/AS397&gt;=AD397,(AQ397+AD397)/2,AQ397-AR397/AS397)))</f>
        <v>1</v>
      </c>
      <c r="AU397" s="60" t="n">
        <f aca="false">SUMPRODUCT($E$13:$P$13*(N397:Y397-1)/(1+AT397*(N397:Y397-1)))</f>
        <v>0</v>
      </c>
      <c r="AV397" s="60" t="n">
        <f aca="false">-SUMPRODUCT($E$13:$P$13*(N397:Y397-1)^2/(1+AT397*(N397:Y397-1))^2)</f>
        <v>-0</v>
      </c>
      <c r="AW397" s="60" t="n">
        <f aca="false">IF(OR(NOT(AB397),AV397=0),AT397,IF(AT397-AU397/AV397&lt;=AC397,(AT397+AC397)/2,IF(AT397-AU397/AV397&gt;=AD397,(AT397+AD397)/2,AT397-AU397/AV397)))</f>
        <v>1</v>
      </c>
      <c r="AX397" s="60" t="n">
        <f aca="false">SUMPRODUCT($E$13:$P$13*(N397:Y397-1)/(1+AW397*(N397:Y397-1)))</f>
        <v>0</v>
      </c>
      <c r="AY397" s="60" t="n">
        <f aca="false">-SUMPRODUCT($E$13:$P$13*(N397:Y397-1)^2/(1+AW397*(N397:Y397-1))^2)</f>
        <v>-0</v>
      </c>
      <c r="AZ397" s="60" t="n">
        <f aca="false">IF(OR(NOT(AB397),AY397=0),AW397,IF(AW397-AX397/AY397&lt;=AC397,(AW397+AC397)/2,IF(AW397-AX397/AY397&gt;=AD397,(AW397+AD397)/2,AW397-AX397/AY397)))</f>
        <v>1</v>
      </c>
      <c r="BA397" s="60" t="n">
        <f aca="false">SUMPRODUCT($E$13:$P$13*(N397:Y397-1)/(1+AZ397*(N397:Y397-1)))</f>
        <v>0</v>
      </c>
      <c r="BB397" s="60" t="n">
        <f aca="false">-SUMPRODUCT($E$13:$P$13*(N397:Y397-1)^2/(1+AZ397*(N397:Y397-1))^2)</f>
        <v>-0</v>
      </c>
      <c r="BC397" s="60" t="n">
        <f aca="false">IF(OR(NOT(AB397),BB397=0),AZ397,IF(AZ397-BA397/BB397&lt;=AC397,(AZ397+AC397)/2,IF(AZ397-BA397/BB397&gt;=AD397,(AZ397+AD397)/2,AZ397-BA397/BB397)))</f>
        <v>1</v>
      </c>
      <c r="BD397" s="60" t="n">
        <f aca="false">SUMPRODUCT($E$13:$P$13*(N397:Y397-1)/(1+BC397*(N397:Y397-1)))</f>
        <v>0</v>
      </c>
      <c r="BE397" s="60" t="n">
        <f aca="false">-SUMPRODUCT($E$13:$P$13*(N397:Y397-1)^2/(1+BC397*(N397:Y397-1))^2)</f>
        <v>-0</v>
      </c>
      <c r="BF397" s="60" t="n">
        <f aca="false">IF(OR(NOT(AB397),BE397=0),BC397,IF(BC397-BD397/BE397&lt;=AC397,(BC397+AC397)/2,IF(BC397-BD397/BE397&gt;=AD397,(BC397+AD397)/2,BC397-BD397/BE397)))</f>
        <v>1</v>
      </c>
      <c r="BG397" s="60" t="n">
        <f aca="false">SUMPRODUCT($E$13:$P$13*(N397:Y397-1)/(1+BF397*(N397:Y397-1)))</f>
        <v>0</v>
      </c>
      <c r="BH397" s="60" t="n">
        <f aca="false">-SUMPRODUCT($E$13:$P$13*(N397:Y397-1)^2/(1+BF397*(N397:Y397-1))^2)</f>
        <v>-0</v>
      </c>
      <c r="BI397" s="60" t="n">
        <f aca="false">IF(OR(NOT(AB397),BH397=0),BF397,IF(BF397-BG397/BH397&lt;=AC397,(BF397+AC397)/2,IF(BF397-BG397/BH397&gt;=AD397,(BF397+AD397)/2,BF397-BG397/BH397)))</f>
        <v>1</v>
      </c>
      <c r="BJ397" s="60" t="n">
        <f aca="false">$E$13/(1+BI397*(N397-1))</f>
        <v>1</v>
      </c>
      <c r="BK397" s="60" t="n">
        <f aca="false">$F$13/(1+BI397*(O397-1))</f>
        <v>0</v>
      </c>
      <c r="BL397" s="60" t="n">
        <f aca="false">$G$13/(1+BI397*(P397-1))</f>
        <v>0</v>
      </c>
      <c r="BM397" s="60" t="n">
        <f aca="false">$H$13/(1+BI397*(Q397-1))</f>
        <v>0</v>
      </c>
      <c r="BN397" s="60" t="n">
        <f aca="false">$I$13/(1+BI397*(R397-1))</f>
        <v>0</v>
      </c>
      <c r="BO397" s="60" t="n">
        <f aca="false">$J$13/(1+BI397*(S397-1))</f>
        <v>0</v>
      </c>
      <c r="BP397" s="60" t="n">
        <f aca="false">$K$13/(1+BI397*(T397-1))</f>
        <v>0</v>
      </c>
      <c r="BQ397" s="60" t="n">
        <f aca="false">$L$13/(1+BI397*(U397-1))</f>
        <v>0</v>
      </c>
      <c r="BR397" s="60" t="n">
        <f aca="false">$M$13/(1+BI397*(V397-1))</f>
        <v>0</v>
      </c>
      <c r="BS397" s="60" t="n">
        <f aca="false">$N$13/(1+BI397*(W397-1))</f>
        <v>0</v>
      </c>
      <c r="BT397" s="60" t="n">
        <f aca="false">$O$13/(1+BI397*(X397-1))</f>
        <v>0</v>
      </c>
      <c r="BU397" s="60" t="n">
        <f aca="false">$P$13/(1+BI397*(Y397-1))</f>
        <v>0</v>
      </c>
      <c r="BV397" s="60" t="n">
        <f aca="false">SUM(BJ397:BU397)</f>
        <v>1</v>
      </c>
      <c r="BW397" s="60" t="n">
        <f aca="false">SUMPRODUCT(N397:Y397,BJ397:BU397)</f>
        <v>1</v>
      </c>
      <c r="BX397" s="60" t="n">
        <f aca="false">BJ397/BV397</f>
        <v>1</v>
      </c>
      <c r="BY397" s="60" t="n">
        <f aca="false">BK397/BV397</f>
        <v>0</v>
      </c>
      <c r="BZ397" s="60" t="n">
        <f aca="false">BL397/BV397</f>
        <v>0</v>
      </c>
      <c r="CA397" s="60" t="n">
        <f aca="false">BM397/BV397</f>
        <v>0</v>
      </c>
      <c r="CB397" s="60" t="n">
        <f aca="false">BN397/BV397</f>
        <v>0</v>
      </c>
      <c r="CC397" s="60" t="n">
        <f aca="false">BO397/BV397</f>
        <v>0</v>
      </c>
      <c r="CD397" s="60" t="n">
        <f aca="false">BP397/BV397</f>
        <v>0</v>
      </c>
      <c r="CE397" s="60" t="n">
        <f aca="false">BQ397/BV397</f>
        <v>0</v>
      </c>
      <c r="CF397" s="60" t="n">
        <f aca="false">BR397/BV397</f>
        <v>0</v>
      </c>
      <c r="CG397" s="60" t="n">
        <f aca="false">BS397/BV397</f>
        <v>0</v>
      </c>
      <c r="CH397" s="60" t="n">
        <f aca="false">BT397/BV397</f>
        <v>0</v>
      </c>
      <c r="CI397" s="60" t="n">
        <f aca="false">BU397/BV397</f>
        <v>0</v>
      </c>
      <c r="CJ397" s="60" t="n">
        <f aca="false">N397*BJ397/BW397</f>
        <v>1</v>
      </c>
      <c r="CK397" s="60" t="n">
        <f aca="false">O397*BK397/BW397</f>
        <v>0</v>
      </c>
      <c r="CL397" s="60" t="n">
        <f aca="false">P397*BL397/BW397</f>
        <v>0</v>
      </c>
      <c r="CM397" s="60" t="n">
        <f aca="false">Q397*BM397/BW397</f>
        <v>0</v>
      </c>
      <c r="CN397" s="60" t="n">
        <f aca="false">R397*BN397/BW397</f>
        <v>0</v>
      </c>
      <c r="CO397" s="60" t="n">
        <f aca="false">S397*BO397/BW397</f>
        <v>0</v>
      </c>
      <c r="CP397" s="60" t="n">
        <f aca="false">T397*BP397/BW397</f>
        <v>0</v>
      </c>
      <c r="CQ397" s="60" t="n">
        <f aca="false">U397*BQ397/BW397</f>
        <v>0</v>
      </c>
      <c r="CR397" s="60" t="n">
        <f aca="false">V397*BR397/BW397</f>
        <v>0</v>
      </c>
      <c r="CS397" s="60" t="n">
        <f aca="false">W397*BS397/BW397</f>
        <v>0</v>
      </c>
      <c r="CT397" s="60" t="n">
        <f aca="false">X397*BT397/BW397</f>
        <v>0</v>
      </c>
      <c r="CU397" s="60" t="n">
        <f aca="false">Y397*BU397/BW397</f>
        <v>0</v>
      </c>
      <c r="CV397" s="60" t="n">
        <f aca="false">$E$28*SUMPRODUCT($E$31:$P$31,BX397:CI397,$E$28:$P$28)</f>
        <v>0.184416866619846</v>
      </c>
      <c r="CW397" s="60" t="n">
        <f aca="false">$F$28*SUMPRODUCT($E$32:$P$32,BX397:CI397,$E$28:$P$28)</f>
        <v>0</v>
      </c>
      <c r="CX397" s="60" t="n">
        <f aca="false">$G$28*SUMPRODUCT($E$33:$P$33,BX397:CI397,$E$28:$P$28)</f>
        <v>0</v>
      </c>
      <c r="CY397" s="60" t="n">
        <f aca="false">$H$28*SUMPRODUCT($E$34:$P$34,BX397:CI397,$E$28:$P$28)</f>
        <v>0</v>
      </c>
      <c r="CZ397" s="60" t="n">
        <f aca="false">$I$28*SUMPRODUCT($E$35:$P$35,BX397:CI397,$E$28:$P$28)</f>
        <v>0</v>
      </c>
      <c r="DA397" s="60" t="n">
        <f aca="false">$J$28*SUMPRODUCT($E$36:$P$36,BX397:CI397,$E$28:$P$28)</f>
        <v>0</v>
      </c>
      <c r="DB397" s="60" t="n">
        <f aca="false">$K$28*SUMPRODUCT($E$37:$P$37,BX397:CI397,$E$28:$P$28)</f>
        <v>0</v>
      </c>
      <c r="DC397" s="60" t="n">
        <f aca="false">$L$28*SUMPRODUCT($E$38:$P$38,BX397:CI397,$E$28:$P$28)</f>
        <v>0</v>
      </c>
      <c r="DD397" s="60" t="n">
        <f aca="false">$M$28*SUMPRODUCT($E$39:$P$39,BX397:CI397,$E$28:$P$28)</f>
        <v>0</v>
      </c>
      <c r="DE397" s="60" t="n">
        <f aca="false">$N$28*SUMPRODUCT($E$40:$P$40,BX397:CI397,$E$28:$P$28)</f>
        <v>0</v>
      </c>
      <c r="DF397" s="60" t="n">
        <f aca="false">$O$28*SUMPRODUCT($E$41:$P$41,BX397:CI397,$E$28:$P$28)</f>
        <v>0</v>
      </c>
      <c r="DG397" s="60" t="n">
        <f aca="false">$P$28*SUMPRODUCT($E$42:$P$42,BX397:CI397,$E$28:$P$28)</f>
        <v>0</v>
      </c>
      <c r="DH397" s="60" t="n">
        <f aca="false">SUMPRODUCT(BX397:CI397,CV397:DG397)</f>
        <v>0.184416866619846</v>
      </c>
      <c r="DI397" s="60" t="n">
        <f aca="false">SUMPRODUCT(BX397:CI397,$E$27:$P$27)</f>
        <v>2.67389635063809E-005</v>
      </c>
      <c r="DJ397" s="60" t="n">
        <f aca="false">DH397*$C$9/($C$10*$C$8)^2</f>
        <v>0.21776909410545</v>
      </c>
      <c r="DK397" s="60" t="n">
        <f aca="false">DI397*$C$9/($C$10*$C$8)</f>
        <v>0.0918845243259994</v>
      </c>
      <c r="DL397" s="60" t="n">
        <f aca="false">CHOOSE($C$7,-(1+DK397),-1,-(1-DK397))</f>
        <v>-0.908115475674001</v>
      </c>
      <c r="DM397" s="60" t="n">
        <f aca="false">CHOOSE($C$7,DJ397,DJ397-DK397-DK397^2,DJ397-3*DK397^2-2*DK397)</f>
        <v>0.00867174802160559</v>
      </c>
      <c r="DN397" s="60" t="n">
        <f aca="false">CHOOSE($C$7,-DJ397*DK397,-DJ397*DK397,-(DJ397*DK397-DK397^2-DK397^3))</f>
        <v>-0.0107910842936637</v>
      </c>
      <c r="DO397" s="60" t="n">
        <f aca="false">DM397-DL397^2/3</f>
        <v>-0.266219491031267</v>
      </c>
      <c r="DP397" s="60" t="n">
        <f aca="false">2*DL397^3/27-DL397*DM397/3+DN397</f>
        <v>-0.0636400988362784</v>
      </c>
      <c r="DQ397" s="60" t="n">
        <f aca="false">DP397^2/4+DO397^3/27</f>
        <v>0.000313710901361829</v>
      </c>
      <c r="DR397" s="60" t="n">
        <f aca="false">-DP397/2-IF(DP397&gt;=0,1,-1)*SQRT(MAX(DQ397,0))</f>
        <v>0.0495319352963236</v>
      </c>
      <c r="DS397" s="60" t="n">
        <f aca="false">SIGN(DR397)*ABS(DR397)^(1/3)</f>
        <v>0.367249967174439</v>
      </c>
      <c r="DT397" s="60" t="n">
        <f aca="false">IF(DS397=0,0,DS397-DO397/(3*DS397))</f>
        <v>0.60888329127384</v>
      </c>
      <c r="DU397" s="60" t="n">
        <f aca="false">2*SQRT(MAX(-DO397,0)/3)</f>
        <v>0.595784626668918</v>
      </c>
      <c r="DV397" s="60" t="n">
        <f aca="false">ACOS(IF(DU397=0,0,MAX(-1,MIN(1,3*DP397/(DO397*DU397)))))</f>
        <v>0</v>
      </c>
      <c r="DW397" s="60" t="n">
        <f aca="false">DU397*COS(DV397/3)</f>
        <v>0.595784626668918</v>
      </c>
      <c r="DX397" s="60" t="n">
        <f aca="false">IF(DQ397&lt;0,DW397,DT397)-DL397/3</f>
        <v>0.91158844983184</v>
      </c>
      <c r="DY397" s="60" t="n">
        <f aca="false">IFERROR((((DX397+DL397)*DX397+DM397)*DX397+DN397)/((3*DX397+2*DL397)*DX397+DM397),0)</f>
        <v>0</v>
      </c>
      <c r="DZ397" s="60" t="n">
        <f aca="false">IF(ABS(DY397)&lt;0.1*ABS(DX397),DX397-DY397,DX397)</f>
        <v>0.91158844983184</v>
      </c>
      <c r="EA397" s="60" t="n">
        <f aca="false">IFERROR((((DZ397+DL397)*DZ397+DM397)*DZ397+DN397)/((3*DZ397+2*DL397)*DZ397+DM397),0)</f>
        <v>0</v>
      </c>
      <c r="EB397" s="60" t="n">
        <f aca="false">IF(ABS(EA397)&lt;0.1*ABS(DZ397),DZ397-EA397,DZ397)</f>
        <v>0.91158844983184</v>
      </c>
      <c r="EC397" s="60" t="n">
        <f aca="false">-DN397/EB397</f>
        <v>0.0118376711504565</v>
      </c>
      <c r="ED397" s="60" t="n">
        <f aca="false">(DM397-EC397)/EB397</f>
        <v>-0.00347297415783941</v>
      </c>
      <c r="EE397" s="60" t="n">
        <f aca="false">ED397^2-4*EC397</f>
        <v>-0.0473386230523248</v>
      </c>
      <c r="EF397" s="60" t="n">
        <f aca="false">IF(EE397&gt;=0,(ED397+IF(ED397&gt;=0,1,-1)*SQRT(EE397))/2,0)</f>
        <v>0</v>
      </c>
      <c r="EG397" s="60" t="n">
        <f aca="false">IF(AND(EE397&gt;=0,EF397&lt;&gt;0),MIN(EF397,EC397/EF397),-1)</f>
        <v>-1</v>
      </c>
      <c r="EH397" s="60" t="n">
        <f aca="false">AND(EE397&gt;=0,EG397&gt;DK397,ABS(EB397-EG397)&gt;=0.00005*MAX(EB397,EG397))</f>
        <v>0</v>
      </c>
      <c r="EI397" s="60" t="n">
        <f aca="false">IF(EH397,IFERROR((((EG397+DL397)*EG397+DM397)*EG397+DN397)/((3*EG397+2*DL397)*EG397+DM397),0),0)</f>
        <v>0</v>
      </c>
      <c r="EJ397" s="60" t="n">
        <f aca="false">IF(ABS(EI397)&lt;0.1*ABS(EG397),EG397-EI397,EG397)</f>
        <v>-1</v>
      </c>
      <c r="EK397" s="60" t="n">
        <f aca="false">IF(EH397,IFERROR((((EJ397+DL397)*EJ397+DM397)*EJ397+DN397)/((3*EJ397+2*DL397)*EJ397+DM397),0),0)</f>
        <v>0</v>
      </c>
      <c r="EL397" s="60" t="n">
        <f aca="false">IF(ABS(EK397)&lt;0.1*ABS(EJ397),EJ397-EK397,EJ397)</f>
        <v>-1</v>
      </c>
      <c r="EM397" s="60" t="n">
        <f aca="false">IF(EH397,MAX(EB397,EL397),EB397)</f>
        <v>0.91158844983184</v>
      </c>
      <c r="EN397" s="60" t="n">
        <f aca="false">IF(EH397,MIN(EB397,EL397),-1)</f>
        <v>-1</v>
      </c>
      <c r="EO397" s="60" t="n">
        <f aca="false">CHOOSE($C$7,DJ397/EM397,DJ397/DK397*LN(1+DK397/EM397),DJ397/(2*SQRT(2)*DK397)*LN((EM397+(1+SQRT(2))*DK397)/(EM397+(1-SQRT(2))*DK397)))</f>
        <v>0.218240791233887</v>
      </c>
      <c r="EP397" s="60" t="n">
        <f aca="false">EM397-1-LN(EM397-DK397)-EO397</f>
        <v>-0.107840271021729</v>
      </c>
      <c r="EQ397" s="60" t="n">
        <f aca="false">IF(EH397,CHOOSE($C$7,DJ397/EN397,DJ397/DK397*LN(1+DK397/EN397),DJ397/(2*SQRT(2)*DK397)*LN((EN397+(1+SQRT(2))*DK397)/(EN397+(1-SQRT(2))*DK397))),0)</f>
        <v>0</v>
      </c>
      <c r="ER397" s="60" t="n">
        <f aca="false">IF(EH397,EN397-1-LN(EN397-DK397)-EQ397,0)</f>
        <v>0</v>
      </c>
      <c r="ES397" s="60" t="n">
        <f aca="false">AND(EH397,ER397&lt;EP397)</f>
        <v>0</v>
      </c>
      <c r="ET397" s="60" t="n">
        <f aca="false">IF(ES397,EN397,EM397)</f>
        <v>0.91158844983184</v>
      </c>
      <c r="EU397" s="60" t="n">
        <f aca="false">IF(ES397,EQ397,EO397)</f>
        <v>0.218240791233887</v>
      </c>
      <c r="EV397" s="60" t="n">
        <f aca="false">LN(ET397-DK397)</f>
        <v>-0.198812070380318</v>
      </c>
      <c r="EW397" s="60" t="n">
        <f aca="false">$E$27/DI397*(ET397-1)-EV397-EU397*(2*CV397/DH397-$E$27/DI397)</f>
        <v>-0.107840271021729</v>
      </c>
      <c r="EX397" s="60" t="n">
        <f aca="false">$F$27/DI397*(ET397-1)-EV397-EU397*(2*CW397/DH397-$F$27/DI397)</f>
        <v>0.198812070380318</v>
      </c>
      <c r="EY397" s="60" t="n">
        <f aca="false">$G$27/DI397*(ET397-1)-EV397-EU397*(2*CX397/DH397-$G$27/DI397)</f>
        <v>0.198812070380318</v>
      </c>
      <c r="EZ397" s="60" t="n">
        <f aca="false">$H$27/DI397*(ET397-1)-EV397-EU397*(2*CY397/DH397-$H$27/DI397)</f>
        <v>0.198812070380318</v>
      </c>
      <c r="FA397" s="60" t="n">
        <f aca="false">$I$27/DI397*(ET397-1)-EV397-EU397*(2*CZ397/DH397-$I$27/DI397)</f>
        <v>0.198812070380318</v>
      </c>
      <c r="FB397" s="60" t="n">
        <f aca="false">$J$27/DI397*(ET397-1)-EV397-EU397*(2*DA397/DH397-$J$27/DI397)</f>
        <v>0.198812070380318</v>
      </c>
      <c r="FC397" s="60" t="n">
        <f aca="false">$K$27/DI397*(ET397-1)-EV397-EU397*(2*DB397/DH397-$K$27/DI397)</f>
        <v>0.198812070380318</v>
      </c>
      <c r="FD397" s="60" t="n">
        <f aca="false">$L$27/DI397*(ET397-1)-EV397-EU397*(2*DC397/DH397-$L$27/DI397)</f>
        <v>0.198812070380318</v>
      </c>
      <c r="FE397" s="60" t="n">
        <f aca="false">$M$27/DI397*(ET397-1)-EV397-EU397*(2*DD397/DH397-$M$27/DI397)</f>
        <v>0.198812070380318</v>
      </c>
      <c r="FF397" s="60" t="n">
        <f aca="false">$N$27/DI397*(ET397-1)-EV397-EU397*(2*DE397/DH397-$N$27/DI397)</f>
        <v>0.198812070380318</v>
      </c>
      <c r="FG397" s="60" t="n">
        <f aca="false">$O$27/DI397*(ET397-1)-EV397-EU397*(2*DF397/DH397-$O$27/DI397)</f>
        <v>0.198812070380318</v>
      </c>
      <c r="FH397" s="60" t="n">
        <f aca="false">$P$27/DI397*(ET397-1)-EV397-EU397*(2*DG397/DH397-$P$27/DI397)</f>
        <v>0.198812070380318</v>
      </c>
      <c r="FI397" s="60" t="n">
        <f aca="false">DK397/ET397&gt;$C$22</f>
        <v>0</v>
      </c>
      <c r="FJ397" s="60" t="n">
        <f aca="false">$E$28*SUMPRODUCT($E$31:$P$31,CJ397:CU397,$E$28:$P$28)</f>
        <v>0.184416866619846</v>
      </c>
      <c r="FK397" s="60" t="n">
        <f aca="false">$F$28*SUMPRODUCT($E$32:$P$32,CJ397:CU397,$E$28:$P$28)</f>
        <v>0</v>
      </c>
      <c r="FL397" s="60" t="n">
        <f aca="false">$G$28*SUMPRODUCT($E$33:$P$33,CJ397:CU397,$E$28:$P$28)</f>
        <v>0</v>
      </c>
      <c r="FM397" s="60" t="n">
        <f aca="false">$H$28*SUMPRODUCT($E$34:$P$34,CJ397:CU397,$E$28:$P$28)</f>
        <v>0</v>
      </c>
      <c r="FN397" s="60" t="n">
        <f aca="false">$I$28*SUMPRODUCT($E$35:$P$35,CJ397:CU397,$E$28:$P$28)</f>
        <v>0</v>
      </c>
      <c r="FO397" s="60" t="n">
        <f aca="false">$J$28*SUMPRODUCT($E$36:$P$36,CJ397:CU397,$E$28:$P$28)</f>
        <v>0</v>
      </c>
      <c r="FP397" s="60" t="n">
        <f aca="false">$K$28*SUMPRODUCT($E$37:$P$37,CJ397:CU397,$E$28:$P$28)</f>
        <v>0</v>
      </c>
      <c r="FQ397" s="60" t="n">
        <f aca="false">$L$28*SUMPRODUCT($E$38:$P$38,CJ397:CU397,$E$28:$P$28)</f>
        <v>0</v>
      </c>
      <c r="FR397" s="60" t="n">
        <f aca="false">$M$28*SUMPRODUCT($E$39:$P$39,CJ397:CU397,$E$28:$P$28)</f>
        <v>0</v>
      </c>
      <c r="FS397" s="60" t="n">
        <f aca="false">$N$28*SUMPRODUCT($E$40:$P$40,CJ397:CU397,$E$28:$P$28)</f>
        <v>0</v>
      </c>
      <c r="FT397" s="60" t="n">
        <f aca="false">$O$28*SUMPRODUCT($E$41:$P$41,CJ397:CU397,$E$28:$P$28)</f>
        <v>0</v>
      </c>
      <c r="FU397" s="60" t="n">
        <f aca="false">$P$28*SUMPRODUCT($E$42:$P$42,CJ397:CU397,$E$28:$P$28)</f>
        <v>0</v>
      </c>
      <c r="FV397" s="60" t="n">
        <f aca="false">SUMPRODUCT(CJ397:CU397,FJ397:FU397)</f>
        <v>0.184416866619846</v>
      </c>
      <c r="FW397" s="60" t="n">
        <f aca="false">SUMPRODUCT(CJ397:CU397,$E$27:$P$27)</f>
        <v>2.67389635063809E-005</v>
      </c>
      <c r="FX397" s="60" t="n">
        <f aca="false">FV397*$C$9/($C$10*$C$8)^2</f>
        <v>0.21776909410545</v>
      </c>
      <c r="FY397" s="60" t="n">
        <f aca="false">FW397*$C$9/($C$10*$C$8)</f>
        <v>0.0918845243259994</v>
      </c>
      <c r="FZ397" s="60" t="n">
        <f aca="false">CHOOSE($C$7,-(1+FY397),-1,-(1-FY397))</f>
        <v>-0.908115475674001</v>
      </c>
      <c r="GA397" s="60" t="n">
        <f aca="false">CHOOSE($C$7,FX397,FX397-FY397-FY397^2,FX397-3*FY397^2-2*FY397)</f>
        <v>0.00867174802160559</v>
      </c>
      <c r="GB397" s="60" t="n">
        <f aca="false">CHOOSE($C$7,-FX397*FY397,-FX397*FY397,-(FX397*FY397-FY397^2-FY397^3))</f>
        <v>-0.0107910842936637</v>
      </c>
      <c r="GC397" s="60" t="n">
        <f aca="false">GA397-FZ397^2/3</f>
        <v>-0.266219491031267</v>
      </c>
      <c r="GD397" s="60" t="n">
        <f aca="false">2*FZ397^3/27-FZ397*GA397/3+GB397</f>
        <v>-0.0636400988362784</v>
      </c>
      <c r="GE397" s="60" t="n">
        <f aca="false">GD397^2/4+GC397^3/27</f>
        <v>0.000313710901361829</v>
      </c>
      <c r="GF397" s="60" t="n">
        <f aca="false">-GD397/2-IF(GD397&gt;=0,1,-1)*SQRT(MAX(GE397,0))</f>
        <v>0.0495319352963236</v>
      </c>
      <c r="GG397" s="60" t="n">
        <f aca="false">SIGN(GF397)*ABS(GF397)^(1/3)</f>
        <v>0.367249967174439</v>
      </c>
      <c r="GH397" s="60" t="n">
        <f aca="false">IF(GG397=0,0,GG397-GC397/(3*GG397))</f>
        <v>0.60888329127384</v>
      </c>
      <c r="GI397" s="60" t="n">
        <f aca="false">2*SQRT(MAX(-GC397,0)/3)</f>
        <v>0.595784626668918</v>
      </c>
      <c r="GJ397" s="60" t="n">
        <f aca="false">ACOS(IF(GI397=0,0,MAX(-1,MIN(1,3*GD397/(GC397*GI397)))))</f>
        <v>0</v>
      </c>
      <c r="GK397" s="60" t="n">
        <f aca="false">GI397*COS(GJ397/3)</f>
        <v>0.595784626668918</v>
      </c>
      <c r="GL397" s="60" t="n">
        <f aca="false">IF(GE397&lt;0,GK397,GH397)-FZ397/3</f>
        <v>0.91158844983184</v>
      </c>
      <c r="GM397" s="60" t="n">
        <f aca="false">IFERROR((((GL397+FZ397)*GL397+GA397)*GL397+GB397)/((3*GL397+2*FZ397)*GL397+GA397),0)</f>
        <v>0</v>
      </c>
      <c r="GN397" s="60" t="n">
        <f aca="false">IF(ABS(GM397)&lt;0.1*ABS(GL397),GL397-GM397,GL397)</f>
        <v>0.91158844983184</v>
      </c>
      <c r="GO397" s="60" t="n">
        <f aca="false">IFERROR((((GN397+FZ397)*GN397+GA397)*GN397+GB397)/((3*GN397+2*FZ397)*GN397+GA397),0)</f>
        <v>0</v>
      </c>
      <c r="GP397" s="60" t="n">
        <f aca="false">IF(ABS(GO397)&lt;0.1*ABS(GN397),GN397-GO397,GN397)</f>
        <v>0.91158844983184</v>
      </c>
      <c r="GQ397" s="60" t="n">
        <f aca="false">-GB397/GP397</f>
        <v>0.0118376711504565</v>
      </c>
      <c r="GR397" s="60" t="n">
        <f aca="false">(GA397-GQ397)/GP397</f>
        <v>-0.00347297415783941</v>
      </c>
      <c r="GS397" s="60" t="n">
        <f aca="false">GR397^2-4*GQ397</f>
        <v>-0.0473386230523248</v>
      </c>
      <c r="GT397" s="60" t="n">
        <f aca="false">IF(GS397&gt;=0,(GR397+IF(GR397&gt;=0,1,-1)*SQRT(GS397))/2,0)</f>
        <v>0</v>
      </c>
      <c r="GU397" s="60" t="n">
        <f aca="false">IF(AND(GS397&gt;=0,GT397&lt;&gt;0),MIN(GT397,GQ397/GT397),-1)</f>
        <v>-1</v>
      </c>
      <c r="GV397" s="60" t="n">
        <f aca="false">AND(GS397&gt;=0,GU397&gt;FY397,ABS(GP397-GU397)&gt;=0.00005*MAX(GP397,GU397))</f>
        <v>0</v>
      </c>
      <c r="GW397" s="60" t="n">
        <f aca="false">IF(GV397,IFERROR((((GU397+FZ397)*GU397+GA397)*GU397+GB397)/((3*GU397+2*FZ397)*GU397+GA397),0),0)</f>
        <v>0</v>
      </c>
      <c r="GX397" s="60" t="n">
        <f aca="false">IF(ABS(GW397)&lt;0.1*ABS(GU397),GU397-GW397,GU397)</f>
        <v>-1</v>
      </c>
      <c r="GY397" s="60" t="n">
        <f aca="false">IF(GV397,IFERROR((((GX397+FZ397)*GX397+GA397)*GX397+GB397)/((3*GX397+2*FZ397)*GX397+GA397),0),0)</f>
        <v>0</v>
      </c>
      <c r="GZ397" s="60" t="n">
        <f aca="false">IF(ABS(GY397)&lt;0.1*ABS(GX397),GX397-GY397,GX397)</f>
        <v>-1</v>
      </c>
      <c r="HA397" s="60" t="n">
        <f aca="false">IF(GV397,MAX(GP397,GZ397),GP397)</f>
        <v>0.91158844983184</v>
      </c>
      <c r="HB397" s="60" t="n">
        <f aca="false">IF(GV397,MIN(GP397,GZ397),-1)</f>
        <v>-1</v>
      </c>
      <c r="HC397" s="60" t="n">
        <f aca="false">CHOOSE($C$7,FX397/HA397,FX397/FY397*LN(1+FY397/HA397),FX397/(2*SQRT(2)*FY397)*LN((HA397+(1+SQRT(2))*FY397)/(HA397+(1-SQRT(2))*FY397)))</f>
        <v>0.218240791233887</v>
      </c>
      <c r="HD397" s="60" t="n">
        <f aca="false">HA397-1-LN(HA397-FY397)-HC397</f>
        <v>-0.107840271021729</v>
      </c>
      <c r="HE397" s="60" t="n">
        <f aca="false">IF(GV397,CHOOSE($C$7,FX397/HB397,FX397/FY397*LN(1+FY397/HB397),FX397/(2*SQRT(2)*FY397)*LN((HB397+(1+SQRT(2))*FY397)/(HB397+(1-SQRT(2))*FY397))),0)</f>
        <v>0</v>
      </c>
      <c r="HF397" s="60" t="n">
        <f aca="false">IF(GV397,HB397-1-LN(HB397-FY397)-HE397,0)</f>
        <v>0</v>
      </c>
      <c r="HG397" s="60" t="n">
        <f aca="false">AND(GV397,HF397&lt;HD397)</f>
        <v>0</v>
      </c>
      <c r="HH397" s="60" t="n">
        <f aca="false">IF(HG397,HB397,HA397)</f>
        <v>0.91158844983184</v>
      </c>
      <c r="HI397" s="60" t="n">
        <f aca="false">IF(HG397,HE397,HC397)</f>
        <v>0.218240791233887</v>
      </c>
      <c r="HJ397" s="60" t="n">
        <f aca="false">LN(HH397-FY397)</f>
        <v>-0.198812070380318</v>
      </c>
      <c r="HK397" s="60" t="n">
        <f aca="false">$E$27/FW397*(HH397-1)-HJ397-HI397*(2*FJ397/FV397-$E$27/FW397)</f>
        <v>-0.107840271021729</v>
      </c>
      <c r="HL397" s="60" t="n">
        <f aca="false">$F$27/FW397*(HH397-1)-HJ397-HI397*(2*FK397/FV397-$F$27/FW397)</f>
        <v>0.198812070380318</v>
      </c>
      <c r="HM397" s="60" t="n">
        <f aca="false">$G$27/FW397*(HH397-1)-HJ397-HI397*(2*FL397/FV397-$G$27/FW397)</f>
        <v>0.198812070380318</v>
      </c>
      <c r="HN397" s="60" t="n">
        <f aca="false">$H$27/FW397*(HH397-1)-HJ397-HI397*(2*FM397/FV397-$H$27/FW397)</f>
        <v>0.198812070380318</v>
      </c>
      <c r="HO397" s="60" t="n">
        <f aca="false">$I$27/FW397*(HH397-1)-HJ397-HI397*(2*FN397/FV397-$I$27/FW397)</f>
        <v>0.198812070380318</v>
      </c>
      <c r="HP397" s="60" t="n">
        <f aca="false">$J$27/FW397*(HH397-1)-HJ397-HI397*(2*FO397/FV397-$J$27/FW397)</f>
        <v>0.198812070380318</v>
      </c>
      <c r="HQ397" s="60" t="n">
        <f aca="false">$K$27/FW397*(HH397-1)-HJ397-HI397*(2*FP397/FV397-$K$27/FW397)</f>
        <v>0.198812070380318</v>
      </c>
      <c r="HR397" s="60" t="n">
        <f aca="false">$L$27/FW397*(HH397-1)-HJ397-HI397*(2*FQ397/FV397-$L$27/FW397)</f>
        <v>0.198812070380318</v>
      </c>
      <c r="HS397" s="60" t="n">
        <f aca="false">$M$27/FW397*(HH397-1)-HJ397-HI397*(2*FR397/FV397-$M$27/FW397)</f>
        <v>0.198812070380318</v>
      </c>
      <c r="HT397" s="60" t="n">
        <f aca="false">$N$27/FW397*(HH397-1)-HJ397-HI397*(2*FS397/FV397-$N$27/FW397)</f>
        <v>0.198812070380318</v>
      </c>
      <c r="HU397" s="60" t="n">
        <f aca="false">$O$27/FW397*(HH397-1)-HJ397-HI397*(2*FT397/FV397-$O$27/FW397)</f>
        <v>0.198812070380318</v>
      </c>
      <c r="HV397" s="60" t="n">
        <f aca="false">$P$27/FW397*(HH397-1)-HJ397-HI397*(2*FU397/FV397-$P$27/FW397)</f>
        <v>0.198812070380318</v>
      </c>
      <c r="HW397" s="60" t="n">
        <f aca="false">FY397/HH397&gt;$C$22</f>
        <v>0</v>
      </c>
      <c r="HX397" s="60" t="n">
        <f aca="false">IF($E$13&gt;0,MAX(-300,MIN(300,EW397-HK397)),0)</f>
        <v>0</v>
      </c>
      <c r="HY397" s="60" t="n">
        <f aca="false">IF($F$13&gt;0,MAX(-300,MIN(300,EX397-HL397)),0)</f>
        <v>0</v>
      </c>
      <c r="HZ397" s="60" t="n">
        <f aca="false">IF($G$13&gt;0,MAX(-300,MIN(300,EY397-HM397)),0)</f>
        <v>0</v>
      </c>
      <c r="IA397" s="60" t="n">
        <f aca="false">IF($H$13&gt;0,MAX(-300,MIN(300,EZ397-HN397)),0)</f>
        <v>0</v>
      </c>
      <c r="IB397" s="60" t="n">
        <f aca="false">IF($I$13&gt;0,MAX(-300,MIN(300,FA397-HO397)),0)</f>
        <v>0</v>
      </c>
      <c r="IC397" s="60" t="n">
        <f aca="false">IF($J$13&gt;0,MAX(-300,MIN(300,FB397-HP397)),0)</f>
        <v>0</v>
      </c>
      <c r="ID397" s="60" t="n">
        <f aca="false">IF($K$13&gt;0,MAX(-300,MIN(300,FC397-HQ397)),0)</f>
        <v>0</v>
      </c>
      <c r="IE397" s="60" t="n">
        <f aca="false">IF($L$13&gt;0,MAX(-300,MIN(300,FD397-HR397)),0)</f>
        <v>0</v>
      </c>
      <c r="IF397" s="60" t="n">
        <f aca="false">IF($M$13&gt;0,MAX(-300,MIN(300,FE397-HS397)),0)</f>
        <v>0</v>
      </c>
      <c r="IG397" s="60" t="n">
        <f aca="false">IF($N$13&gt;0,MAX(-300,MIN(300,FF397-HT397)),0)</f>
        <v>0</v>
      </c>
      <c r="IH397" s="60" t="n">
        <f aca="false">IF($O$13&gt;0,MAX(-300,MIN(300,FG397-HU397)),0)</f>
        <v>0</v>
      </c>
      <c r="II397" s="60" t="n">
        <f aca="false">IF($P$13&gt;0,MAX(-300,MIN(300,FH397-HV397)),0)</f>
        <v>0</v>
      </c>
      <c r="IJ397" s="60" t="n">
        <f aca="false">SUMXMY2(HX397:II397,B397:M397)</f>
        <v>0</v>
      </c>
      <c r="IK397" s="60" t="n">
        <f aca="false">SUMSQ(B397:M397)</f>
        <v>0</v>
      </c>
    </row>
    <row r="398" customFormat="false" ht="15" hidden="false" customHeight="false" outlineLevel="0" collapsed="false">
      <c r="A398" s="59" t="n">
        <v>37</v>
      </c>
      <c r="B398" s="60" t="n">
        <f aca="false">HX397</f>
        <v>0</v>
      </c>
      <c r="C398" s="60" t="n">
        <f aca="false">HY397</f>
        <v>0</v>
      </c>
      <c r="D398" s="60" t="n">
        <f aca="false">HZ397</f>
        <v>0</v>
      </c>
      <c r="E398" s="60" t="n">
        <f aca="false">IA397</f>
        <v>0</v>
      </c>
      <c r="F398" s="60" t="n">
        <f aca="false">IB397</f>
        <v>0</v>
      </c>
      <c r="G398" s="60" t="n">
        <f aca="false">IC397</f>
        <v>0</v>
      </c>
      <c r="H398" s="60" t="n">
        <f aca="false">ID397</f>
        <v>0</v>
      </c>
      <c r="I398" s="60" t="n">
        <f aca="false">IE397</f>
        <v>0</v>
      </c>
      <c r="J398" s="60" t="n">
        <f aca="false">IF397</f>
        <v>0</v>
      </c>
      <c r="K398" s="60" t="n">
        <f aca="false">IG397</f>
        <v>0</v>
      </c>
      <c r="L398" s="60" t="n">
        <f aca="false">IH397</f>
        <v>0</v>
      </c>
      <c r="M398" s="60" t="n">
        <f aca="false">II397</f>
        <v>0</v>
      </c>
      <c r="N398" s="60" t="n">
        <f aca="false">EXP(B398)</f>
        <v>1</v>
      </c>
      <c r="O398" s="60" t="n">
        <f aca="false">EXP(C398)</f>
        <v>1</v>
      </c>
      <c r="P398" s="60" t="n">
        <f aca="false">EXP(D398)</f>
        <v>1</v>
      </c>
      <c r="Q398" s="60" t="n">
        <f aca="false">EXP(E398)</f>
        <v>1</v>
      </c>
      <c r="R398" s="60" t="n">
        <f aca="false">EXP(F398)</f>
        <v>1</v>
      </c>
      <c r="S398" s="60" t="n">
        <f aca="false">EXP(G398)</f>
        <v>1</v>
      </c>
      <c r="T398" s="60" t="n">
        <f aca="false">EXP(H398)</f>
        <v>1</v>
      </c>
      <c r="U398" s="60" t="n">
        <f aca="false">EXP(I398)</f>
        <v>1</v>
      </c>
      <c r="V398" s="60" t="n">
        <f aca="false">EXP(J398)</f>
        <v>1</v>
      </c>
      <c r="W398" s="60" t="n">
        <f aca="false">EXP(K398)</f>
        <v>1</v>
      </c>
      <c r="X398" s="60" t="n">
        <f aca="false">EXP(L398)</f>
        <v>1</v>
      </c>
      <c r="Y398" s="60" t="n">
        <f aca="false">EXP(M398)</f>
        <v>1</v>
      </c>
      <c r="Z398" s="60" t="n">
        <f aca="false">MAX(N398:Y398)</f>
        <v>1</v>
      </c>
      <c r="AA398" s="60" t="n">
        <f aca="false">MIN(N398:Y398)</f>
        <v>1</v>
      </c>
      <c r="AB398" s="60" t="n">
        <f aca="false">AND(Z398&gt;1,AA398&lt;1)</f>
        <v>0</v>
      </c>
      <c r="AC398" s="60" t="n">
        <f aca="false">IF(AB398,1/(1-Z398),0)</f>
        <v>0</v>
      </c>
      <c r="AD398" s="60" t="n">
        <f aca="false">IF(AB398,1/(1-AA398),1)</f>
        <v>1</v>
      </c>
      <c r="AE398" s="60" t="n">
        <f aca="false">IF(AB398,MIN(MAX(BI397,AC398+0.000000001*(AD398-AC398)),AD398-0.000000001*(AD398-AC398)),IF(AA398&gt;=1,1,0))</f>
        <v>1</v>
      </c>
      <c r="AF398" s="60" t="n">
        <f aca="false">SUMPRODUCT($E$13:$P$13*(N398:Y398-1)/(1+AE398*(N398:Y398-1)))</f>
        <v>0</v>
      </c>
      <c r="AG398" s="60" t="n">
        <f aca="false">-SUMPRODUCT($E$13:$P$13*(N398:Y398-1)^2/(1+AE398*(N398:Y398-1))^2)</f>
        <v>-0</v>
      </c>
      <c r="AH398" s="60" t="n">
        <f aca="false">IF(OR(NOT(AB398),AG398=0),AE398,IF(AE398-AF398/AG398&lt;=AC398,(AE398+AC398)/2,IF(AE398-AF398/AG398&gt;=AD398,(AE398+AD398)/2,AE398-AF398/AG398)))</f>
        <v>1</v>
      </c>
      <c r="AI398" s="60" t="n">
        <f aca="false">SUMPRODUCT($E$13:$P$13*(N398:Y398-1)/(1+AH398*(N398:Y398-1)))</f>
        <v>0</v>
      </c>
      <c r="AJ398" s="60" t="n">
        <f aca="false">-SUMPRODUCT($E$13:$P$13*(N398:Y398-1)^2/(1+AH398*(N398:Y398-1))^2)</f>
        <v>-0</v>
      </c>
      <c r="AK398" s="60" t="n">
        <f aca="false">IF(OR(NOT(AB398),AJ398=0),AH398,IF(AH398-AI398/AJ398&lt;=AC398,(AH398+AC398)/2,IF(AH398-AI398/AJ398&gt;=AD398,(AH398+AD398)/2,AH398-AI398/AJ398)))</f>
        <v>1</v>
      </c>
      <c r="AL398" s="60" t="n">
        <f aca="false">SUMPRODUCT($E$13:$P$13*(N398:Y398-1)/(1+AK398*(N398:Y398-1)))</f>
        <v>0</v>
      </c>
      <c r="AM398" s="60" t="n">
        <f aca="false">-SUMPRODUCT($E$13:$P$13*(N398:Y398-1)^2/(1+AK398*(N398:Y398-1))^2)</f>
        <v>-0</v>
      </c>
      <c r="AN398" s="60" t="n">
        <f aca="false">IF(OR(NOT(AB398),AM398=0),AK398,IF(AK398-AL398/AM398&lt;=AC398,(AK398+AC398)/2,IF(AK398-AL398/AM398&gt;=AD398,(AK398+AD398)/2,AK398-AL398/AM398)))</f>
        <v>1</v>
      </c>
      <c r="AO398" s="60" t="n">
        <f aca="false">SUMPRODUCT($E$13:$P$13*(N398:Y398-1)/(1+AN398*(N398:Y398-1)))</f>
        <v>0</v>
      </c>
      <c r="AP398" s="60" t="n">
        <f aca="false">-SUMPRODUCT($E$13:$P$13*(N398:Y398-1)^2/(1+AN398*(N398:Y398-1))^2)</f>
        <v>-0</v>
      </c>
      <c r="AQ398" s="60" t="n">
        <f aca="false">IF(OR(NOT(AB398),AP398=0),AN398,IF(AN398-AO398/AP398&lt;=AC398,(AN398+AC398)/2,IF(AN398-AO398/AP398&gt;=AD398,(AN398+AD398)/2,AN398-AO398/AP398)))</f>
        <v>1</v>
      </c>
      <c r="AR398" s="60" t="n">
        <f aca="false">SUMPRODUCT($E$13:$P$13*(N398:Y398-1)/(1+AQ398*(N398:Y398-1)))</f>
        <v>0</v>
      </c>
      <c r="AS398" s="60" t="n">
        <f aca="false">-SUMPRODUCT($E$13:$P$13*(N398:Y398-1)^2/(1+AQ398*(N398:Y398-1))^2)</f>
        <v>-0</v>
      </c>
      <c r="AT398" s="60" t="n">
        <f aca="false">IF(OR(NOT(AB398),AS398=0),AQ398,IF(AQ398-AR398/AS398&lt;=AC398,(AQ398+AC398)/2,IF(AQ398-AR398/AS398&gt;=AD398,(AQ398+AD398)/2,AQ398-AR398/AS398)))</f>
        <v>1</v>
      </c>
      <c r="AU398" s="60" t="n">
        <f aca="false">SUMPRODUCT($E$13:$P$13*(N398:Y398-1)/(1+AT398*(N398:Y398-1)))</f>
        <v>0</v>
      </c>
      <c r="AV398" s="60" t="n">
        <f aca="false">-SUMPRODUCT($E$13:$P$13*(N398:Y398-1)^2/(1+AT398*(N398:Y398-1))^2)</f>
        <v>-0</v>
      </c>
      <c r="AW398" s="60" t="n">
        <f aca="false">IF(OR(NOT(AB398),AV398=0),AT398,IF(AT398-AU398/AV398&lt;=AC398,(AT398+AC398)/2,IF(AT398-AU398/AV398&gt;=AD398,(AT398+AD398)/2,AT398-AU398/AV398)))</f>
        <v>1</v>
      </c>
      <c r="AX398" s="60" t="n">
        <f aca="false">SUMPRODUCT($E$13:$P$13*(N398:Y398-1)/(1+AW398*(N398:Y398-1)))</f>
        <v>0</v>
      </c>
      <c r="AY398" s="60" t="n">
        <f aca="false">-SUMPRODUCT($E$13:$P$13*(N398:Y398-1)^2/(1+AW398*(N398:Y398-1))^2)</f>
        <v>-0</v>
      </c>
      <c r="AZ398" s="60" t="n">
        <f aca="false">IF(OR(NOT(AB398),AY398=0),AW398,IF(AW398-AX398/AY398&lt;=AC398,(AW398+AC398)/2,IF(AW398-AX398/AY398&gt;=AD398,(AW398+AD398)/2,AW398-AX398/AY398)))</f>
        <v>1</v>
      </c>
      <c r="BA398" s="60" t="n">
        <f aca="false">SUMPRODUCT($E$13:$P$13*(N398:Y398-1)/(1+AZ398*(N398:Y398-1)))</f>
        <v>0</v>
      </c>
      <c r="BB398" s="60" t="n">
        <f aca="false">-SUMPRODUCT($E$13:$P$13*(N398:Y398-1)^2/(1+AZ398*(N398:Y398-1))^2)</f>
        <v>-0</v>
      </c>
      <c r="BC398" s="60" t="n">
        <f aca="false">IF(OR(NOT(AB398),BB398=0),AZ398,IF(AZ398-BA398/BB398&lt;=AC398,(AZ398+AC398)/2,IF(AZ398-BA398/BB398&gt;=AD398,(AZ398+AD398)/2,AZ398-BA398/BB398)))</f>
        <v>1</v>
      </c>
      <c r="BD398" s="60" t="n">
        <f aca="false">SUMPRODUCT($E$13:$P$13*(N398:Y398-1)/(1+BC398*(N398:Y398-1)))</f>
        <v>0</v>
      </c>
      <c r="BE398" s="60" t="n">
        <f aca="false">-SUMPRODUCT($E$13:$P$13*(N398:Y398-1)^2/(1+BC398*(N398:Y398-1))^2)</f>
        <v>-0</v>
      </c>
      <c r="BF398" s="60" t="n">
        <f aca="false">IF(OR(NOT(AB398),BE398=0),BC398,IF(BC398-BD398/BE398&lt;=AC398,(BC398+AC398)/2,IF(BC398-BD398/BE398&gt;=AD398,(BC398+AD398)/2,BC398-BD398/BE398)))</f>
        <v>1</v>
      </c>
      <c r="BG398" s="60" t="n">
        <f aca="false">SUMPRODUCT($E$13:$P$13*(N398:Y398-1)/(1+BF398*(N398:Y398-1)))</f>
        <v>0</v>
      </c>
      <c r="BH398" s="60" t="n">
        <f aca="false">-SUMPRODUCT($E$13:$P$13*(N398:Y398-1)^2/(1+BF398*(N398:Y398-1))^2)</f>
        <v>-0</v>
      </c>
      <c r="BI398" s="60" t="n">
        <f aca="false">IF(OR(NOT(AB398),BH398=0),BF398,IF(BF398-BG398/BH398&lt;=AC398,(BF398+AC398)/2,IF(BF398-BG398/BH398&gt;=AD398,(BF398+AD398)/2,BF398-BG398/BH398)))</f>
        <v>1</v>
      </c>
      <c r="BJ398" s="60" t="n">
        <f aca="false">$E$13/(1+BI398*(N398-1))</f>
        <v>1</v>
      </c>
      <c r="BK398" s="60" t="n">
        <f aca="false">$F$13/(1+BI398*(O398-1))</f>
        <v>0</v>
      </c>
      <c r="BL398" s="60" t="n">
        <f aca="false">$G$13/(1+BI398*(P398-1))</f>
        <v>0</v>
      </c>
      <c r="BM398" s="60" t="n">
        <f aca="false">$H$13/(1+BI398*(Q398-1))</f>
        <v>0</v>
      </c>
      <c r="BN398" s="60" t="n">
        <f aca="false">$I$13/(1+BI398*(R398-1))</f>
        <v>0</v>
      </c>
      <c r="BO398" s="60" t="n">
        <f aca="false">$J$13/(1+BI398*(S398-1))</f>
        <v>0</v>
      </c>
      <c r="BP398" s="60" t="n">
        <f aca="false">$K$13/(1+BI398*(T398-1))</f>
        <v>0</v>
      </c>
      <c r="BQ398" s="60" t="n">
        <f aca="false">$L$13/(1+BI398*(U398-1))</f>
        <v>0</v>
      </c>
      <c r="BR398" s="60" t="n">
        <f aca="false">$M$13/(1+BI398*(V398-1))</f>
        <v>0</v>
      </c>
      <c r="BS398" s="60" t="n">
        <f aca="false">$N$13/(1+BI398*(W398-1))</f>
        <v>0</v>
      </c>
      <c r="BT398" s="60" t="n">
        <f aca="false">$O$13/(1+BI398*(X398-1))</f>
        <v>0</v>
      </c>
      <c r="BU398" s="60" t="n">
        <f aca="false">$P$13/(1+BI398*(Y398-1))</f>
        <v>0</v>
      </c>
      <c r="BV398" s="60" t="n">
        <f aca="false">SUM(BJ398:BU398)</f>
        <v>1</v>
      </c>
      <c r="BW398" s="60" t="n">
        <f aca="false">SUMPRODUCT(N398:Y398,BJ398:BU398)</f>
        <v>1</v>
      </c>
      <c r="BX398" s="60" t="n">
        <f aca="false">BJ398/BV398</f>
        <v>1</v>
      </c>
      <c r="BY398" s="60" t="n">
        <f aca="false">BK398/BV398</f>
        <v>0</v>
      </c>
      <c r="BZ398" s="60" t="n">
        <f aca="false">BL398/BV398</f>
        <v>0</v>
      </c>
      <c r="CA398" s="60" t="n">
        <f aca="false">BM398/BV398</f>
        <v>0</v>
      </c>
      <c r="CB398" s="60" t="n">
        <f aca="false">BN398/BV398</f>
        <v>0</v>
      </c>
      <c r="CC398" s="60" t="n">
        <f aca="false">BO398/BV398</f>
        <v>0</v>
      </c>
      <c r="CD398" s="60" t="n">
        <f aca="false">BP398/BV398</f>
        <v>0</v>
      </c>
      <c r="CE398" s="60" t="n">
        <f aca="false">BQ398/BV398</f>
        <v>0</v>
      </c>
      <c r="CF398" s="60" t="n">
        <f aca="false">BR398/BV398</f>
        <v>0</v>
      </c>
      <c r="CG398" s="60" t="n">
        <f aca="false">BS398/BV398</f>
        <v>0</v>
      </c>
      <c r="CH398" s="60" t="n">
        <f aca="false">BT398/BV398</f>
        <v>0</v>
      </c>
      <c r="CI398" s="60" t="n">
        <f aca="false">BU398/BV398</f>
        <v>0</v>
      </c>
      <c r="CJ398" s="60" t="n">
        <f aca="false">N398*BJ398/BW398</f>
        <v>1</v>
      </c>
      <c r="CK398" s="60" t="n">
        <f aca="false">O398*BK398/BW398</f>
        <v>0</v>
      </c>
      <c r="CL398" s="60" t="n">
        <f aca="false">P398*BL398/BW398</f>
        <v>0</v>
      </c>
      <c r="CM398" s="60" t="n">
        <f aca="false">Q398*BM398/BW398</f>
        <v>0</v>
      </c>
      <c r="CN398" s="60" t="n">
        <f aca="false">R398*BN398/BW398</f>
        <v>0</v>
      </c>
      <c r="CO398" s="60" t="n">
        <f aca="false">S398*BO398/BW398</f>
        <v>0</v>
      </c>
      <c r="CP398" s="60" t="n">
        <f aca="false">T398*BP398/BW398</f>
        <v>0</v>
      </c>
      <c r="CQ398" s="60" t="n">
        <f aca="false">U398*BQ398/BW398</f>
        <v>0</v>
      </c>
      <c r="CR398" s="60" t="n">
        <f aca="false">V398*BR398/BW398</f>
        <v>0</v>
      </c>
      <c r="CS398" s="60" t="n">
        <f aca="false">W398*BS398/BW398</f>
        <v>0</v>
      </c>
      <c r="CT398" s="60" t="n">
        <f aca="false">X398*BT398/BW398</f>
        <v>0</v>
      </c>
      <c r="CU398" s="60" t="n">
        <f aca="false">Y398*BU398/BW398</f>
        <v>0</v>
      </c>
      <c r="CV398" s="60" t="n">
        <f aca="false">$E$28*SUMPRODUCT($E$31:$P$31,BX398:CI398,$E$28:$P$28)</f>
        <v>0.184416866619846</v>
      </c>
      <c r="CW398" s="60" t="n">
        <f aca="false">$F$28*SUMPRODUCT($E$32:$P$32,BX398:CI398,$E$28:$P$28)</f>
        <v>0</v>
      </c>
      <c r="CX398" s="60" t="n">
        <f aca="false">$G$28*SUMPRODUCT($E$33:$P$33,BX398:CI398,$E$28:$P$28)</f>
        <v>0</v>
      </c>
      <c r="CY398" s="60" t="n">
        <f aca="false">$H$28*SUMPRODUCT($E$34:$P$34,BX398:CI398,$E$28:$P$28)</f>
        <v>0</v>
      </c>
      <c r="CZ398" s="60" t="n">
        <f aca="false">$I$28*SUMPRODUCT($E$35:$P$35,BX398:CI398,$E$28:$P$28)</f>
        <v>0</v>
      </c>
      <c r="DA398" s="60" t="n">
        <f aca="false">$J$28*SUMPRODUCT($E$36:$P$36,BX398:CI398,$E$28:$P$28)</f>
        <v>0</v>
      </c>
      <c r="DB398" s="60" t="n">
        <f aca="false">$K$28*SUMPRODUCT($E$37:$P$37,BX398:CI398,$E$28:$P$28)</f>
        <v>0</v>
      </c>
      <c r="DC398" s="60" t="n">
        <f aca="false">$L$28*SUMPRODUCT($E$38:$P$38,BX398:CI398,$E$28:$P$28)</f>
        <v>0</v>
      </c>
      <c r="DD398" s="60" t="n">
        <f aca="false">$M$28*SUMPRODUCT($E$39:$P$39,BX398:CI398,$E$28:$P$28)</f>
        <v>0</v>
      </c>
      <c r="DE398" s="60" t="n">
        <f aca="false">$N$28*SUMPRODUCT($E$40:$P$40,BX398:CI398,$E$28:$P$28)</f>
        <v>0</v>
      </c>
      <c r="DF398" s="60" t="n">
        <f aca="false">$O$28*SUMPRODUCT($E$41:$P$41,BX398:CI398,$E$28:$P$28)</f>
        <v>0</v>
      </c>
      <c r="DG398" s="60" t="n">
        <f aca="false">$P$28*SUMPRODUCT($E$42:$P$42,BX398:CI398,$E$28:$P$28)</f>
        <v>0</v>
      </c>
      <c r="DH398" s="60" t="n">
        <f aca="false">SUMPRODUCT(BX398:CI398,CV398:DG398)</f>
        <v>0.184416866619846</v>
      </c>
      <c r="DI398" s="60" t="n">
        <f aca="false">SUMPRODUCT(BX398:CI398,$E$27:$P$27)</f>
        <v>2.67389635063809E-005</v>
      </c>
      <c r="DJ398" s="60" t="n">
        <f aca="false">DH398*$C$9/($C$10*$C$8)^2</f>
        <v>0.21776909410545</v>
      </c>
      <c r="DK398" s="60" t="n">
        <f aca="false">DI398*$C$9/($C$10*$C$8)</f>
        <v>0.0918845243259994</v>
      </c>
      <c r="DL398" s="60" t="n">
        <f aca="false">CHOOSE($C$7,-(1+DK398),-1,-(1-DK398))</f>
        <v>-0.908115475674001</v>
      </c>
      <c r="DM398" s="60" t="n">
        <f aca="false">CHOOSE($C$7,DJ398,DJ398-DK398-DK398^2,DJ398-3*DK398^2-2*DK398)</f>
        <v>0.00867174802160559</v>
      </c>
      <c r="DN398" s="60" t="n">
        <f aca="false">CHOOSE($C$7,-DJ398*DK398,-DJ398*DK398,-(DJ398*DK398-DK398^2-DK398^3))</f>
        <v>-0.0107910842936637</v>
      </c>
      <c r="DO398" s="60" t="n">
        <f aca="false">DM398-DL398^2/3</f>
        <v>-0.266219491031267</v>
      </c>
      <c r="DP398" s="60" t="n">
        <f aca="false">2*DL398^3/27-DL398*DM398/3+DN398</f>
        <v>-0.0636400988362784</v>
      </c>
      <c r="DQ398" s="60" t="n">
        <f aca="false">DP398^2/4+DO398^3/27</f>
        <v>0.000313710901361829</v>
      </c>
      <c r="DR398" s="60" t="n">
        <f aca="false">-DP398/2-IF(DP398&gt;=0,1,-1)*SQRT(MAX(DQ398,0))</f>
        <v>0.0495319352963236</v>
      </c>
      <c r="DS398" s="60" t="n">
        <f aca="false">SIGN(DR398)*ABS(DR398)^(1/3)</f>
        <v>0.367249967174439</v>
      </c>
      <c r="DT398" s="60" t="n">
        <f aca="false">IF(DS398=0,0,DS398-DO398/(3*DS398))</f>
        <v>0.60888329127384</v>
      </c>
      <c r="DU398" s="60" t="n">
        <f aca="false">2*SQRT(MAX(-DO398,0)/3)</f>
        <v>0.595784626668918</v>
      </c>
      <c r="DV398" s="60" t="n">
        <f aca="false">ACOS(IF(DU398=0,0,MAX(-1,MIN(1,3*DP398/(DO398*DU398)))))</f>
        <v>0</v>
      </c>
      <c r="DW398" s="60" t="n">
        <f aca="false">DU398*COS(DV398/3)</f>
        <v>0.595784626668918</v>
      </c>
      <c r="DX398" s="60" t="n">
        <f aca="false">IF(DQ398&lt;0,DW398,DT398)-DL398/3</f>
        <v>0.91158844983184</v>
      </c>
      <c r="DY398" s="60" t="n">
        <f aca="false">IFERROR((((DX398+DL398)*DX398+DM398)*DX398+DN398)/((3*DX398+2*DL398)*DX398+DM398),0)</f>
        <v>0</v>
      </c>
      <c r="DZ398" s="60" t="n">
        <f aca="false">IF(ABS(DY398)&lt;0.1*ABS(DX398),DX398-DY398,DX398)</f>
        <v>0.91158844983184</v>
      </c>
      <c r="EA398" s="60" t="n">
        <f aca="false">IFERROR((((DZ398+DL398)*DZ398+DM398)*DZ398+DN398)/((3*DZ398+2*DL398)*DZ398+DM398),0)</f>
        <v>0</v>
      </c>
      <c r="EB398" s="60" t="n">
        <f aca="false">IF(ABS(EA398)&lt;0.1*ABS(DZ398),DZ398-EA398,DZ398)</f>
        <v>0.91158844983184</v>
      </c>
      <c r="EC398" s="60" t="n">
        <f aca="false">-DN398/EB398</f>
        <v>0.0118376711504565</v>
      </c>
      <c r="ED398" s="60" t="n">
        <f aca="false">(DM398-EC398)/EB398</f>
        <v>-0.00347297415783941</v>
      </c>
      <c r="EE398" s="60" t="n">
        <f aca="false">ED398^2-4*EC398</f>
        <v>-0.0473386230523248</v>
      </c>
      <c r="EF398" s="60" t="n">
        <f aca="false">IF(EE398&gt;=0,(ED398+IF(ED398&gt;=0,1,-1)*SQRT(EE398))/2,0)</f>
        <v>0</v>
      </c>
      <c r="EG398" s="60" t="n">
        <f aca="false">IF(AND(EE398&gt;=0,EF398&lt;&gt;0),MIN(EF398,EC398/EF398),-1)</f>
        <v>-1</v>
      </c>
      <c r="EH398" s="60" t="n">
        <f aca="false">AND(EE398&gt;=0,EG398&gt;DK398,ABS(EB398-EG398)&gt;=0.00005*MAX(EB398,EG398))</f>
        <v>0</v>
      </c>
      <c r="EI398" s="60" t="n">
        <f aca="false">IF(EH398,IFERROR((((EG398+DL398)*EG398+DM398)*EG398+DN398)/((3*EG398+2*DL398)*EG398+DM398),0),0)</f>
        <v>0</v>
      </c>
      <c r="EJ398" s="60" t="n">
        <f aca="false">IF(ABS(EI398)&lt;0.1*ABS(EG398),EG398-EI398,EG398)</f>
        <v>-1</v>
      </c>
      <c r="EK398" s="60" t="n">
        <f aca="false">IF(EH398,IFERROR((((EJ398+DL398)*EJ398+DM398)*EJ398+DN398)/((3*EJ398+2*DL398)*EJ398+DM398),0),0)</f>
        <v>0</v>
      </c>
      <c r="EL398" s="60" t="n">
        <f aca="false">IF(ABS(EK398)&lt;0.1*ABS(EJ398),EJ398-EK398,EJ398)</f>
        <v>-1</v>
      </c>
      <c r="EM398" s="60" t="n">
        <f aca="false">IF(EH398,MAX(EB398,EL398),EB398)</f>
        <v>0.91158844983184</v>
      </c>
      <c r="EN398" s="60" t="n">
        <f aca="false">IF(EH398,MIN(EB398,EL398),-1)</f>
        <v>-1</v>
      </c>
      <c r="EO398" s="60" t="n">
        <f aca="false">CHOOSE($C$7,DJ398/EM398,DJ398/DK398*LN(1+DK398/EM398),DJ398/(2*SQRT(2)*DK398)*LN((EM398+(1+SQRT(2))*DK398)/(EM398+(1-SQRT(2))*DK398)))</f>
        <v>0.218240791233887</v>
      </c>
      <c r="EP398" s="60" t="n">
        <f aca="false">EM398-1-LN(EM398-DK398)-EO398</f>
        <v>-0.107840271021729</v>
      </c>
      <c r="EQ398" s="60" t="n">
        <f aca="false">IF(EH398,CHOOSE($C$7,DJ398/EN398,DJ398/DK398*LN(1+DK398/EN398),DJ398/(2*SQRT(2)*DK398)*LN((EN398+(1+SQRT(2))*DK398)/(EN398+(1-SQRT(2))*DK398))),0)</f>
        <v>0</v>
      </c>
      <c r="ER398" s="60" t="n">
        <f aca="false">IF(EH398,EN398-1-LN(EN398-DK398)-EQ398,0)</f>
        <v>0</v>
      </c>
      <c r="ES398" s="60" t="n">
        <f aca="false">AND(EH398,ER398&lt;EP398)</f>
        <v>0</v>
      </c>
      <c r="ET398" s="60" t="n">
        <f aca="false">IF(ES398,EN398,EM398)</f>
        <v>0.91158844983184</v>
      </c>
      <c r="EU398" s="60" t="n">
        <f aca="false">IF(ES398,EQ398,EO398)</f>
        <v>0.218240791233887</v>
      </c>
      <c r="EV398" s="60" t="n">
        <f aca="false">LN(ET398-DK398)</f>
        <v>-0.198812070380318</v>
      </c>
      <c r="EW398" s="60" t="n">
        <f aca="false">$E$27/DI398*(ET398-1)-EV398-EU398*(2*CV398/DH398-$E$27/DI398)</f>
        <v>-0.107840271021729</v>
      </c>
      <c r="EX398" s="60" t="n">
        <f aca="false">$F$27/DI398*(ET398-1)-EV398-EU398*(2*CW398/DH398-$F$27/DI398)</f>
        <v>0.198812070380318</v>
      </c>
      <c r="EY398" s="60" t="n">
        <f aca="false">$G$27/DI398*(ET398-1)-EV398-EU398*(2*CX398/DH398-$G$27/DI398)</f>
        <v>0.198812070380318</v>
      </c>
      <c r="EZ398" s="60" t="n">
        <f aca="false">$H$27/DI398*(ET398-1)-EV398-EU398*(2*CY398/DH398-$H$27/DI398)</f>
        <v>0.198812070380318</v>
      </c>
      <c r="FA398" s="60" t="n">
        <f aca="false">$I$27/DI398*(ET398-1)-EV398-EU398*(2*CZ398/DH398-$I$27/DI398)</f>
        <v>0.198812070380318</v>
      </c>
      <c r="FB398" s="60" t="n">
        <f aca="false">$J$27/DI398*(ET398-1)-EV398-EU398*(2*DA398/DH398-$J$27/DI398)</f>
        <v>0.198812070380318</v>
      </c>
      <c r="FC398" s="60" t="n">
        <f aca="false">$K$27/DI398*(ET398-1)-EV398-EU398*(2*DB398/DH398-$K$27/DI398)</f>
        <v>0.198812070380318</v>
      </c>
      <c r="FD398" s="60" t="n">
        <f aca="false">$L$27/DI398*(ET398-1)-EV398-EU398*(2*DC398/DH398-$L$27/DI398)</f>
        <v>0.198812070380318</v>
      </c>
      <c r="FE398" s="60" t="n">
        <f aca="false">$M$27/DI398*(ET398-1)-EV398-EU398*(2*DD398/DH398-$M$27/DI398)</f>
        <v>0.198812070380318</v>
      </c>
      <c r="FF398" s="60" t="n">
        <f aca="false">$N$27/DI398*(ET398-1)-EV398-EU398*(2*DE398/DH398-$N$27/DI398)</f>
        <v>0.198812070380318</v>
      </c>
      <c r="FG398" s="60" t="n">
        <f aca="false">$O$27/DI398*(ET398-1)-EV398-EU398*(2*DF398/DH398-$O$27/DI398)</f>
        <v>0.198812070380318</v>
      </c>
      <c r="FH398" s="60" t="n">
        <f aca="false">$P$27/DI398*(ET398-1)-EV398-EU398*(2*DG398/DH398-$P$27/DI398)</f>
        <v>0.198812070380318</v>
      </c>
      <c r="FI398" s="60" t="n">
        <f aca="false">DK398/ET398&gt;$C$22</f>
        <v>0</v>
      </c>
      <c r="FJ398" s="60" t="n">
        <f aca="false">$E$28*SUMPRODUCT($E$31:$P$31,CJ398:CU398,$E$28:$P$28)</f>
        <v>0.184416866619846</v>
      </c>
      <c r="FK398" s="60" t="n">
        <f aca="false">$F$28*SUMPRODUCT($E$32:$P$32,CJ398:CU398,$E$28:$P$28)</f>
        <v>0</v>
      </c>
      <c r="FL398" s="60" t="n">
        <f aca="false">$G$28*SUMPRODUCT($E$33:$P$33,CJ398:CU398,$E$28:$P$28)</f>
        <v>0</v>
      </c>
      <c r="FM398" s="60" t="n">
        <f aca="false">$H$28*SUMPRODUCT($E$34:$P$34,CJ398:CU398,$E$28:$P$28)</f>
        <v>0</v>
      </c>
      <c r="FN398" s="60" t="n">
        <f aca="false">$I$28*SUMPRODUCT($E$35:$P$35,CJ398:CU398,$E$28:$P$28)</f>
        <v>0</v>
      </c>
      <c r="FO398" s="60" t="n">
        <f aca="false">$J$28*SUMPRODUCT($E$36:$P$36,CJ398:CU398,$E$28:$P$28)</f>
        <v>0</v>
      </c>
      <c r="FP398" s="60" t="n">
        <f aca="false">$K$28*SUMPRODUCT($E$37:$P$37,CJ398:CU398,$E$28:$P$28)</f>
        <v>0</v>
      </c>
      <c r="FQ398" s="60" t="n">
        <f aca="false">$L$28*SUMPRODUCT($E$38:$P$38,CJ398:CU398,$E$28:$P$28)</f>
        <v>0</v>
      </c>
      <c r="FR398" s="60" t="n">
        <f aca="false">$M$28*SUMPRODUCT($E$39:$P$39,CJ398:CU398,$E$28:$P$28)</f>
        <v>0</v>
      </c>
      <c r="FS398" s="60" t="n">
        <f aca="false">$N$28*SUMPRODUCT($E$40:$P$40,CJ398:CU398,$E$28:$P$28)</f>
        <v>0</v>
      </c>
      <c r="FT398" s="60" t="n">
        <f aca="false">$O$28*SUMPRODUCT($E$41:$P$41,CJ398:CU398,$E$28:$P$28)</f>
        <v>0</v>
      </c>
      <c r="FU398" s="60" t="n">
        <f aca="false">$P$28*SUMPRODUCT($E$42:$P$42,CJ398:CU398,$E$28:$P$28)</f>
        <v>0</v>
      </c>
      <c r="FV398" s="60" t="n">
        <f aca="false">SUMPRODUCT(CJ398:CU398,FJ398:FU398)</f>
        <v>0.184416866619846</v>
      </c>
      <c r="FW398" s="60" t="n">
        <f aca="false">SUMPRODUCT(CJ398:CU398,$E$27:$P$27)</f>
        <v>2.67389635063809E-005</v>
      </c>
      <c r="FX398" s="60" t="n">
        <f aca="false">FV398*$C$9/($C$10*$C$8)^2</f>
        <v>0.21776909410545</v>
      </c>
      <c r="FY398" s="60" t="n">
        <f aca="false">FW398*$C$9/($C$10*$C$8)</f>
        <v>0.0918845243259994</v>
      </c>
      <c r="FZ398" s="60" t="n">
        <f aca="false">CHOOSE($C$7,-(1+FY398),-1,-(1-FY398))</f>
        <v>-0.908115475674001</v>
      </c>
      <c r="GA398" s="60" t="n">
        <f aca="false">CHOOSE($C$7,FX398,FX398-FY398-FY398^2,FX398-3*FY398^2-2*FY398)</f>
        <v>0.00867174802160559</v>
      </c>
      <c r="GB398" s="60" t="n">
        <f aca="false">CHOOSE($C$7,-FX398*FY398,-FX398*FY398,-(FX398*FY398-FY398^2-FY398^3))</f>
        <v>-0.0107910842936637</v>
      </c>
      <c r="GC398" s="60" t="n">
        <f aca="false">GA398-FZ398^2/3</f>
        <v>-0.266219491031267</v>
      </c>
      <c r="GD398" s="60" t="n">
        <f aca="false">2*FZ398^3/27-FZ398*GA398/3+GB398</f>
        <v>-0.0636400988362784</v>
      </c>
      <c r="GE398" s="60" t="n">
        <f aca="false">GD398^2/4+GC398^3/27</f>
        <v>0.000313710901361829</v>
      </c>
      <c r="GF398" s="60" t="n">
        <f aca="false">-GD398/2-IF(GD398&gt;=0,1,-1)*SQRT(MAX(GE398,0))</f>
        <v>0.0495319352963236</v>
      </c>
      <c r="GG398" s="60" t="n">
        <f aca="false">SIGN(GF398)*ABS(GF398)^(1/3)</f>
        <v>0.367249967174439</v>
      </c>
      <c r="GH398" s="60" t="n">
        <f aca="false">IF(GG398=0,0,GG398-GC398/(3*GG398))</f>
        <v>0.60888329127384</v>
      </c>
      <c r="GI398" s="60" t="n">
        <f aca="false">2*SQRT(MAX(-GC398,0)/3)</f>
        <v>0.595784626668918</v>
      </c>
      <c r="GJ398" s="60" t="n">
        <f aca="false">ACOS(IF(GI398=0,0,MAX(-1,MIN(1,3*GD398/(GC398*GI398)))))</f>
        <v>0</v>
      </c>
      <c r="GK398" s="60" t="n">
        <f aca="false">GI398*COS(GJ398/3)</f>
        <v>0.595784626668918</v>
      </c>
      <c r="GL398" s="60" t="n">
        <f aca="false">IF(GE398&lt;0,GK398,GH398)-FZ398/3</f>
        <v>0.91158844983184</v>
      </c>
      <c r="GM398" s="60" t="n">
        <f aca="false">IFERROR((((GL398+FZ398)*GL398+GA398)*GL398+GB398)/((3*GL398+2*FZ398)*GL398+GA398),0)</f>
        <v>0</v>
      </c>
      <c r="GN398" s="60" t="n">
        <f aca="false">IF(ABS(GM398)&lt;0.1*ABS(GL398),GL398-GM398,GL398)</f>
        <v>0.91158844983184</v>
      </c>
      <c r="GO398" s="60" t="n">
        <f aca="false">IFERROR((((GN398+FZ398)*GN398+GA398)*GN398+GB398)/((3*GN398+2*FZ398)*GN398+GA398),0)</f>
        <v>0</v>
      </c>
      <c r="GP398" s="60" t="n">
        <f aca="false">IF(ABS(GO398)&lt;0.1*ABS(GN398),GN398-GO398,GN398)</f>
        <v>0.91158844983184</v>
      </c>
      <c r="GQ398" s="60" t="n">
        <f aca="false">-GB398/GP398</f>
        <v>0.0118376711504565</v>
      </c>
      <c r="GR398" s="60" t="n">
        <f aca="false">(GA398-GQ398)/GP398</f>
        <v>-0.00347297415783941</v>
      </c>
      <c r="GS398" s="60" t="n">
        <f aca="false">GR398^2-4*GQ398</f>
        <v>-0.0473386230523248</v>
      </c>
      <c r="GT398" s="60" t="n">
        <f aca="false">IF(GS398&gt;=0,(GR398+IF(GR398&gt;=0,1,-1)*SQRT(GS398))/2,0)</f>
        <v>0</v>
      </c>
      <c r="GU398" s="60" t="n">
        <f aca="false">IF(AND(GS398&gt;=0,GT398&lt;&gt;0),MIN(GT398,GQ398/GT398),-1)</f>
        <v>-1</v>
      </c>
      <c r="GV398" s="60" t="n">
        <f aca="false">AND(GS398&gt;=0,GU398&gt;FY398,ABS(GP398-GU398)&gt;=0.00005*MAX(GP398,GU398))</f>
        <v>0</v>
      </c>
      <c r="GW398" s="60" t="n">
        <f aca="false">IF(GV398,IFERROR((((GU398+FZ398)*GU398+GA398)*GU398+GB398)/((3*GU398+2*FZ398)*GU398+GA398),0),0)</f>
        <v>0</v>
      </c>
      <c r="GX398" s="60" t="n">
        <f aca="false">IF(ABS(GW398)&lt;0.1*ABS(GU398),GU398-GW398,GU398)</f>
        <v>-1</v>
      </c>
      <c r="GY398" s="60" t="n">
        <f aca="false">IF(GV398,IFERROR((((GX398+FZ398)*GX398+GA398)*GX398+GB398)/((3*GX398+2*FZ398)*GX398+GA398),0),0)</f>
        <v>0</v>
      </c>
      <c r="GZ398" s="60" t="n">
        <f aca="false">IF(ABS(GY398)&lt;0.1*ABS(GX398),GX398-GY398,GX398)</f>
        <v>-1</v>
      </c>
      <c r="HA398" s="60" t="n">
        <f aca="false">IF(GV398,MAX(GP398,GZ398),GP398)</f>
        <v>0.91158844983184</v>
      </c>
      <c r="HB398" s="60" t="n">
        <f aca="false">IF(GV398,MIN(GP398,GZ398),-1)</f>
        <v>-1</v>
      </c>
      <c r="HC398" s="60" t="n">
        <f aca="false">CHOOSE($C$7,FX398/HA398,FX398/FY398*LN(1+FY398/HA398),FX398/(2*SQRT(2)*FY398)*LN((HA398+(1+SQRT(2))*FY398)/(HA398+(1-SQRT(2))*FY398)))</f>
        <v>0.218240791233887</v>
      </c>
      <c r="HD398" s="60" t="n">
        <f aca="false">HA398-1-LN(HA398-FY398)-HC398</f>
        <v>-0.107840271021729</v>
      </c>
      <c r="HE398" s="60" t="n">
        <f aca="false">IF(GV398,CHOOSE($C$7,FX398/HB398,FX398/FY398*LN(1+FY398/HB398),FX398/(2*SQRT(2)*FY398)*LN((HB398+(1+SQRT(2))*FY398)/(HB398+(1-SQRT(2))*FY398))),0)</f>
        <v>0</v>
      </c>
      <c r="HF398" s="60" t="n">
        <f aca="false">IF(GV398,HB398-1-LN(HB398-FY398)-HE398,0)</f>
        <v>0</v>
      </c>
      <c r="HG398" s="60" t="n">
        <f aca="false">AND(GV398,HF398&lt;HD398)</f>
        <v>0</v>
      </c>
      <c r="HH398" s="60" t="n">
        <f aca="false">IF(HG398,HB398,HA398)</f>
        <v>0.91158844983184</v>
      </c>
      <c r="HI398" s="60" t="n">
        <f aca="false">IF(HG398,HE398,HC398)</f>
        <v>0.218240791233887</v>
      </c>
      <c r="HJ398" s="60" t="n">
        <f aca="false">LN(HH398-FY398)</f>
        <v>-0.198812070380318</v>
      </c>
      <c r="HK398" s="60" t="n">
        <f aca="false">$E$27/FW398*(HH398-1)-HJ398-HI398*(2*FJ398/FV398-$E$27/FW398)</f>
        <v>-0.107840271021729</v>
      </c>
      <c r="HL398" s="60" t="n">
        <f aca="false">$F$27/FW398*(HH398-1)-HJ398-HI398*(2*FK398/FV398-$F$27/FW398)</f>
        <v>0.198812070380318</v>
      </c>
      <c r="HM398" s="60" t="n">
        <f aca="false">$G$27/FW398*(HH398-1)-HJ398-HI398*(2*FL398/FV398-$G$27/FW398)</f>
        <v>0.198812070380318</v>
      </c>
      <c r="HN398" s="60" t="n">
        <f aca="false">$H$27/FW398*(HH398-1)-HJ398-HI398*(2*FM398/FV398-$H$27/FW398)</f>
        <v>0.198812070380318</v>
      </c>
      <c r="HO398" s="60" t="n">
        <f aca="false">$I$27/FW398*(HH398-1)-HJ398-HI398*(2*FN398/FV398-$I$27/FW398)</f>
        <v>0.198812070380318</v>
      </c>
      <c r="HP398" s="60" t="n">
        <f aca="false">$J$27/FW398*(HH398-1)-HJ398-HI398*(2*FO398/FV398-$J$27/FW398)</f>
        <v>0.198812070380318</v>
      </c>
      <c r="HQ398" s="60" t="n">
        <f aca="false">$K$27/FW398*(HH398-1)-HJ398-HI398*(2*FP398/FV398-$K$27/FW398)</f>
        <v>0.198812070380318</v>
      </c>
      <c r="HR398" s="60" t="n">
        <f aca="false">$L$27/FW398*(HH398-1)-HJ398-HI398*(2*FQ398/FV398-$L$27/FW398)</f>
        <v>0.198812070380318</v>
      </c>
      <c r="HS398" s="60" t="n">
        <f aca="false">$M$27/FW398*(HH398-1)-HJ398-HI398*(2*FR398/FV398-$M$27/FW398)</f>
        <v>0.198812070380318</v>
      </c>
      <c r="HT398" s="60" t="n">
        <f aca="false">$N$27/FW398*(HH398-1)-HJ398-HI398*(2*FS398/FV398-$N$27/FW398)</f>
        <v>0.198812070380318</v>
      </c>
      <c r="HU398" s="60" t="n">
        <f aca="false">$O$27/FW398*(HH398-1)-HJ398-HI398*(2*FT398/FV398-$O$27/FW398)</f>
        <v>0.198812070380318</v>
      </c>
      <c r="HV398" s="60" t="n">
        <f aca="false">$P$27/FW398*(HH398-1)-HJ398-HI398*(2*FU398/FV398-$P$27/FW398)</f>
        <v>0.198812070380318</v>
      </c>
      <c r="HW398" s="60" t="n">
        <f aca="false">FY398/HH398&gt;$C$22</f>
        <v>0</v>
      </c>
      <c r="HX398" s="60" t="n">
        <f aca="false">IF($E$13&gt;0,MAX(-300,MIN(300,EW398-HK398)),0)</f>
        <v>0</v>
      </c>
      <c r="HY398" s="60" t="n">
        <f aca="false">IF($F$13&gt;0,MAX(-300,MIN(300,EX398-HL398)),0)</f>
        <v>0</v>
      </c>
      <c r="HZ398" s="60" t="n">
        <f aca="false">IF($G$13&gt;0,MAX(-300,MIN(300,EY398-HM398)),0)</f>
        <v>0</v>
      </c>
      <c r="IA398" s="60" t="n">
        <f aca="false">IF($H$13&gt;0,MAX(-300,MIN(300,EZ398-HN398)),0)</f>
        <v>0</v>
      </c>
      <c r="IB398" s="60" t="n">
        <f aca="false">IF($I$13&gt;0,MAX(-300,MIN(300,FA398-HO398)),0)</f>
        <v>0</v>
      </c>
      <c r="IC398" s="60" t="n">
        <f aca="false">IF($J$13&gt;0,MAX(-300,MIN(300,FB398-HP398)),0)</f>
        <v>0</v>
      </c>
      <c r="ID398" s="60" t="n">
        <f aca="false">IF($K$13&gt;0,MAX(-300,MIN(300,FC398-HQ398)),0)</f>
        <v>0</v>
      </c>
      <c r="IE398" s="60" t="n">
        <f aca="false">IF($L$13&gt;0,MAX(-300,MIN(300,FD398-HR398)),0)</f>
        <v>0</v>
      </c>
      <c r="IF398" s="60" t="n">
        <f aca="false">IF($M$13&gt;0,MAX(-300,MIN(300,FE398-HS398)),0)</f>
        <v>0</v>
      </c>
      <c r="IG398" s="60" t="n">
        <f aca="false">IF($N$13&gt;0,MAX(-300,MIN(300,FF398-HT398)),0)</f>
        <v>0</v>
      </c>
      <c r="IH398" s="60" t="n">
        <f aca="false">IF($O$13&gt;0,MAX(-300,MIN(300,FG398-HU398)),0)</f>
        <v>0</v>
      </c>
      <c r="II398" s="60" t="n">
        <f aca="false">IF($P$13&gt;0,MAX(-300,MIN(300,FH398-HV398)),0)</f>
        <v>0</v>
      </c>
      <c r="IJ398" s="60" t="n">
        <f aca="false">SUMXMY2(HX398:II398,B398:M398)</f>
        <v>0</v>
      </c>
      <c r="IK398" s="60" t="n">
        <f aca="false">SUMSQ(B398:M398)</f>
        <v>0</v>
      </c>
    </row>
    <row r="399" customFormat="false" ht="15" hidden="false" customHeight="false" outlineLevel="0" collapsed="false">
      <c r="A399" s="59" t="n">
        <v>38</v>
      </c>
      <c r="B399" s="60" t="n">
        <f aca="false">HX398</f>
        <v>0</v>
      </c>
      <c r="C399" s="60" t="n">
        <f aca="false">HY398</f>
        <v>0</v>
      </c>
      <c r="D399" s="60" t="n">
        <f aca="false">HZ398</f>
        <v>0</v>
      </c>
      <c r="E399" s="60" t="n">
        <f aca="false">IA398</f>
        <v>0</v>
      </c>
      <c r="F399" s="60" t="n">
        <f aca="false">IB398</f>
        <v>0</v>
      </c>
      <c r="G399" s="60" t="n">
        <f aca="false">IC398</f>
        <v>0</v>
      </c>
      <c r="H399" s="60" t="n">
        <f aca="false">ID398</f>
        <v>0</v>
      </c>
      <c r="I399" s="60" t="n">
        <f aca="false">IE398</f>
        <v>0</v>
      </c>
      <c r="J399" s="60" t="n">
        <f aca="false">IF398</f>
        <v>0</v>
      </c>
      <c r="K399" s="60" t="n">
        <f aca="false">IG398</f>
        <v>0</v>
      </c>
      <c r="L399" s="60" t="n">
        <f aca="false">IH398</f>
        <v>0</v>
      </c>
      <c r="M399" s="60" t="n">
        <f aca="false">II398</f>
        <v>0</v>
      </c>
      <c r="N399" s="60" t="n">
        <f aca="false">EXP(B399)</f>
        <v>1</v>
      </c>
      <c r="O399" s="60" t="n">
        <f aca="false">EXP(C399)</f>
        <v>1</v>
      </c>
      <c r="P399" s="60" t="n">
        <f aca="false">EXP(D399)</f>
        <v>1</v>
      </c>
      <c r="Q399" s="60" t="n">
        <f aca="false">EXP(E399)</f>
        <v>1</v>
      </c>
      <c r="R399" s="60" t="n">
        <f aca="false">EXP(F399)</f>
        <v>1</v>
      </c>
      <c r="S399" s="60" t="n">
        <f aca="false">EXP(G399)</f>
        <v>1</v>
      </c>
      <c r="T399" s="60" t="n">
        <f aca="false">EXP(H399)</f>
        <v>1</v>
      </c>
      <c r="U399" s="60" t="n">
        <f aca="false">EXP(I399)</f>
        <v>1</v>
      </c>
      <c r="V399" s="60" t="n">
        <f aca="false">EXP(J399)</f>
        <v>1</v>
      </c>
      <c r="W399" s="60" t="n">
        <f aca="false">EXP(K399)</f>
        <v>1</v>
      </c>
      <c r="X399" s="60" t="n">
        <f aca="false">EXP(L399)</f>
        <v>1</v>
      </c>
      <c r="Y399" s="60" t="n">
        <f aca="false">EXP(M399)</f>
        <v>1</v>
      </c>
      <c r="Z399" s="60" t="n">
        <f aca="false">MAX(N399:Y399)</f>
        <v>1</v>
      </c>
      <c r="AA399" s="60" t="n">
        <f aca="false">MIN(N399:Y399)</f>
        <v>1</v>
      </c>
      <c r="AB399" s="60" t="n">
        <f aca="false">AND(Z399&gt;1,AA399&lt;1)</f>
        <v>0</v>
      </c>
      <c r="AC399" s="60" t="n">
        <f aca="false">IF(AB399,1/(1-Z399),0)</f>
        <v>0</v>
      </c>
      <c r="AD399" s="60" t="n">
        <f aca="false">IF(AB399,1/(1-AA399),1)</f>
        <v>1</v>
      </c>
      <c r="AE399" s="60" t="n">
        <f aca="false">IF(AB399,MIN(MAX(BI398,AC399+0.000000001*(AD399-AC399)),AD399-0.000000001*(AD399-AC399)),IF(AA399&gt;=1,1,0))</f>
        <v>1</v>
      </c>
      <c r="AF399" s="60" t="n">
        <f aca="false">SUMPRODUCT($E$13:$P$13*(N399:Y399-1)/(1+AE399*(N399:Y399-1)))</f>
        <v>0</v>
      </c>
      <c r="AG399" s="60" t="n">
        <f aca="false">-SUMPRODUCT($E$13:$P$13*(N399:Y399-1)^2/(1+AE399*(N399:Y399-1))^2)</f>
        <v>-0</v>
      </c>
      <c r="AH399" s="60" t="n">
        <f aca="false">IF(OR(NOT(AB399),AG399=0),AE399,IF(AE399-AF399/AG399&lt;=AC399,(AE399+AC399)/2,IF(AE399-AF399/AG399&gt;=AD399,(AE399+AD399)/2,AE399-AF399/AG399)))</f>
        <v>1</v>
      </c>
      <c r="AI399" s="60" t="n">
        <f aca="false">SUMPRODUCT($E$13:$P$13*(N399:Y399-1)/(1+AH399*(N399:Y399-1)))</f>
        <v>0</v>
      </c>
      <c r="AJ399" s="60" t="n">
        <f aca="false">-SUMPRODUCT($E$13:$P$13*(N399:Y399-1)^2/(1+AH399*(N399:Y399-1))^2)</f>
        <v>-0</v>
      </c>
      <c r="AK399" s="60" t="n">
        <f aca="false">IF(OR(NOT(AB399),AJ399=0),AH399,IF(AH399-AI399/AJ399&lt;=AC399,(AH399+AC399)/2,IF(AH399-AI399/AJ399&gt;=AD399,(AH399+AD399)/2,AH399-AI399/AJ399)))</f>
        <v>1</v>
      </c>
      <c r="AL399" s="60" t="n">
        <f aca="false">SUMPRODUCT($E$13:$P$13*(N399:Y399-1)/(1+AK399*(N399:Y399-1)))</f>
        <v>0</v>
      </c>
      <c r="AM399" s="60" t="n">
        <f aca="false">-SUMPRODUCT($E$13:$P$13*(N399:Y399-1)^2/(1+AK399*(N399:Y399-1))^2)</f>
        <v>-0</v>
      </c>
      <c r="AN399" s="60" t="n">
        <f aca="false">IF(OR(NOT(AB399),AM399=0),AK399,IF(AK399-AL399/AM399&lt;=AC399,(AK399+AC399)/2,IF(AK399-AL399/AM399&gt;=AD399,(AK399+AD399)/2,AK399-AL399/AM399)))</f>
        <v>1</v>
      </c>
      <c r="AO399" s="60" t="n">
        <f aca="false">SUMPRODUCT($E$13:$P$13*(N399:Y399-1)/(1+AN399*(N399:Y399-1)))</f>
        <v>0</v>
      </c>
      <c r="AP399" s="60" t="n">
        <f aca="false">-SUMPRODUCT($E$13:$P$13*(N399:Y399-1)^2/(1+AN399*(N399:Y399-1))^2)</f>
        <v>-0</v>
      </c>
      <c r="AQ399" s="60" t="n">
        <f aca="false">IF(OR(NOT(AB399),AP399=0),AN399,IF(AN399-AO399/AP399&lt;=AC399,(AN399+AC399)/2,IF(AN399-AO399/AP399&gt;=AD399,(AN399+AD399)/2,AN399-AO399/AP399)))</f>
        <v>1</v>
      </c>
      <c r="AR399" s="60" t="n">
        <f aca="false">SUMPRODUCT($E$13:$P$13*(N399:Y399-1)/(1+AQ399*(N399:Y399-1)))</f>
        <v>0</v>
      </c>
      <c r="AS399" s="60" t="n">
        <f aca="false">-SUMPRODUCT($E$13:$P$13*(N399:Y399-1)^2/(1+AQ399*(N399:Y399-1))^2)</f>
        <v>-0</v>
      </c>
      <c r="AT399" s="60" t="n">
        <f aca="false">IF(OR(NOT(AB399),AS399=0),AQ399,IF(AQ399-AR399/AS399&lt;=AC399,(AQ399+AC399)/2,IF(AQ399-AR399/AS399&gt;=AD399,(AQ399+AD399)/2,AQ399-AR399/AS399)))</f>
        <v>1</v>
      </c>
      <c r="AU399" s="60" t="n">
        <f aca="false">SUMPRODUCT($E$13:$P$13*(N399:Y399-1)/(1+AT399*(N399:Y399-1)))</f>
        <v>0</v>
      </c>
      <c r="AV399" s="60" t="n">
        <f aca="false">-SUMPRODUCT($E$13:$P$13*(N399:Y399-1)^2/(1+AT399*(N399:Y399-1))^2)</f>
        <v>-0</v>
      </c>
      <c r="AW399" s="60" t="n">
        <f aca="false">IF(OR(NOT(AB399),AV399=0),AT399,IF(AT399-AU399/AV399&lt;=AC399,(AT399+AC399)/2,IF(AT399-AU399/AV399&gt;=AD399,(AT399+AD399)/2,AT399-AU399/AV399)))</f>
        <v>1</v>
      </c>
      <c r="AX399" s="60" t="n">
        <f aca="false">SUMPRODUCT($E$13:$P$13*(N399:Y399-1)/(1+AW399*(N399:Y399-1)))</f>
        <v>0</v>
      </c>
      <c r="AY399" s="60" t="n">
        <f aca="false">-SUMPRODUCT($E$13:$P$13*(N399:Y399-1)^2/(1+AW399*(N399:Y399-1))^2)</f>
        <v>-0</v>
      </c>
      <c r="AZ399" s="60" t="n">
        <f aca="false">IF(OR(NOT(AB399),AY399=0),AW399,IF(AW399-AX399/AY399&lt;=AC399,(AW399+AC399)/2,IF(AW399-AX399/AY399&gt;=AD399,(AW399+AD399)/2,AW399-AX399/AY399)))</f>
        <v>1</v>
      </c>
      <c r="BA399" s="60" t="n">
        <f aca="false">SUMPRODUCT($E$13:$P$13*(N399:Y399-1)/(1+AZ399*(N399:Y399-1)))</f>
        <v>0</v>
      </c>
      <c r="BB399" s="60" t="n">
        <f aca="false">-SUMPRODUCT($E$13:$P$13*(N399:Y399-1)^2/(1+AZ399*(N399:Y399-1))^2)</f>
        <v>-0</v>
      </c>
      <c r="BC399" s="60" t="n">
        <f aca="false">IF(OR(NOT(AB399),BB399=0),AZ399,IF(AZ399-BA399/BB399&lt;=AC399,(AZ399+AC399)/2,IF(AZ399-BA399/BB399&gt;=AD399,(AZ399+AD399)/2,AZ399-BA399/BB399)))</f>
        <v>1</v>
      </c>
      <c r="BD399" s="60" t="n">
        <f aca="false">SUMPRODUCT($E$13:$P$13*(N399:Y399-1)/(1+BC399*(N399:Y399-1)))</f>
        <v>0</v>
      </c>
      <c r="BE399" s="60" t="n">
        <f aca="false">-SUMPRODUCT($E$13:$P$13*(N399:Y399-1)^2/(1+BC399*(N399:Y399-1))^2)</f>
        <v>-0</v>
      </c>
      <c r="BF399" s="60" t="n">
        <f aca="false">IF(OR(NOT(AB399),BE399=0),BC399,IF(BC399-BD399/BE399&lt;=AC399,(BC399+AC399)/2,IF(BC399-BD399/BE399&gt;=AD399,(BC399+AD399)/2,BC399-BD399/BE399)))</f>
        <v>1</v>
      </c>
      <c r="BG399" s="60" t="n">
        <f aca="false">SUMPRODUCT($E$13:$P$13*(N399:Y399-1)/(1+BF399*(N399:Y399-1)))</f>
        <v>0</v>
      </c>
      <c r="BH399" s="60" t="n">
        <f aca="false">-SUMPRODUCT($E$13:$P$13*(N399:Y399-1)^2/(1+BF399*(N399:Y399-1))^2)</f>
        <v>-0</v>
      </c>
      <c r="BI399" s="60" t="n">
        <f aca="false">IF(OR(NOT(AB399),BH399=0),BF399,IF(BF399-BG399/BH399&lt;=AC399,(BF399+AC399)/2,IF(BF399-BG399/BH399&gt;=AD399,(BF399+AD399)/2,BF399-BG399/BH399)))</f>
        <v>1</v>
      </c>
      <c r="BJ399" s="60" t="n">
        <f aca="false">$E$13/(1+BI399*(N399-1))</f>
        <v>1</v>
      </c>
      <c r="BK399" s="60" t="n">
        <f aca="false">$F$13/(1+BI399*(O399-1))</f>
        <v>0</v>
      </c>
      <c r="BL399" s="60" t="n">
        <f aca="false">$G$13/(1+BI399*(P399-1))</f>
        <v>0</v>
      </c>
      <c r="BM399" s="60" t="n">
        <f aca="false">$H$13/(1+BI399*(Q399-1))</f>
        <v>0</v>
      </c>
      <c r="BN399" s="60" t="n">
        <f aca="false">$I$13/(1+BI399*(R399-1))</f>
        <v>0</v>
      </c>
      <c r="BO399" s="60" t="n">
        <f aca="false">$J$13/(1+BI399*(S399-1))</f>
        <v>0</v>
      </c>
      <c r="BP399" s="60" t="n">
        <f aca="false">$K$13/(1+BI399*(T399-1))</f>
        <v>0</v>
      </c>
      <c r="BQ399" s="60" t="n">
        <f aca="false">$L$13/(1+BI399*(U399-1))</f>
        <v>0</v>
      </c>
      <c r="BR399" s="60" t="n">
        <f aca="false">$M$13/(1+BI399*(V399-1))</f>
        <v>0</v>
      </c>
      <c r="BS399" s="60" t="n">
        <f aca="false">$N$13/(1+BI399*(W399-1))</f>
        <v>0</v>
      </c>
      <c r="BT399" s="60" t="n">
        <f aca="false">$O$13/(1+BI399*(X399-1))</f>
        <v>0</v>
      </c>
      <c r="BU399" s="60" t="n">
        <f aca="false">$P$13/(1+BI399*(Y399-1))</f>
        <v>0</v>
      </c>
      <c r="BV399" s="60" t="n">
        <f aca="false">SUM(BJ399:BU399)</f>
        <v>1</v>
      </c>
      <c r="BW399" s="60" t="n">
        <f aca="false">SUMPRODUCT(N399:Y399,BJ399:BU399)</f>
        <v>1</v>
      </c>
      <c r="BX399" s="60" t="n">
        <f aca="false">BJ399/BV399</f>
        <v>1</v>
      </c>
      <c r="BY399" s="60" t="n">
        <f aca="false">BK399/BV399</f>
        <v>0</v>
      </c>
      <c r="BZ399" s="60" t="n">
        <f aca="false">BL399/BV399</f>
        <v>0</v>
      </c>
      <c r="CA399" s="60" t="n">
        <f aca="false">BM399/BV399</f>
        <v>0</v>
      </c>
      <c r="CB399" s="60" t="n">
        <f aca="false">BN399/BV399</f>
        <v>0</v>
      </c>
      <c r="CC399" s="60" t="n">
        <f aca="false">BO399/BV399</f>
        <v>0</v>
      </c>
      <c r="CD399" s="60" t="n">
        <f aca="false">BP399/BV399</f>
        <v>0</v>
      </c>
      <c r="CE399" s="60" t="n">
        <f aca="false">BQ399/BV399</f>
        <v>0</v>
      </c>
      <c r="CF399" s="60" t="n">
        <f aca="false">BR399/BV399</f>
        <v>0</v>
      </c>
      <c r="CG399" s="60" t="n">
        <f aca="false">BS399/BV399</f>
        <v>0</v>
      </c>
      <c r="CH399" s="60" t="n">
        <f aca="false">BT399/BV399</f>
        <v>0</v>
      </c>
      <c r="CI399" s="60" t="n">
        <f aca="false">BU399/BV399</f>
        <v>0</v>
      </c>
      <c r="CJ399" s="60" t="n">
        <f aca="false">N399*BJ399/BW399</f>
        <v>1</v>
      </c>
      <c r="CK399" s="60" t="n">
        <f aca="false">O399*BK399/BW399</f>
        <v>0</v>
      </c>
      <c r="CL399" s="60" t="n">
        <f aca="false">P399*BL399/BW399</f>
        <v>0</v>
      </c>
      <c r="CM399" s="60" t="n">
        <f aca="false">Q399*BM399/BW399</f>
        <v>0</v>
      </c>
      <c r="CN399" s="60" t="n">
        <f aca="false">R399*BN399/BW399</f>
        <v>0</v>
      </c>
      <c r="CO399" s="60" t="n">
        <f aca="false">S399*BO399/BW399</f>
        <v>0</v>
      </c>
      <c r="CP399" s="60" t="n">
        <f aca="false">T399*BP399/BW399</f>
        <v>0</v>
      </c>
      <c r="CQ399" s="60" t="n">
        <f aca="false">U399*BQ399/BW399</f>
        <v>0</v>
      </c>
      <c r="CR399" s="60" t="n">
        <f aca="false">V399*BR399/BW399</f>
        <v>0</v>
      </c>
      <c r="CS399" s="60" t="n">
        <f aca="false">W399*BS399/BW399</f>
        <v>0</v>
      </c>
      <c r="CT399" s="60" t="n">
        <f aca="false">X399*BT399/BW399</f>
        <v>0</v>
      </c>
      <c r="CU399" s="60" t="n">
        <f aca="false">Y399*BU399/BW399</f>
        <v>0</v>
      </c>
      <c r="CV399" s="60" t="n">
        <f aca="false">$E$28*SUMPRODUCT($E$31:$P$31,BX399:CI399,$E$28:$P$28)</f>
        <v>0.184416866619846</v>
      </c>
      <c r="CW399" s="60" t="n">
        <f aca="false">$F$28*SUMPRODUCT($E$32:$P$32,BX399:CI399,$E$28:$P$28)</f>
        <v>0</v>
      </c>
      <c r="CX399" s="60" t="n">
        <f aca="false">$G$28*SUMPRODUCT($E$33:$P$33,BX399:CI399,$E$28:$P$28)</f>
        <v>0</v>
      </c>
      <c r="CY399" s="60" t="n">
        <f aca="false">$H$28*SUMPRODUCT($E$34:$P$34,BX399:CI399,$E$28:$P$28)</f>
        <v>0</v>
      </c>
      <c r="CZ399" s="60" t="n">
        <f aca="false">$I$28*SUMPRODUCT($E$35:$P$35,BX399:CI399,$E$28:$P$28)</f>
        <v>0</v>
      </c>
      <c r="DA399" s="60" t="n">
        <f aca="false">$J$28*SUMPRODUCT($E$36:$P$36,BX399:CI399,$E$28:$P$28)</f>
        <v>0</v>
      </c>
      <c r="DB399" s="60" t="n">
        <f aca="false">$K$28*SUMPRODUCT($E$37:$P$37,BX399:CI399,$E$28:$P$28)</f>
        <v>0</v>
      </c>
      <c r="DC399" s="60" t="n">
        <f aca="false">$L$28*SUMPRODUCT($E$38:$P$38,BX399:CI399,$E$28:$P$28)</f>
        <v>0</v>
      </c>
      <c r="DD399" s="60" t="n">
        <f aca="false">$M$28*SUMPRODUCT($E$39:$P$39,BX399:CI399,$E$28:$P$28)</f>
        <v>0</v>
      </c>
      <c r="DE399" s="60" t="n">
        <f aca="false">$N$28*SUMPRODUCT($E$40:$P$40,BX399:CI399,$E$28:$P$28)</f>
        <v>0</v>
      </c>
      <c r="DF399" s="60" t="n">
        <f aca="false">$O$28*SUMPRODUCT($E$41:$P$41,BX399:CI399,$E$28:$P$28)</f>
        <v>0</v>
      </c>
      <c r="DG399" s="60" t="n">
        <f aca="false">$P$28*SUMPRODUCT($E$42:$P$42,BX399:CI399,$E$28:$P$28)</f>
        <v>0</v>
      </c>
      <c r="DH399" s="60" t="n">
        <f aca="false">SUMPRODUCT(BX399:CI399,CV399:DG399)</f>
        <v>0.184416866619846</v>
      </c>
      <c r="DI399" s="60" t="n">
        <f aca="false">SUMPRODUCT(BX399:CI399,$E$27:$P$27)</f>
        <v>2.67389635063809E-005</v>
      </c>
      <c r="DJ399" s="60" t="n">
        <f aca="false">DH399*$C$9/($C$10*$C$8)^2</f>
        <v>0.21776909410545</v>
      </c>
      <c r="DK399" s="60" t="n">
        <f aca="false">DI399*$C$9/($C$10*$C$8)</f>
        <v>0.0918845243259994</v>
      </c>
      <c r="DL399" s="60" t="n">
        <f aca="false">CHOOSE($C$7,-(1+DK399),-1,-(1-DK399))</f>
        <v>-0.908115475674001</v>
      </c>
      <c r="DM399" s="60" t="n">
        <f aca="false">CHOOSE($C$7,DJ399,DJ399-DK399-DK399^2,DJ399-3*DK399^2-2*DK399)</f>
        <v>0.00867174802160559</v>
      </c>
      <c r="DN399" s="60" t="n">
        <f aca="false">CHOOSE($C$7,-DJ399*DK399,-DJ399*DK399,-(DJ399*DK399-DK399^2-DK399^3))</f>
        <v>-0.0107910842936637</v>
      </c>
      <c r="DO399" s="60" t="n">
        <f aca="false">DM399-DL399^2/3</f>
        <v>-0.266219491031267</v>
      </c>
      <c r="DP399" s="60" t="n">
        <f aca="false">2*DL399^3/27-DL399*DM399/3+DN399</f>
        <v>-0.0636400988362784</v>
      </c>
      <c r="DQ399" s="60" t="n">
        <f aca="false">DP399^2/4+DO399^3/27</f>
        <v>0.000313710901361829</v>
      </c>
      <c r="DR399" s="60" t="n">
        <f aca="false">-DP399/2-IF(DP399&gt;=0,1,-1)*SQRT(MAX(DQ399,0))</f>
        <v>0.0495319352963236</v>
      </c>
      <c r="DS399" s="60" t="n">
        <f aca="false">SIGN(DR399)*ABS(DR399)^(1/3)</f>
        <v>0.367249967174439</v>
      </c>
      <c r="DT399" s="60" t="n">
        <f aca="false">IF(DS399=0,0,DS399-DO399/(3*DS399))</f>
        <v>0.60888329127384</v>
      </c>
      <c r="DU399" s="60" t="n">
        <f aca="false">2*SQRT(MAX(-DO399,0)/3)</f>
        <v>0.595784626668918</v>
      </c>
      <c r="DV399" s="60" t="n">
        <f aca="false">ACOS(IF(DU399=0,0,MAX(-1,MIN(1,3*DP399/(DO399*DU399)))))</f>
        <v>0</v>
      </c>
      <c r="DW399" s="60" t="n">
        <f aca="false">DU399*COS(DV399/3)</f>
        <v>0.595784626668918</v>
      </c>
      <c r="DX399" s="60" t="n">
        <f aca="false">IF(DQ399&lt;0,DW399,DT399)-DL399/3</f>
        <v>0.91158844983184</v>
      </c>
      <c r="DY399" s="60" t="n">
        <f aca="false">IFERROR((((DX399+DL399)*DX399+DM399)*DX399+DN399)/((3*DX399+2*DL399)*DX399+DM399),0)</f>
        <v>0</v>
      </c>
      <c r="DZ399" s="60" t="n">
        <f aca="false">IF(ABS(DY399)&lt;0.1*ABS(DX399),DX399-DY399,DX399)</f>
        <v>0.91158844983184</v>
      </c>
      <c r="EA399" s="60" t="n">
        <f aca="false">IFERROR((((DZ399+DL399)*DZ399+DM399)*DZ399+DN399)/((3*DZ399+2*DL399)*DZ399+DM399),0)</f>
        <v>0</v>
      </c>
      <c r="EB399" s="60" t="n">
        <f aca="false">IF(ABS(EA399)&lt;0.1*ABS(DZ399),DZ399-EA399,DZ399)</f>
        <v>0.91158844983184</v>
      </c>
      <c r="EC399" s="60" t="n">
        <f aca="false">-DN399/EB399</f>
        <v>0.0118376711504565</v>
      </c>
      <c r="ED399" s="60" t="n">
        <f aca="false">(DM399-EC399)/EB399</f>
        <v>-0.00347297415783941</v>
      </c>
      <c r="EE399" s="60" t="n">
        <f aca="false">ED399^2-4*EC399</f>
        <v>-0.0473386230523248</v>
      </c>
      <c r="EF399" s="60" t="n">
        <f aca="false">IF(EE399&gt;=0,(ED399+IF(ED399&gt;=0,1,-1)*SQRT(EE399))/2,0)</f>
        <v>0</v>
      </c>
      <c r="EG399" s="60" t="n">
        <f aca="false">IF(AND(EE399&gt;=0,EF399&lt;&gt;0),MIN(EF399,EC399/EF399),-1)</f>
        <v>-1</v>
      </c>
      <c r="EH399" s="60" t="n">
        <f aca="false">AND(EE399&gt;=0,EG399&gt;DK399,ABS(EB399-EG399)&gt;=0.00005*MAX(EB399,EG399))</f>
        <v>0</v>
      </c>
      <c r="EI399" s="60" t="n">
        <f aca="false">IF(EH399,IFERROR((((EG399+DL399)*EG399+DM399)*EG399+DN399)/((3*EG399+2*DL399)*EG399+DM399),0),0)</f>
        <v>0</v>
      </c>
      <c r="EJ399" s="60" t="n">
        <f aca="false">IF(ABS(EI399)&lt;0.1*ABS(EG399),EG399-EI399,EG399)</f>
        <v>-1</v>
      </c>
      <c r="EK399" s="60" t="n">
        <f aca="false">IF(EH399,IFERROR((((EJ399+DL399)*EJ399+DM399)*EJ399+DN399)/((3*EJ399+2*DL399)*EJ399+DM399),0),0)</f>
        <v>0</v>
      </c>
      <c r="EL399" s="60" t="n">
        <f aca="false">IF(ABS(EK399)&lt;0.1*ABS(EJ399),EJ399-EK399,EJ399)</f>
        <v>-1</v>
      </c>
      <c r="EM399" s="60" t="n">
        <f aca="false">IF(EH399,MAX(EB399,EL399),EB399)</f>
        <v>0.91158844983184</v>
      </c>
      <c r="EN399" s="60" t="n">
        <f aca="false">IF(EH399,MIN(EB399,EL399),-1)</f>
        <v>-1</v>
      </c>
      <c r="EO399" s="60" t="n">
        <f aca="false">CHOOSE($C$7,DJ399/EM399,DJ399/DK399*LN(1+DK399/EM399),DJ399/(2*SQRT(2)*DK399)*LN((EM399+(1+SQRT(2))*DK399)/(EM399+(1-SQRT(2))*DK399)))</f>
        <v>0.218240791233887</v>
      </c>
      <c r="EP399" s="60" t="n">
        <f aca="false">EM399-1-LN(EM399-DK399)-EO399</f>
        <v>-0.107840271021729</v>
      </c>
      <c r="EQ399" s="60" t="n">
        <f aca="false">IF(EH399,CHOOSE($C$7,DJ399/EN399,DJ399/DK399*LN(1+DK399/EN399),DJ399/(2*SQRT(2)*DK399)*LN((EN399+(1+SQRT(2))*DK399)/(EN399+(1-SQRT(2))*DK399))),0)</f>
        <v>0</v>
      </c>
      <c r="ER399" s="60" t="n">
        <f aca="false">IF(EH399,EN399-1-LN(EN399-DK399)-EQ399,0)</f>
        <v>0</v>
      </c>
      <c r="ES399" s="60" t="n">
        <f aca="false">AND(EH399,ER399&lt;EP399)</f>
        <v>0</v>
      </c>
      <c r="ET399" s="60" t="n">
        <f aca="false">IF(ES399,EN399,EM399)</f>
        <v>0.91158844983184</v>
      </c>
      <c r="EU399" s="60" t="n">
        <f aca="false">IF(ES399,EQ399,EO399)</f>
        <v>0.218240791233887</v>
      </c>
      <c r="EV399" s="60" t="n">
        <f aca="false">LN(ET399-DK399)</f>
        <v>-0.198812070380318</v>
      </c>
      <c r="EW399" s="60" t="n">
        <f aca="false">$E$27/DI399*(ET399-1)-EV399-EU399*(2*CV399/DH399-$E$27/DI399)</f>
        <v>-0.107840271021729</v>
      </c>
      <c r="EX399" s="60" t="n">
        <f aca="false">$F$27/DI399*(ET399-1)-EV399-EU399*(2*CW399/DH399-$F$27/DI399)</f>
        <v>0.198812070380318</v>
      </c>
      <c r="EY399" s="60" t="n">
        <f aca="false">$G$27/DI399*(ET399-1)-EV399-EU399*(2*CX399/DH399-$G$27/DI399)</f>
        <v>0.198812070380318</v>
      </c>
      <c r="EZ399" s="60" t="n">
        <f aca="false">$H$27/DI399*(ET399-1)-EV399-EU399*(2*CY399/DH399-$H$27/DI399)</f>
        <v>0.198812070380318</v>
      </c>
      <c r="FA399" s="60" t="n">
        <f aca="false">$I$27/DI399*(ET399-1)-EV399-EU399*(2*CZ399/DH399-$I$27/DI399)</f>
        <v>0.198812070380318</v>
      </c>
      <c r="FB399" s="60" t="n">
        <f aca="false">$J$27/DI399*(ET399-1)-EV399-EU399*(2*DA399/DH399-$J$27/DI399)</f>
        <v>0.198812070380318</v>
      </c>
      <c r="FC399" s="60" t="n">
        <f aca="false">$K$27/DI399*(ET399-1)-EV399-EU399*(2*DB399/DH399-$K$27/DI399)</f>
        <v>0.198812070380318</v>
      </c>
      <c r="FD399" s="60" t="n">
        <f aca="false">$L$27/DI399*(ET399-1)-EV399-EU399*(2*DC399/DH399-$L$27/DI399)</f>
        <v>0.198812070380318</v>
      </c>
      <c r="FE399" s="60" t="n">
        <f aca="false">$M$27/DI399*(ET399-1)-EV399-EU399*(2*DD399/DH399-$M$27/DI399)</f>
        <v>0.198812070380318</v>
      </c>
      <c r="FF399" s="60" t="n">
        <f aca="false">$N$27/DI399*(ET399-1)-EV399-EU399*(2*DE399/DH399-$N$27/DI399)</f>
        <v>0.198812070380318</v>
      </c>
      <c r="FG399" s="60" t="n">
        <f aca="false">$O$27/DI399*(ET399-1)-EV399-EU399*(2*DF399/DH399-$O$27/DI399)</f>
        <v>0.198812070380318</v>
      </c>
      <c r="FH399" s="60" t="n">
        <f aca="false">$P$27/DI399*(ET399-1)-EV399-EU399*(2*DG399/DH399-$P$27/DI399)</f>
        <v>0.198812070380318</v>
      </c>
      <c r="FI399" s="60" t="n">
        <f aca="false">DK399/ET399&gt;$C$22</f>
        <v>0</v>
      </c>
      <c r="FJ399" s="60" t="n">
        <f aca="false">$E$28*SUMPRODUCT($E$31:$P$31,CJ399:CU399,$E$28:$P$28)</f>
        <v>0.184416866619846</v>
      </c>
      <c r="FK399" s="60" t="n">
        <f aca="false">$F$28*SUMPRODUCT($E$32:$P$32,CJ399:CU399,$E$28:$P$28)</f>
        <v>0</v>
      </c>
      <c r="FL399" s="60" t="n">
        <f aca="false">$G$28*SUMPRODUCT($E$33:$P$33,CJ399:CU399,$E$28:$P$28)</f>
        <v>0</v>
      </c>
      <c r="FM399" s="60" t="n">
        <f aca="false">$H$28*SUMPRODUCT($E$34:$P$34,CJ399:CU399,$E$28:$P$28)</f>
        <v>0</v>
      </c>
      <c r="FN399" s="60" t="n">
        <f aca="false">$I$28*SUMPRODUCT($E$35:$P$35,CJ399:CU399,$E$28:$P$28)</f>
        <v>0</v>
      </c>
      <c r="FO399" s="60" t="n">
        <f aca="false">$J$28*SUMPRODUCT($E$36:$P$36,CJ399:CU399,$E$28:$P$28)</f>
        <v>0</v>
      </c>
      <c r="FP399" s="60" t="n">
        <f aca="false">$K$28*SUMPRODUCT($E$37:$P$37,CJ399:CU399,$E$28:$P$28)</f>
        <v>0</v>
      </c>
      <c r="FQ399" s="60" t="n">
        <f aca="false">$L$28*SUMPRODUCT($E$38:$P$38,CJ399:CU399,$E$28:$P$28)</f>
        <v>0</v>
      </c>
      <c r="FR399" s="60" t="n">
        <f aca="false">$M$28*SUMPRODUCT($E$39:$P$39,CJ399:CU399,$E$28:$P$28)</f>
        <v>0</v>
      </c>
      <c r="FS399" s="60" t="n">
        <f aca="false">$N$28*SUMPRODUCT($E$40:$P$40,CJ399:CU399,$E$28:$P$28)</f>
        <v>0</v>
      </c>
      <c r="FT399" s="60" t="n">
        <f aca="false">$O$28*SUMPRODUCT($E$41:$P$41,CJ399:CU399,$E$28:$P$28)</f>
        <v>0</v>
      </c>
      <c r="FU399" s="60" t="n">
        <f aca="false">$P$28*SUMPRODUCT($E$42:$P$42,CJ399:CU399,$E$28:$P$28)</f>
        <v>0</v>
      </c>
      <c r="FV399" s="60" t="n">
        <f aca="false">SUMPRODUCT(CJ399:CU399,FJ399:FU399)</f>
        <v>0.184416866619846</v>
      </c>
      <c r="FW399" s="60" t="n">
        <f aca="false">SUMPRODUCT(CJ399:CU399,$E$27:$P$27)</f>
        <v>2.67389635063809E-005</v>
      </c>
      <c r="FX399" s="60" t="n">
        <f aca="false">FV399*$C$9/($C$10*$C$8)^2</f>
        <v>0.21776909410545</v>
      </c>
      <c r="FY399" s="60" t="n">
        <f aca="false">FW399*$C$9/($C$10*$C$8)</f>
        <v>0.0918845243259994</v>
      </c>
      <c r="FZ399" s="60" t="n">
        <f aca="false">CHOOSE($C$7,-(1+FY399),-1,-(1-FY399))</f>
        <v>-0.908115475674001</v>
      </c>
      <c r="GA399" s="60" t="n">
        <f aca="false">CHOOSE($C$7,FX399,FX399-FY399-FY399^2,FX399-3*FY399^2-2*FY399)</f>
        <v>0.00867174802160559</v>
      </c>
      <c r="GB399" s="60" t="n">
        <f aca="false">CHOOSE($C$7,-FX399*FY399,-FX399*FY399,-(FX399*FY399-FY399^2-FY399^3))</f>
        <v>-0.0107910842936637</v>
      </c>
      <c r="GC399" s="60" t="n">
        <f aca="false">GA399-FZ399^2/3</f>
        <v>-0.266219491031267</v>
      </c>
      <c r="GD399" s="60" t="n">
        <f aca="false">2*FZ399^3/27-FZ399*GA399/3+GB399</f>
        <v>-0.0636400988362784</v>
      </c>
      <c r="GE399" s="60" t="n">
        <f aca="false">GD399^2/4+GC399^3/27</f>
        <v>0.000313710901361829</v>
      </c>
      <c r="GF399" s="60" t="n">
        <f aca="false">-GD399/2-IF(GD399&gt;=0,1,-1)*SQRT(MAX(GE399,0))</f>
        <v>0.0495319352963236</v>
      </c>
      <c r="GG399" s="60" t="n">
        <f aca="false">SIGN(GF399)*ABS(GF399)^(1/3)</f>
        <v>0.367249967174439</v>
      </c>
      <c r="GH399" s="60" t="n">
        <f aca="false">IF(GG399=0,0,GG399-GC399/(3*GG399))</f>
        <v>0.60888329127384</v>
      </c>
      <c r="GI399" s="60" t="n">
        <f aca="false">2*SQRT(MAX(-GC399,0)/3)</f>
        <v>0.595784626668918</v>
      </c>
      <c r="GJ399" s="60" t="n">
        <f aca="false">ACOS(IF(GI399=0,0,MAX(-1,MIN(1,3*GD399/(GC399*GI399)))))</f>
        <v>0</v>
      </c>
      <c r="GK399" s="60" t="n">
        <f aca="false">GI399*COS(GJ399/3)</f>
        <v>0.595784626668918</v>
      </c>
      <c r="GL399" s="60" t="n">
        <f aca="false">IF(GE399&lt;0,GK399,GH399)-FZ399/3</f>
        <v>0.91158844983184</v>
      </c>
      <c r="GM399" s="60" t="n">
        <f aca="false">IFERROR((((GL399+FZ399)*GL399+GA399)*GL399+GB399)/((3*GL399+2*FZ399)*GL399+GA399),0)</f>
        <v>0</v>
      </c>
      <c r="GN399" s="60" t="n">
        <f aca="false">IF(ABS(GM399)&lt;0.1*ABS(GL399),GL399-GM399,GL399)</f>
        <v>0.91158844983184</v>
      </c>
      <c r="GO399" s="60" t="n">
        <f aca="false">IFERROR((((GN399+FZ399)*GN399+GA399)*GN399+GB399)/((3*GN399+2*FZ399)*GN399+GA399),0)</f>
        <v>0</v>
      </c>
      <c r="GP399" s="60" t="n">
        <f aca="false">IF(ABS(GO399)&lt;0.1*ABS(GN399),GN399-GO399,GN399)</f>
        <v>0.91158844983184</v>
      </c>
      <c r="GQ399" s="60" t="n">
        <f aca="false">-GB399/GP399</f>
        <v>0.0118376711504565</v>
      </c>
      <c r="GR399" s="60" t="n">
        <f aca="false">(GA399-GQ399)/GP399</f>
        <v>-0.00347297415783941</v>
      </c>
      <c r="GS399" s="60" t="n">
        <f aca="false">GR399^2-4*GQ399</f>
        <v>-0.0473386230523248</v>
      </c>
      <c r="GT399" s="60" t="n">
        <f aca="false">IF(GS399&gt;=0,(GR399+IF(GR399&gt;=0,1,-1)*SQRT(GS399))/2,0)</f>
        <v>0</v>
      </c>
      <c r="GU399" s="60" t="n">
        <f aca="false">IF(AND(GS399&gt;=0,GT399&lt;&gt;0),MIN(GT399,GQ399/GT399),-1)</f>
        <v>-1</v>
      </c>
      <c r="GV399" s="60" t="n">
        <f aca="false">AND(GS399&gt;=0,GU399&gt;FY399,ABS(GP399-GU399)&gt;=0.00005*MAX(GP399,GU399))</f>
        <v>0</v>
      </c>
      <c r="GW399" s="60" t="n">
        <f aca="false">IF(GV399,IFERROR((((GU399+FZ399)*GU399+GA399)*GU399+GB399)/((3*GU399+2*FZ399)*GU399+GA399),0),0)</f>
        <v>0</v>
      </c>
      <c r="GX399" s="60" t="n">
        <f aca="false">IF(ABS(GW399)&lt;0.1*ABS(GU399),GU399-GW399,GU399)</f>
        <v>-1</v>
      </c>
      <c r="GY399" s="60" t="n">
        <f aca="false">IF(GV399,IFERROR((((GX399+FZ399)*GX399+GA399)*GX399+GB399)/((3*GX399+2*FZ399)*GX399+GA399),0),0)</f>
        <v>0</v>
      </c>
      <c r="GZ399" s="60" t="n">
        <f aca="false">IF(ABS(GY399)&lt;0.1*ABS(GX399),GX399-GY399,GX399)</f>
        <v>-1</v>
      </c>
      <c r="HA399" s="60" t="n">
        <f aca="false">IF(GV399,MAX(GP399,GZ399),GP399)</f>
        <v>0.91158844983184</v>
      </c>
      <c r="HB399" s="60" t="n">
        <f aca="false">IF(GV399,MIN(GP399,GZ399),-1)</f>
        <v>-1</v>
      </c>
      <c r="HC399" s="60" t="n">
        <f aca="false">CHOOSE($C$7,FX399/HA399,FX399/FY399*LN(1+FY399/HA399),FX399/(2*SQRT(2)*FY399)*LN((HA399+(1+SQRT(2))*FY399)/(HA399+(1-SQRT(2))*FY399)))</f>
        <v>0.218240791233887</v>
      </c>
      <c r="HD399" s="60" t="n">
        <f aca="false">HA399-1-LN(HA399-FY399)-HC399</f>
        <v>-0.107840271021729</v>
      </c>
      <c r="HE399" s="60" t="n">
        <f aca="false">IF(GV399,CHOOSE($C$7,FX399/HB399,FX399/FY399*LN(1+FY399/HB399),FX399/(2*SQRT(2)*FY399)*LN((HB399+(1+SQRT(2))*FY399)/(HB399+(1-SQRT(2))*FY399))),0)</f>
        <v>0</v>
      </c>
      <c r="HF399" s="60" t="n">
        <f aca="false">IF(GV399,HB399-1-LN(HB399-FY399)-HE399,0)</f>
        <v>0</v>
      </c>
      <c r="HG399" s="60" t="n">
        <f aca="false">AND(GV399,HF399&lt;HD399)</f>
        <v>0</v>
      </c>
      <c r="HH399" s="60" t="n">
        <f aca="false">IF(HG399,HB399,HA399)</f>
        <v>0.91158844983184</v>
      </c>
      <c r="HI399" s="60" t="n">
        <f aca="false">IF(HG399,HE399,HC399)</f>
        <v>0.218240791233887</v>
      </c>
      <c r="HJ399" s="60" t="n">
        <f aca="false">LN(HH399-FY399)</f>
        <v>-0.198812070380318</v>
      </c>
      <c r="HK399" s="60" t="n">
        <f aca="false">$E$27/FW399*(HH399-1)-HJ399-HI399*(2*FJ399/FV399-$E$27/FW399)</f>
        <v>-0.107840271021729</v>
      </c>
      <c r="HL399" s="60" t="n">
        <f aca="false">$F$27/FW399*(HH399-1)-HJ399-HI399*(2*FK399/FV399-$F$27/FW399)</f>
        <v>0.198812070380318</v>
      </c>
      <c r="HM399" s="60" t="n">
        <f aca="false">$G$27/FW399*(HH399-1)-HJ399-HI399*(2*FL399/FV399-$G$27/FW399)</f>
        <v>0.198812070380318</v>
      </c>
      <c r="HN399" s="60" t="n">
        <f aca="false">$H$27/FW399*(HH399-1)-HJ399-HI399*(2*FM399/FV399-$H$27/FW399)</f>
        <v>0.198812070380318</v>
      </c>
      <c r="HO399" s="60" t="n">
        <f aca="false">$I$27/FW399*(HH399-1)-HJ399-HI399*(2*FN399/FV399-$I$27/FW399)</f>
        <v>0.198812070380318</v>
      </c>
      <c r="HP399" s="60" t="n">
        <f aca="false">$J$27/FW399*(HH399-1)-HJ399-HI399*(2*FO399/FV399-$J$27/FW399)</f>
        <v>0.198812070380318</v>
      </c>
      <c r="HQ399" s="60" t="n">
        <f aca="false">$K$27/FW399*(HH399-1)-HJ399-HI399*(2*FP399/FV399-$K$27/FW399)</f>
        <v>0.198812070380318</v>
      </c>
      <c r="HR399" s="60" t="n">
        <f aca="false">$L$27/FW399*(HH399-1)-HJ399-HI399*(2*FQ399/FV399-$L$27/FW399)</f>
        <v>0.198812070380318</v>
      </c>
      <c r="HS399" s="60" t="n">
        <f aca="false">$M$27/FW399*(HH399-1)-HJ399-HI399*(2*FR399/FV399-$M$27/FW399)</f>
        <v>0.198812070380318</v>
      </c>
      <c r="HT399" s="60" t="n">
        <f aca="false">$N$27/FW399*(HH399-1)-HJ399-HI399*(2*FS399/FV399-$N$27/FW399)</f>
        <v>0.198812070380318</v>
      </c>
      <c r="HU399" s="60" t="n">
        <f aca="false">$O$27/FW399*(HH399-1)-HJ399-HI399*(2*FT399/FV399-$O$27/FW399)</f>
        <v>0.198812070380318</v>
      </c>
      <c r="HV399" s="60" t="n">
        <f aca="false">$P$27/FW399*(HH399-1)-HJ399-HI399*(2*FU399/FV399-$P$27/FW399)</f>
        <v>0.198812070380318</v>
      </c>
      <c r="HW399" s="60" t="n">
        <f aca="false">FY399/HH399&gt;$C$22</f>
        <v>0</v>
      </c>
      <c r="HX399" s="60" t="n">
        <f aca="false">IF($E$13&gt;0,MAX(-300,MIN(300,EW399-HK399)),0)</f>
        <v>0</v>
      </c>
      <c r="HY399" s="60" t="n">
        <f aca="false">IF($F$13&gt;0,MAX(-300,MIN(300,EX399-HL399)),0)</f>
        <v>0</v>
      </c>
      <c r="HZ399" s="60" t="n">
        <f aca="false">IF($G$13&gt;0,MAX(-300,MIN(300,EY399-HM399)),0)</f>
        <v>0</v>
      </c>
      <c r="IA399" s="60" t="n">
        <f aca="false">IF($H$13&gt;0,MAX(-300,MIN(300,EZ399-HN399)),0)</f>
        <v>0</v>
      </c>
      <c r="IB399" s="60" t="n">
        <f aca="false">IF($I$13&gt;0,MAX(-300,MIN(300,FA399-HO399)),0)</f>
        <v>0</v>
      </c>
      <c r="IC399" s="60" t="n">
        <f aca="false">IF($J$13&gt;0,MAX(-300,MIN(300,FB399-HP399)),0)</f>
        <v>0</v>
      </c>
      <c r="ID399" s="60" t="n">
        <f aca="false">IF($K$13&gt;0,MAX(-300,MIN(300,FC399-HQ399)),0)</f>
        <v>0</v>
      </c>
      <c r="IE399" s="60" t="n">
        <f aca="false">IF($L$13&gt;0,MAX(-300,MIN(300,FD399-HR399)),0)</f>
        <v>0</v>
      </c>
      <c r="IF399" s="60" t="n">
        <f aca="false">IF($M$13&gt;0,MAX(-300,MIN(300,FE399-HS399)),0)</f>
        <v>0</v>
      </c>
      <c r="IG399" s="60" t="n">
        <f aca="false">IF($N$13&gt;0,MAX(-300,MIN(300,FF399-HT399)),0)</f>
        <v>0</v>
      </c>
      <c r="IH399" s="60" t="n">
        <f aca="false">IF($O$13&gt;0,MAX(-300,MIN(300,FG399-HU399)),0)</f>
        <v>0</v>
      </c>
      <c r="II399" s="60" t="n">
        <f aca="false">IF($P$13&gt;0,MAX(-300,MIN(300,FH399-HV399)),0)</f>
        <v>0</v>
      </c>
      <c r="IJ399" s="60" t="n">
        <f aca="false">SUMXMY2(HX399:II399,B399:M399)</f>
        <v>0</v>
      </c>
      <c r="IK399" s="60" t="n">
        <f aca="false">SUMSQ(B399:M399)</f>
        <v>0</v>
      </c>
    </row>
    <row r="400" customFormat="false" ht="15" hidden="false" customHeight="false" outlineLevel="0" collapsed="false">
      <c r="A400" s="59" t="n">
        <v>39</v>
      </c>
      <c r="B400" s="60" t="n">
        <f aca="false">HX399</f>
        <v>0</v>
      </c>
      <c r="C400" s="60" t="n">
        <f aca="false">HY399</f>
        <v>0</v>
      </c>
      <c r="D400" s="60" t="n">
        <f aca="false">HZ399</f>
        <v>0</v>
      </c>
      <c r="E400" s="60" t="n">
        <f aca="false">IA399</f>
        <v>0</v>
      </c>
      <c r="F400" s="60" t="n">
        <f aca="false">IB399</f>
        <v>0</v>
      </c>
      <c r="G400" s="60" t="n">
        <f aca="false">IC399</f>
        <v>0</v>
      </c>
      <c r="H400" s="60" t="n">
        <f aca="false">ID399</f>
        <v>0</v>
      </c>
      <c r="I400" s="60" t="n">
        <f aca="false">IE399</f>
        <v>0</v>
      </c>
      <c r="J400" s="60" t="n">
        <f aca="false">IF399</f>
        <v>0</v>
      </c>
      <c r="K400" s="60" t="n">
        <f aca="false">IG399</f>
        <v>0</v>
      </c>
      <c r="L400" s="60" t="n">
        <f aca="false">IH399</f>
        <v>0</v>
      </c>
      <c r="M400" s="60" t="n">
        <f aca="false">II399</f>
        <v>0</v>
      </c>
      <c r="N400" s="60" t="n">
        <f aca="false">EXP(B400)</f>
        <v>1</v>
      </c>
      <c r="O400" s="60" t="n">
        <f aca="false">EXP(C400)</f>
        <v>1</v>
      </c>
      <c r="P400" s="60" t="n">
        <f aca="false">EXP(D400)</f>
        <v>1</v>
      </c>
      <c r="Q400" s="60" t="n">
        <f aca="false">EXP(E400)</f>
        <v>1</v>
      </c>
      <c r="R400" s="60" t="n">
        <f aca="false">EXP(F400)</f>
        <v>1</v>
      </c>
      <c r="S400" s="60" t="n">
        <f aca="false">EXP(G400)</f>
        <v>1</v>
      </c>
      <c r="T400" s="60" t="n">
        <f aca="false">EXP(H400)</f>
        <v>1</v>
      </c>
      <c r="U400" s="60" t="n">
        <f aca="false">EXP(I400)</f>
        <v>1</v>
      </c>
      <c r="V400" s="60" t="n">
        <f aca="false">EXP(J400)</f>
        <v>1</v>
      </c>
      <c r="W400" s="60" t="n">
        <f aca="false">EXP(K400)</f>
        <v>1</v>
      </c>
      <c r="X400" s="60" t="n">
        <f aca="false">EXP(L400)</f>
        <v>1</v>
      </c>
      <c r="Y400" s="60" t="n">
        <f aca="false">EXP(M400)</f>
        <v>1</v>
      </c>
      <c r="Z400" s="60" t="n">
        <f aca="false">MAX(N400:Y400)</f>
        <v>1</v>
      </c>
      <c r="AA400" s="60" t="n">
        <f aca="false">MIN(N400:Y400)</f>
        <v>1</v>
      </c>
      <c r="AB400" s="60" t="n">
        <f aca="false">AND(Z400&gt;1,AA400&lt;1)</f>
        <v>0</v>
      </c>
      <c r="AC400" s="60" t="n">
        <f aca="false">IF(AB400,1/(1-Z400),0)</f>
        <v>0</v>
      </c>
      <c r="AD400" s="60" t="n">
        <f aca="false">IF(AB400,1/(1-AA400),1)</f>
        <v>1</v>
      </c>
      <c r="AE400" s="60" t="n">
        <f aca="false">IF(AB400,MIN(MAX(BI399,AC400+0.000000001*(AD400-AC400)),AD400-0.000000001*(AD400-AC400)),IF(AA400&gt;=1,1,0))</f>
        <v>1</v>
      </c>
      <c r="AF400" s="60" t="n">
        <f aca="false">SUMPRODUCT($E$13:$P$13*(N400:Y400-1)/(1+AE400*(N400:Y400-1)))</f>
        <v>0</v>
      </c>
      <c r="AG400" s="60" t="n">
        <f aca="false">-SUMPRODUCT($E$13:$P$13*(N400:Y400-1)^2/(1+AE400*(N400:Y400-1))^2)</f>
        <v>-0</v>
      </c>
      <c r="AH400" s="60" t="n">
        <f aca="false">IF(OR(NOT(AB400),AG400=0),AE400,IF(AE400-AF400/AG400&lt;=AC400,(AE400+AC400)/2,IF(AE400-AF400/AG400&gt;=AD400,(AE400+AD400)/2,AE400-AF400/AG400)))</f>
        <v>1</v>
      </c>
      <c r="AI400" s="60" t="n">
        <f aca="false">SUMPRODUCT($E$13:$P$13*(N400:Y400-1)/(1+AH400*(N400:Y400-1)))</f>
        <v>0</v>
      </c>
      <c r="AJ400" s="60" t="n">
        <f aca="false">-SUMPRODUCT($E$13:$P$13*(N400:Y400-1)^2/(1+AH400*(N400:Y400-1))^2)</f>
        <v>-0</v>
      </c>
      <c r="AK400" s="60" t="n">
        <f aca="false">IF(OR(NOT(AB400),AJ400=0),AH400,IF(AH400-AI400/AJ400&lt;=AC400,(AH400+AC400)/2,IF(AH400-AI400/AJ400&gt;=AD400,(AH400+AD400)/2,AH400-AI400/AJ400)))</f>
        <v>1</v>
      </c>
      <c r="AL400" s="60" t="n">
        <f aca="false">SUMPRODUCT($E$13:$P$13*(N400:Y400-1)/(1+AK400*(N400:Y400-1)))</f>
        <v>0</v>
      </c>
      <c r="AM400" s="60" t="n">
        <f aca="false">-SUMPRODUCT($E$13:$P$13*(N400:Y400-1)^2/(1+AK400*(N400:Y400-1))^2)</f>
        <v>-0</v>
      </c>
      <c r="AN400" s="60" t="n">
        <f aca="false">IF(OR(NOT(AB400),AM400=0),AK400,IF(AK400-AL400/AM400&lt;=AC400,(AK400+AC400)/2,IF(AK400-AL400/AM400&gt;=AD400,(AK400+AD400)/2,AK400-AL400/AM400)))</f>
        <v>1</v>
      </c>
      <c r="AO400" s="60" t="n">
        <f aca="false">SUMPRODUCT($E$13:$P$13*(N400:Y400-1)/(1+AN400*(N400:Y400-1)))</f>
        <v>0</v>
      </c>
      <c r="AP400" s="60" t="n">
        <f aca="false">-SUMPRODUCT($E$13:$P$13*(N400:Y400-1)^2/(1+AN400*(N400:Y400-1))^2)</f>
        <v>-0</v>
      </c>
      <c r="AQ400" s="60" t="n">
        <f aca="false">IF(OR(NOT(AB400),AP400=0),AN400,IF(AN400-AO400/AP400&lt;=AC400,(AN400+AC400)/2,IF(AN400-AO400/AP400&gt;=AD400,(AN400+AD400)/2,AN400-AO400/AP400)))</f>
        <v>1</v>
      </c>
      <c r="AR400" s="60" t="n">
        <f aca="false">SUMPRODUCT($E$13:$P$13*(N400:Y400-1)/(1+AQ400*(N400:Y400-1)))</f>
        <v>0</v>
      </c>
      <c r="AS400" s="60" t="n">
        <f aca="false">-SUMPRODUCT($E$13:$P$13*(N400:Y400-1)^2/(1+AQ400*(N400:Y400-1))^2)</f>
        <v>-0</v>
      </c>
      <c r="AT400" s="60" t="n">
        <f aca="false">IF(OR(NOT(AB400),AS400=0),AQ400,IF(AQ400-AR400/AS400&lt;=AC400,(AQ400+AC400)/2,IF(AQ400-AR400/AS400&gt;=AD400,(AQ400+AD400)/2,AQ400-AR400/AS400)))</f>
        <v>1</v>
      </c>
      <c r="AU400" s="60" t="n">
        <f aca="false">SUMPRODUCT($E$13:$P$13*(N400:Y400-1)/(1+AT400*(N400:Y400-1)))</f>
        <v>0</v>
      </c>
      <c r="AV400" s="60" t="n">
        <f aca="false">-SUMPRODUCT($E$13:$P$13*(N400:Y400-1)^2/(1+AT400*(N400:Y400-1))^2)</f>
        <v>-0</v>
      </c>
      <c r="AW400" s="60" t="n">
        <f aca="false">IF(OR(NOT(AB400),AV400=0),AT400,IF(AT400-AU400/AV400&lt;=AC400,(AT400+AC400)/2,IF(AT400-AU400/AV400&gt;=AD400,(AT400+AD400)/2,AT400-AU400/AV400)))</f>
        <v>1</v>
      </c>
      <c r="AX400" s="60" t="n">
        <f aca="false">SUMPRODUCT($E$13:$P$13*(N400:Y400-1)/(1+AW400*(N400:Y400-1)))</f>
        <v>0</v>
      </c>
      <c r="AY400" s="60" t="n">
        <f aca="false">-SUMPRODUCT($E$13:$P$13*(N400:Y400-1)^2/(1+AW400*(N400:Y400-1))^2)</f>
        <v>-0</v>
      </c>
      <c r="AZ400" s="60" t="n">
        <f aca="false">IF(OR(NOT(AB400),AY400=0),AW400,IF(AW400-AX400/AY400&lt;=AC400,(AW400+AC400)/2,IF(AW400-AX400/AY400&gt;=AD400,(AW400+AD400)/2,AW400-AX400/AY400)))</f>
        <v>1</v>
      </c>
      <c r="BA400" s="60" t="n">
        <f aca="false">SUMPRODUCT($E$13:$P$13*(N400:Y400-1)/(1+AZ400*(N400:Y400-1)))</f>
        <v>0</v>
      </c>
      <c r="BB400" s="60" t="n">
        <f aca="false">-SUMPRODUCT($E$13:$P$13*(N400:Y400-1)^2/(1+AZ400*(N400:Y400-1))^2)</f>
        <v>-0</v>
      </c>
      <c r="BC400" s="60" t="n">
        <f aca="false">IF(OR(NOT(AB400),BB400=0),AZ400,IF(AZ400-BA400/BB400&lt;=AC400,(AZ400+AC400)/2,IF(AZ400-BA400/BB400&gt;=AD400,(AZ400+AD400)/2,AZ400-BA400/BB400)))</f>
        <v>1</v>
      </c>
      <c r="BD400" s="60" t="n">
        <f aca="false">SUMPRODUCT($E$13:$P$13*(N400:Y400-1)/(1+BC400*(N400:Y400-1)))</f>
        <v>0</v>
      </c>
      <c r="BE400" s="60" t="n">
        <f aca="false">-SUMPRODUCT($E$13:$P$13*(N400:Y400-1)^2/(1+BC400*(N400:Y400-1))^2)</f>
        <v>-0</v>
      </c>
      <c r="BF400" s="60" t="n">
        <f aca="false">IF(OR(NOT(AB400),BE400=0),BC400,IF(BC400-BD400/BE400&lt;=AC400,(BC400+AC400)/2,IF(BC400-BD400/BE400&gt;=AD400,(BC400+AD400)/2,BC400-BD400/BE400)))</f>
        <v>1</v>
      </c>
      <c r="BG400" s="60" t="n">
        <f aca="false">SUMPRODUCT($E$13:$P$13*(N400:Y400-1)/(1+BF400*(N400:Y400-1)))</f>
        <v>0</v>
      </c>
      <c r="BH400" s="60" t="n">
        <f aca="false">-SUMPRODUCT($E$13:$P$13*(N400:Y400-1)^2/(1+BF400*(N400:Y400-1))^2)</f>
        <v>-0</v>
      </c>
      <c r="BI400" s="60" t="n">
        <f aca="false">IF(OR(NOT(AB400),BH400=0),BF400,IF(BF400-BG400/BH400&lt;=AC400,(BF400+AC400)/2,IF(BF400-BG400/BH400&gt;=AD400,(BF400+AD400)/2,BF400-BG400/BH400)))</f>
        <v>1</v>
      </c>
      <c r="BJ400" s="60" t="n">
        <f aca="false">$E$13/(1+BI400*(N400-1))</f>
        <v>1</v>
      </c>
      <c r="BK400" s="60" t="n">
        <f aca="false">$F$13/(1+BI400*(O400-1))</f>
        <v>0</v>
      </c>
      <c r="BL400" s="60" t="n">
        <f aca="false">$G$13/(1+BI400*(P400-1))</f>
        <v>0</v>
      </c>
      <c r="BM400" s="60" t="n">
        <f aca="false">$H$13/(1+BI400*(Q400-1))</f>
        <v>0</v>
      </c>
      <c r="BN400" s="60" t="n">
        <f aca="false">$I$13/(1+BI400*(R400-1))</f>
        <v>0</v>
      </c>
      <c r="BO400" s="60" t="n">
        <f aca="false">$J$13/(1+BI400*(S400-1))</f>
        <v>0</v>
      </c>
      <c r="BP400" s="60" t="n">
        <f aca="false">$K$13/(1+BI400*(T400-1))</f>
        <v>0</v>
      </c>
      <c r="BQ400" s="60" t="n">
        <f aca="false">$L$13/(1+BI400*(U400-1))</f>
        <v>0</v>
      </c>
      <c r="BR400" s="60" t="n">
        <f aca="false">$M$13/(1+BI400*(V400-1))</f>
        <v>0</v>
      </c>
      <c r="BS400" s="60" t="n">
        <f aca="false">$N$13/(1+BI400*(W400-1))</f>
        <v>0</v>
      </c>
      <c r="BT400" s="60" t="n">
        <f aca="false">$O$13/(1+BI400*(X400-1))</f>
        <v>0</v>
      </c>
      <c r="BU400" s="60" t="n">
        <f aca="false">$P$13/(1+BI400*(Y400-1))</f>
        <v>0</v>
      </c>
      <c r="BV400" s="60" t="n">
        <f aca="false">SUM(BJ400:BU400)</f>
        <v>1</v>
      </c>
      <c r="BW400" s="60" t="n">
        <f aca="false">SUMPRODUCT(N400:Y400,BJ400:BU400)</f>
        <v>1</v>
      </c>
      <c r="BX400" s="60" t="n">
        <f aca="false">BJ400/BV400</f>
        <v>1</v>
      </c>
      <c r="BY400" s="60" t="n">
        <f aca="false">BK400/BV400</f>
        <v>0</v>
      </c>
      <c r="BZ400" s="60" t="n">
        <f aca="false">BL400/BV400</f>
        <v>0</v>
      </c>
      <c r="CA400" s="60" t="n">
        <f aca="false">BM400/BV400</f>
        <v>0</v>
      </c>
      <c r="CB400" s="60" t="n">
        <f aca="false">BN400/BV400</f>
        <v>0</v>
      </c>
      <c r="CC400" s="60" t="n">
        <f aca="false">BO400/BV400</f>
        <v>0</v>
      </c>
      <c r="CD400" s="60" t="n">
        <f aca="false">BP400/BV400</f>
        <v>0</v>
      </c>
      <c r="CE400" s="60" t="n">
        <f aca="false">BQ400/BV400</f>
        <v>0</v>
      </c>
      <c r="CF400" s="60" t="n">
        <f aca="false">BR400/BV400</f>
        <v>0</v>
      </c>
      <c r="CG400" s="60" t="n">
        <f aca="false">BS400/BV400</f>
        <v>0</v>
      </c>
      <c r="CH400" s="60" t="n">
        <f aca="false">BT400/BV400</f>
        <v>0</v>
      </c>
      <c r="CI400" s="60" t="n">
        <f aca="false">BU400/BV400</f>
        <v>0</v>
      </c>
      <c r="CJ400" s="60" t="n">
        <f aca="false">N400*BJ400/BW400</f>
        <v>1</v>
      </c>
      <c r="CK400" s="60" t="n">
        <f aca="false">O400*BK400/BW400</f>
        <v>0</v>
      </c>
      <c r="CL400" s="60" t="n">
        <f aca="false">P400*BL400/BW400</f>
        <v>0</v>
      </c>
      <c r="CM400" s="60" t="n">
        <f aca="false">Q400*BM400/BW400</f>
        <v>0</v>
      </c>
      <c r="CN400" s="60" t="n">
        <f aca="false">R400*BN400/BW400</f>
        <v>0</v>
      </c>
      <c r="CO400" s="60" t="n">
        <f aca="false">S400*BO400/BW400</f>
        <v>0</v>
      </c>
      <c r="CP400" s="60" t="n">
        <f aca="false">T400*BP400/BW400</f>
        <v>0</v>
      </c>
      <c r="CQ400" s="60" t="n">
        <f aca="false">U400*BQ400/BW400</f>
        <v>0</v>
      </c>
      <c r="CR400" s="60" t="n">
        <f aca="false">V400*BR400/BW400</f>
        <v>0</v>
      </c>
      <c r="CS400" s="60" t="n">
        <f aca="false">W400*BS400/BW400</f>
        <v>0</v>
      </c>
      <c r="CT400" s="60" t="n">
        <f aca="false">X400*BT400/BW400</f>
        <v>0</v>
      </c>
      <c r="CU400" s="60" t="n">
        <f aca="false">Y400*BU400/BW400</f>
        <v>0</v>
      </c>
      <c r="CV400" s="60" t="n">
        <f aca="false">$E$28*SUMPRODUCT($E$31:$P$31,BX400:CI400,$E$28:$P$28)</f>
        <v>0.184416866619846</v>
      </c>
      <c r="CW400" s="60" t="n">
        <f aca="false">$F$28*SUMPRODUCT($E$32:$P$32,BX400:CI400,$E$28:$P$28)</f>
        <v>0</v>
      </c>
      <c r="CX400" s="60" t="n">
        <f aca="false">$G$28*SUMPRODUCT($E$33:$P$33,BX400:CI400,$E$28:$P$28)</f>
        <v>0</v>
      </c>
      <c r="CY400" s="60" t="n">
        <f aca="false">$H$28*SUMPRODUCT($E$34:$P$34,BX400:CI400,$E$28:$P$28)</f>
        <v>0</v>
      </c>
      <c r="CZ400" s="60" t="n">
        <f aca="false">$I$28*SUMPRODUCT($E$35:$P$35,BX400:CI400,$E$28:$P$28)</f>
        <v>0</v>
      </c>
      <c r="DA400" s="60" t="n">
        <f aca="false">$J$28*SUMPRODUCT($E$36:$P$36,BX400:CI400,$E$28:$P$28)</f>
        <v>0</v>
      </c>
      <c r="DB400" s="60" t="n">
        <f aca="false">$K$28*SUMPRODUCT($E$37:$P$37,BX400:CI400,$E$28:$P$28)</f>
        <v>0</v>
      </c>
      <c r="DC400" s="60" t="n">
        <f aca="false">$L$28*SUMPRODUCT($E$38:$P$38,BX400:CI400,$E$28:$P$28)</f>
        <v>0</v>
      </c>
      <c r="DD400" s="60" t="n">
        <f aca="false">$M$28*SUMPRODUCT($E$39:$P$39,BX400:CI400,$E$28:$P$28)</f>
        <v>0</v>
      </c>
      <c r="DE400" s="60" t="n">
        <f aca="false">$N$28*SUMPRODUCT($E$40:$P$40,BX400:CI400,$E$28:$P$28)</f>
        <v>0</v>
      </c>
      <c r="DF400" s="60" t="n">
        <f aca="false">$O$28*SUMPRODUCT($E$41:$P$41,BX400:CI400,$E$28:$P$28)</f>
        <v>0</v>
      </c>
      <c r="DG400" s="60" t="n">
        <f aca="false">$P$28*SUMPRODUCT($E$42:$P$42,BX400:CI400,$E$28:$P$28)</f>
        <v>0</v>
      </c>
      <c r="DH400" s="60" t="n">
        <f aca="false">SUMPRODUCT(BX400:CI400,CV400:DG400)</f>
        <v>0.184416866619846</v>
      </c>
      <c r="DI400" s="60" t="n">
        <f aca="false">SUMPRODUCT(BX400:CI400,$E$27:$P$27)</f>
        <v>2.67389635063809E-005</v>
      </c>
      <c r="DJ400" s="60" t="n">
        <f aca="false">DH400*$C$9/($C$10*$C$8)^2</f>
        <v>0.21776909410545</v>
      </c>
      <c r="DK400" s="60" t="n">
        <f aca="false">DI400*$C$9/($C$10*$C$8)</f>
        <v>0.0918845243259994</v>
      </c>
      <c r="DL400" s="60" t="n">
        <f aca="false">CHOOSE($C$7,-(1+DK400),-1,-(1-DK400))</f>
        <v>-0.908115475674001</v>
      </c>
      <c r="DM400" s="60" t="n">
        <f aca="false">CHOOSE($C$7,DJ400,DJ400-DK400-DK400^2,DJ400-3*DK400^2-2*DK400)</f>
        <v>0.00867174802160559</v>
      </c>
      <c r="DN400" s="60" t="n">
        <f aca="false">CHOOSE($C$7,-DJ400*DK400,-DJ400*DK400,-(DJ400*DK400-DK400^2-DK400^3))</f>
        <v>-0.0107910842936637</v>
      </c>
      <c r="DO400" s="60" t="n">
        <f aca="false">DM400-DL400^2/3</f>
        <v>-0.266219491031267</v>
      </c>
      <c r="DP400" s="60" t="n">
        <f aca="false">2*DL400^3/27-DL400*DM400/3+DN400</f>
        <v>-0.0636400988362784</v>
      </c>
      <c r="DQ400" s="60" t="n">
        <f aca="false">DP400^2/4+DO400^3/27</f>
        <v>0.000313710901361829</v>
      </c>
      <c r="DR400" s="60" t="n">
        <f aca="false">-DP400/2-IF(DP400&gt;=0,1,-1)*SQRT(MAX(DQ400,0))</f>
        <v>0.0495319352963236</v>
      </c>
      <c r="DS400" s="60" t="n">
        <f aca="false">SIGN(DR400)*ABS(DR400)^(1/3)</f>
        <v>0.367249967174439</v>
      </c>
      <c r="DT400" s="60" t="n">
        <f aca="false">IF(DS400=0,0,DS400-DO400/(3*DS400))</f>
        <v>0.60888329127384</v>
      </c>
      <c r="DU400" s="60" t="n">
        <f aca="false">2*SQRT(MAX(-DO400,0)/3)</f>
        <v>0.595784626668918</v>
      </c>
      <c r="DV400" s="60" t="n">
        <f aca="false">ACOS(IF(DU400=0,0,MAX(-1,MIN(1,3*DP400/(DO400*DU400)))))</f>
        <v>0</v>
      </c>
      <c r="DW400" s="60" t="n">
        <f aca="false">DU400*COS(DV400/3)</f>
        <v>0.595784626668918</v>
      </c>
      <c r="DX400" s="60" t="n">
        <f aca="false">IF(DQ400&lt;0,DW400,DT400)-DL400/3</f>
        <v>0.91158844983184</v>
      </c>
      <c r="DY400" s="60" t="n">
        <f aca="false">IFERROR((((DX400+DL400)*DX400+DM400)*DX400+DN400)/((3*DX400+2*DL400)*DX400+DM400),0)</f>
        <v>0</v>
      </c>
      <c r="DZ400" s="60" t="n">
        <f aca="false">IF(ABS(DY400)&lt;0.1*ABS(DX400),DX400-DY400,DX400)</f>
        <v>0.91158844983184</v>
      </c>
      <c r="EA400" s="60" t="n">
        <f aca="false">IFERROR((((DZ400+DL400)*DZ400+DM400)*DZ400+DN400)/((3*DZ400+2*DL400)*DZ400+DM400),0)</f>
        <v>0</v>
      </c>
      <c r="EB400" s="60" t="n">
        <f aca="false">IF(ABS(EA400)&lt;0.1*ABS(DZ400),DZ400-EA400,DZ400)</f>
        <v>0.91158844983184</v>
      </c>
      <c r="EC400" s="60" t="n">
        <f aca="false">-DN400/EB400</f>
        <v>0.0118376711504565</v>
      </c>
      <c r="ED400" s="60" t="n">
        <f aca="false">(DM400-EC400)/EB400</f>
        <v>-0.00347297415783941</v>
      </c>
      <c r="EE400" s="60" t="n">
        <f aca="false">ED400^2-4*EC400</f>
        <v>-0.0473386230523248</v>
      </c>
      <c r="EF400" s="60" t="n">
        <f aca="false">IF(EE400&gt;=0,(ED400+IF(ED400&gt;=0,1,-1)*SQRT(EE400))/2,0)</f>
        <v>0</v>
      </c>
      <c r="EG400" s="60" t="n">
        <f aca="false">IF(AND(EE400&gt;=0,EF400&lt;&gt;0),MIN(EF400,EC400/EF400),-1)</f>
        <v>-1</v>
      </c>
      <c r="EH400" s="60" t="n">
        <f aca="false">AND(EE400&gt;=0,EG400&gt;DK400,ABS(EB400-EG400)&gt;=0.00005*MAX(EB400,EG400))</f>
        <v>0</v>
      </c>
      <c r="EI400" s="60" t="n">
        <f aca="false">IF(EH400,IFERROR((((EG400+DL400)*EG400+DM400)*EG400+DN400)/((3*EG400+2*DL400)*EG400+DM400),0),0)</f>
        <v>0</v>
      </c>
      <c r="EJ400" s="60" t="n">
        <f aca="false">IF(ABS(EI400)&lt;0.1*ABS(EG400),EG400-EI400,EG400)</f>
        <v>-1</v>
      </c>
      <c r="EK400" s="60" t="n">
        <f aca="false">IF(EH400,IFERROR((((EJ400+DL400)*EJ400+DM400)*EJ400+DN400)/((3*EJ400+2*DL400)*EJ400+DM400),0),0)</f>
        <v>0</v>
      </c>
      <c r="EL400" s="60" t="n">
        <f aca="false">IF(ABS(EK400)&lt;0.1*ABS(EJ400),EJ400-EK400,EJ400)</f>
        <v>-1</v>
      </c>
      <c r="EM400" s="60" t="n">
        <f aca="false">IF(EH400,MAX(EB400,EL400),EB400)</f>
        <v>0.91158844983184</v>
      </c>
      <c r="EN400" s="60" t="n">
        <f aca="false">IF(EH400,MIN(EB400,EL400),-1)</f>
        <v>-1</v>
      </c>
      <c r="EO400" s="60" t="n">
        <f aca="false">CHOOSE($C$7,DJ400/EM400,DJ400/DK400*LN(1+DK400/EM400),DJ400/(2*SQRT(2)*DK400)*LN((EM400+(1+SQRT(2))*DK400)/(EM400+(1-SQRT(2))*DK400)))</f>
        <v>0.218240791233887</v>
      </c>
      <c r="EP400" s="60" t="n">
        <f aca="false">EM400-1-LN(EM400-DK400)-EO400</f>
        <v>-0.107840271021729</v>
      </c>
      <c r="EQ400" s="60" t="n">
        <f aca="false">IF(EH400,CHOOSE($C$7,DJ400/EN400,DJ400/DK400*LN(1+DK400/EN400),DJ400/(2*SQRT(2)*DK400)*LN((EN400+(1+SQRT(2))*DK400)/(EN400+(1-SQRT(2))*DK400))),0)</f>
        <v>0</v>
      </c>
      <c r="ER400" s="60" t="n">
        <f aca="false">IF(EH400,EN400-1-LN(EN400-DK400)-EQ400,0)</f>
        <v>0</v>
      </c>
      <c r="ES400" s="60" t="n">
        <f aca="false">AND(EH400,ER400&lt;EP400)</f>
        <v>0</v>
      </c>
      <c r="ET400" s="60" t="n">
        <f aca="false">IF(ES400,EN400,EM400)</f>
        <v>0.91158844983184</v>
      </c>
      <c r="EU400" s="60" t="n">
        <f aca="false">IF(ES400,EQ400,EO400)</f>
        <v>0.218240791233887</v>
      </c>
      <c r="EV400" s="60" t="n">
        <f aca="false">LN(ET400-DK400)</f>
        <v>-0.198812070380318</v>
      </c>
      <c r="EW400" s="60" t="n">
        <f aca="false">$E$27/DI400*(ET400-1)-EV400-EU400*(2*CV400/DH400-$E$27/DI400)</f>
        <v>-0.107840271021729</v>
      </c>
      <c r="EX400" s="60" t="n">
        <f aca="false">$F$27/DI400*(ET400-1)-EV400-EU400*(2*CW400/DH400-$F$27/DI400)</f>
        <v>0.198812070380318</v>
      </c>
      <c r="EY400" s="60" t="n">
        <f aca="false">$G$27/DI400*(ET400-1)-EV400-EU400*(2*CX400/DH400-$G$27/DI400)</f>
        <v>0.198812070380318</v>
      </c>
      <c r="EZ400" s="60" t="n">
        <f aca="false">$H$27/DI400*(ET400-1)-EV400-EU400*(2*CY400/DH400-$H$27/DI400)</f>
        <v>0.198812070380318</v>
      </c>
      <c r="FA400" s="60" t="n">
        <f aca="false">$I$27/DI400*(ET400-1)-EV400-EU400*(2*CZ400/DH400-$I$27/DI400)</f>
        <v>0.198812070380318</v>
      </c>
      <c r="FB400" s="60" t="n">
        <f aca="false">$J$27/DI400*(ET400-1)-EV400-EU400*(2*DA400/DH400-$J$27/DI400)</f>
        <v>0.198812070380318</v>
      </c>
      <c r="FC400" s="60" t="n">
        <f aca="false">$K$27/DI400*(ET400-1)-EV400-EU400*(2*DB400/DH400-$K$27/DI400)</f>
        <v>0.198812070380318</v>
      </c>
      <c r="FD400" s="60" t="n">
        <f aca="false">$L$27/DI400*(ET400-1)-EV400-EU400*(2*DC400/DH400-$L$27/DI400)</f>
        <v>0.198812070380318</v>
      </c>
      <c r="FE400" s="60" t="n">
        <f aca="false">$M$27/DI400*(ET400-1)-EV400-EU400*(2*DD400/DH400-$M$27/DI400)</f>
        <v>0.198812070380318</v>
      </c>
      <c r="FF400" s="60" t="n">
        <f aca="false">$N$27/DI400*(ET400-1)-EV400-EU400*(2*DE400/DH400-$N$27/DI400)</f>
        <v>0.198812070380318</v>
      </c>
      <c r="FG400" s="60" t="n">
        <f aca="false">$O$27/DI400*(ET400-1)-EV400-EU400*(2*DF400/DH400-$O$27/DI400)</f>
        <v>0.198812070380318</v>
      </c>
      <c r="FH400" s="60" t="n">
        <f aca="false">$P$27/DI400*(ET400-1)-EV400-EU400*(2*DG400/DH400-$P$27/DI400)</f>
        <v>0.198812070380318</v>
      </c>
      <c r="FI400" s="60" t="n">
        <f aca="false">DK400/ET400&gt;$C$22</f>
        <v>0</v>
      </c>
      <c r="FJ400" s="60" t="n">
        <f aca="false">$E$28*SUMPRODUCT($E$31:$P$31,CJ400:CU400,$E$28:$P$28)</f>
        <v>0.184416866619846</v>
      </c>
      <c r="FK400" s="60" t="n">
        <f aca="false">$F$28*SUMPRODUCT($E$32:$P$32,CJ400:CU400,$E$28:$P$28)</f>
        <v>0</v>
      </c>
      <c r="FL400" s="60" t="n">
        <f aca="false">$G$28*SUMPRODUCT($E$33:$P$33,CJ400:CU400,$E$28:$P$28)</f>
        <v>0</v>
      </c>
      <c r="FM400" s="60" t="n">
        <f aca="false">$H$28*SUMPRODUCT($E$34:$P$34,CJ400:CU400,$E$28:$P$28)</f>
        <v>0</v>
      </c>
      <c r="FN400" s="60" t="n">
        <f aca="false">$I$28*SUMPRODUCT($E$35:$P$35,CJ400:CU400,$E$28:$P$28)</f>
        <v>0</v>
      </c>
      <c r="FO400" s="60" t="n">
        <f aca="false">$J$28*SUMPRODUCT($E$36:$P$36,CJ400:CU400,$E$28:$P$28)</f>
        <v>0</v>
      </c>
      <c r="FP400" s="60" t="n">
        <f aca="false">$K$28*SUMPRODUCT($E$37:$P$37,CJ400:CU400,$E$28:$P$28)</f>
        <v>0</v>
      </c>
      <c r="FQ400" s="60" t="n">
        <f aca="false">$L$28*SUMPRODUCT($E$38:$P$38,CJ400:CU400,$E$28:$P$28)</f>
        <v>0</v>
      </c>
      <c r="FR400" s="60" t="n">
        <f aca="false">$M$28*SUMPRODUCT($E$39:$P$39,CJ400:CU400,$E$28:$P$28)</f>
        <v>0</v>
      </c>
      <c r="FS400" s="60" t="n">
        <f aca="false">$N$28*SUMPRODUCT($E$40:$P$40,CJ400:CU400,$E$28:$P$28)</f>
        <v>0</v>
      </c>
      <c r="FT400" s="60" t="n">
        <f aca="false">$O$28*SUMPRODUCT($E$41:$P$41,CJ400:CU400,$E$28:$P$28)</f>
        <v>0</v>
      </c>
      <c r="FU400" s="60" t="n">
        <f aca="false">$P$28*SUMPRODUCT($E$42:$P$42,CJ400:CU400,$E$28:$P$28)</f>
        <v>0</v>
      </c>
      <c r="FV400" s="60" t="n">
        <f aca="false">SUMPRODUCT(CJ400:CU400,FJ400:FU400)</f>
        <v>0.184416866619846</v>
      </c>
      <c r="FW400" s="60" t="n">
        <f aca="false">SUMPRODUCT(CJ400:CU400,$E$27:$P$27)</f>
        <v>2.67389635063809E-005</v>
      </c>
      <c r="FX400" s="60" t="n">
        <f aca="false">FV400*$C$9/($C$10*$C$8)^2</f>
        <v>0.21776909410545</v>
      </c>
      <c r="FY400" s="60" t="n">
        <f aca="false">FW400*$C$9/($C$10*$C$8)</f>
        <v>0.0918845243259994</v>
      </c>
      <c r="FZ400" s="60" t="n">
        <f aca="false">CHOOSE($C$7,-(1+FY400),-1,-(1-FY400))</f>
        <v>-0.908115475674001</v>
      </c>
      <c r="GA400" s="60" t="n">
        <f aca="false">CHOOSE($C$7,FX400,FX400-FY400-FY400^2,FX400-3*FY400^2-2*FY400)</f>
        <v>0.00867174802160559</v>
      </c>
      <c r="GB400" s="60" t="n">
        <f aca="false">CHOOSE($C$7,-FX400*FY400,-FX400*FY400,-(FX400*FY400-FY400^2-FY400^3))</f>
        <v>-0.0107910842936637</v>
      </c>
      <c r="GC400" s="60" t="n">
        <f aca="false">GA400-FZ400^2/3</f>
        <v>-0.266219491031267</v>
      </c>
      <c r="GD400" s="60" t="n">
        <f aca="false">2*FZ400^3/27-FZ400*GA400/3+GB400</f>
        <v>-0.0636400988362784</v>
      </c>
      <c r="GE400" s="60" t="n">
        <f aca="false">GD400^2/4+GC400^3/27</f>
        <v>0.000313710901361829</v>
      </c>
      <c r="GF400" s="60" t="n">
        <f aca="false">-GD400/2-IF(GD400&gt;=0,1,-1)*SQRT(MAX(GE400,0))</f>
        <v>0.0495319352963236</v>
      </c>
      <c r="GG400" s="60" t="n">
        <f aca="false">SIGN(GF400)*ABS(GF400)^(1/3)</f>
        <v>0.367249967174439</v>
      </c>
      <c r="GH400" s="60" t="n">
        <f aca="false">IF(GG400=0,0,GG400-GC400/(3*GG400))</f>
        <v>0.60888329127384</v>
      </c>
      <c r="GI400" s="60" t="n">
        <f aca="false">2*SQRT(MAX(-GC400,0)/3)</f>
        <v>0.595784626668918</v>
      </c>
      <c r="GJ400" s="60" t="n">
        <f aca="false">ACOS(IF(GI400=0,0,MAX(-1,MIN(1,3*GD400/(GC400*GI400)))))</f>
        <v>0</v>
      </c>
      <c r="GK400" s="60" t="n">
        <f aca="false">GI400*COS(GJ400/3)</f>
        <v>0.595784626668918</v>
      </c>
      <c r="GL400" s="60" t="n">
        <f aca="false">IF(GE400&lt;0,GK400,GH400)-FZ400/3</f>
        <v>0.91158844983184</v>
      </c>
      <c r="GM400" s="60" t="n">
        <f aca="false">IFERROR((((GL400+FZ400)*GL400+GA400)*GL400+GB400)/((3*GL400+2*FZ400)*GL400+GA400),0)</f>
        <v>0</v>
      </c>
      <c r="GN400" s="60" t="n">
        <f aca="false">IF(ABS(GM400)&lt;0.1*ABS(GL400),GL400-GM400,GL400)</f>
        <v>0.91158844983184</v>
      </c>
      <c r="GO400" s="60" t="n">
        <f aca="false">IFERROR((((GN400+FZ400)*GN400+GA400)*GN400+GB400)/((3*GN400+2*FZ400)*GN400+GA400),0)</f>
        <v>0</v>
      </c>
      <c r="GP400" s="60" t="n">
        <f aca="false">IF(ABS(GO400)&lt;0.1*ABS(GN400),GN400-GO400,GN400)</f>
        <v>0.91158844983184</v>
      </c>
      <c r="GQ400" s="60" t="n">
        <f aca="false">-GB400/GP400</f>
        <v>0.0118376711504565</v>
      </c>
      <c r="GR400" s="60" t="n">
        <f aca="false">(GA400-GQ400)/GP400</f>
        <v>-0.00347297415783941</v>
      </c>
      <c r="GS400" s="60" t="n">
        <f aca="false">GR400^2-4*GQ400</f>
        <v>-0.0473386230523248</v>
      </c>
      <c r="GT400" s="60" t="n">
        <f aca="false">IF(GS400&gt;=0,(GR400+IF(GR400&gt;=0,1,-1)*SQRT(GS400))/2,0)</f>
        <v>0</v>
      </c>
      <c r="GU400" s="60" t="n">
        <f aca="false">IF(AND(GS400&gt;=0,GT400&lt;&gt;0),MIN(GT400,GQ400/GT400),-1)</f>
        <v>-1</v>
      </c>
      <c r="GV400" s="60" t="n">
        <f aca="false">AND(GS400&gt;=0,GU400&gt;FY400,ABS(GP400-GU400)&gt;=0.00005*MAX(GP400,GU400))</f>
        <v>0</v>
      </c>
      <c r="GW400" s="60" t="n">
        <f aca="false">IF(GV400,IFERROR((((GU400+FZ400)*GU400+GA400)*GU400+GB400)/((3*GU400+2*FZ400)*GU400+GA400),0),0)</f>
        <v>0</v>
      </c>
      <c r="GX400" s="60" t="n">
        <f aca="false">IF(ABS(GW400)&lt;0.1*ABS(GU400),GU400-GW400,GU400)</f>
        <v>-1</v>
      </c>
      <c r="GY400" s="60" t="n">
        <f aca="false">IF(GV400,IFERROR((((GX400+FZ400)*GX400+GA400)*GX400+GB400)/((3*GX400+2*FZ400)*GX400+GA400),0),0)</f>
        <v>0</v>
      </c>
      <c r="GZ400" s="60" t="n">
        <f aca="false">IF(ABS(GY400)&lt;0.1*ABS(GX400),GX400-GY400,GX400)</f>
        <v>-1</v>
      </c>
      <c r="HA400" s="60" t="n">
        <f aca="false">IF(GV400,MAX(GP400,GZ400),GP400)</f>
        <v>0.91158844983184</v>
      </c>
      <c r="HB400" s="60" t="n">
        <f aca="false">IF(GV400,MIN(GP400,GZ400),-1)</f>
        <v>-1</v>
      </c>
      <c r="HC400" s="60" t="n">
        <f aca="false">CHOOSE($C$7,FX400/HA400,FX400/FY400*LN(1+FY400/HA400),FX400/(2*SQRT(2)*FY400)*LN((HA400+(1+SQRT(2))*FY400)/(HA400+(1-SQRT(2))*FY400)))</f>
        <v>0.218240791233887</v>
      </c>
      <c r="HD400" s="60" t="n">
        <f aca="false">HA400-1-LN(HA400-FY400)-HC400</f>
        <v>-0.107840271021729</v>
      </c>
      <c r="HE400" s="60" t="n">
        <f aca="false">IF(GV400,CHOOSE($C$7,FX400/HB400,FX400/FY400*LN(1+FY400/HB400),FX400/(2*SQRT(2)*FY400)*LN((HB400+(1+SQRT(2))*FY400)/(HB400+(1-SQRT(2))*FY400))),0)</f>
        <v>0</v>
      </c>
      <c r="HF400" s="60" t="n">
        <f aca="false">IF(GV400,HB400-1-LN(HB400-FY400)-HE400,0)</f>
        <v>0</v>
      </c>
      <c r="HG400" s="60" t="n">
        <f aca="false">AND(GV400,HF400&lt;HD400)</f>
        <v>0</v>
      </c>
      <c r="HH400" s="60" t="n">
        <f aca="false">IF(HG400,HB400,HA400)</f>
        <v>0.91158844983184</v>
      </c>
      <c r="HI400" s="60" t="n">
        <f aca="false">IF(HG400,HE400,HC400)</f>
        <v>0.218240791233887</v>
      </c>
      <c r="HJ400" s="60" t="n">
        <f aca="false">LN(HH400-FY400)</f>
        <v>-0.198812070380318</v>
      </c>
      <c r="HK400" s="60" t="n">
        <f aca="false">$E$27/FW400*(HH400-1)-HJ400-HI400*(2*FJ400/FV400-$E$27/FW400)</f>
        <v>-0.107840271021729</v>
      </c>
      <c r="HL400" s="60" t="n">
        <f aca="false">$F$27/FW400*(HH400-1)-HJ400-HI400*(2*FK400/FV400-$F$27/FW400)</f>
        <v>0.198812070380318</v>
      </c>
      <c r="HM400" s="60" t="n">
        <f aca="false">$G$27/FW400*(HH400-1)-HJ400-HI400*(2*FL400/FV400-$G$27/FW400)</f>
        <v>0.198812070380318</v>
      </c>
      <c r="HN400" s="60" t="n">
        <f aca="false">$H$27/FW400*(HH400-1)-HJ400-HI400*(2*FM400/FV400-$H$27/FW400)</f>
        <v>0.198812070380318</v>
      </c>
      <c r="HO400" s="60" t="n">
        <f aca="false">$I$27/FW400*(HH400-1)-HJ400-HI400*(2*FN400/FV400-$I$27/FW400)</f>
        <v>0.198812070380318</v>
      </c>
      <c r="HP400" s="60" t="n">
        <f aca="false">$J$27/FW400*(HH400-1)-HJ400-HI400*(2*FO400/FV400-$J$27/FW400)</f>
        <v>0.198812070380318</v>
      </c>
      <c r="HQ400" s="60" t="n">
        <f aca="false">$K$27/FW400*(HH400-1)-HJ400-HI400*(2*FP400/FV400-$K$27/FW400)</f>
        <v>0.198812070380318</v>
      </c>
      <c r="HR400" s="60" t="n">
        <f aca="false">$L$27/FW400*(HH400-1)-HJ400-HI400*(2*FQ400/FV400-$L$27/FW400)</f>
        <v>0.198812070380318</v>
      </c>
      <c r="HS400" s="60" t="n">
        <f aca="false">$M$27/FW400*(HH400-1)-HJ400-HI400*(2*FR400/FV400-$M$27/FW400)</f>
        <v>0.198812070380318</v>
      </c>
      <c r="HT400" s="60" t="n">
        <f aca="false">$N$27/FW400*(HH400-1)-HJ400-HI400*(2*FS400/FV400-$N$27/FW400)</f>
        <v>0.198812070380318</v>
      </c>
      <c r="HU400" s="60" t="n">
        <f aca="false">$O$27/FW400*(HH400-1)-HJ400-HI400*(2*FT400/FV400-$O$27/FW400)</f>
        <v>0.198812070380318</v>
      </c>
      <c r="HV400" s="60" t="n">
        <f aca="false">$P$27/FW400*(HH400-1)-HJ400-HI400*(2*FU400/FV400-$P$27/FW400)</f>
        <v>0.198812070380318</v>
      </c>
      <c r="HW400" s="60" t="n">
        <f aca="false">FY400/HH400&gt;$C$22</f>
        <v>0</v>
      </c>
      <c r="HX400" s="60" t="n">
        <f aca="false">IF($E$13&gt;0,MAX(-300,MIN(300,EW400-HK400)),0)</f>
        <v>0</v>
      </c>
      <c r="HY400" s="60" t="n">
        <f aca="false">IF($F$13&gt;0,MAX(-300,MIN(300,EX400-HL400)),0)</f>
        <v>0</v>
      </c>
      <c r="HZ400" s="60" t="n">
        <f aca="false">IF($G$13&gt;0,MAX(-300,MIN(300,EY400-HM400)),0)</f>
        <v>0</v>
      </c>
      <c r="IA400" s="60" t="n">
        <f aca="false">IF($H$13&gt;0,MAX(-300,MIN(300,EZ400-HN400)),0)</f>
        <v>0</v>
      </c>
      <c r="IB400" s="60" t="n">
        <f aca="false">IF($I$13&gt;0,MAX(-300,MIN(300,FA400-HO400)),0)</f>
        <v>0</v>
      </c>
      <c r="IC400" s="60" t="n">
        <f aca="false">IF($J$13&gt;0,MAX(-300,MIN(300,FB400-HP400)),0)</f>
        <v>0</v>
      </c>
      <c r="ID400" s="60" t="n">
        <f aca="false">IF($K$13&gt;0,MAX(-300,MIN(300,FC400-HQ400)),0)</f>
        <v>0</v>
      </c>
      <c r="IE400" s="60" t="n">
        <f aca="false">IF($L$13&gt;0,MAX(-300,MIN(300,FD400-HR400)),0)</f>
        <v>0</v>
      </c>
      <c r="IF400" s="60" t="n">
        <f aca="false">IF($M$13&gt;0,MAX(-300,MIN(300,FE400-HS400)),0)</f>
        <v>0</v>
      </c>
      <c r="IG400" s="60" t="n">
        <f aca="false">IF($N$13&gt;0,MAX(-300,MIN(300,FF400-HT400)),0)</f>
        <v>0</v>
      </c>
      <c r="IH400" s="60" t="n">
        <f aca="false">IF($O$13&gt;0,MAX(-300,MIN(300,FG400-HU400)),0)</f>
        <v>0</v>
      </c>
      <c r="II400" s="60" t="n">
        <f aca="false">IF($P$13&gt;0,MAX(-300,MIN(300,FH400-HV400)),0)</f>
        <v>0</v>
      </c>
      <c r="IJ400" s="60" t="n">
        <f aca="false">SUMXMY2(HX400:II400,B400:M400)</f>
        <v>0</v>
      </c>
      <c r="IK400" s="60" t="n">
        <f aca="false">SUMSQ(B400:M400)</f>
        <v>0</v>
      </c>
    </row>
    <row r="401" customFormat="false" ht="15" hidden="false" customHeight="false" outlineLevel="0" collapsed="false">
      <c r="A401" s="59" t="n">
        <v>40</v>
      </c>
      <c r="B401" s="60" t="n">
        <f aca="false">HX400</f>
        <v>0</v>
      </c>
      <c r="C401" s="60" t="n">
        <f aca="false">HY400</f>
        <v>0</v>
      </c>
      <c r="D401" s="60" t="n">
        <f aca="false">HZ400</f>
        <v>0</v>
      </c>
      <c r="E401" s="60" t="n">
        <f aca="false">IA400</f>
        <v>0</v>
      </c>
      <c r="F401" s="60" t="n">
        <f aca="false">IB400</f>
        <v>0</v>
      </c>
      <c r="G401" s="60" t="n">
        <f aca="false">IC400</f>
        <v>0</v>
      </c>
      <c r="H401" s="60" t="n">
        <f aca="false">ID400</f>
        <v>0</v>
      </c>
      <c r="I401" s="60" t="n">
        <f aca="false">IE400</f>
        <v>0</v>
      </c>
      <c r="J401" s="60" t="n">
        <f aca="false">IF400</f>
        <v>0</v>
      </c>
      <c r="K401" s="60" t="n">
        <f aca="false">IG400</f>
        <v>0</v>
      </c>
      <c r="L401" s="60" t="n">
        <f aca="false">IH400</f>
        <v>0</v>
      </c>
      <c r="M401" s="60" t="n">
        <f aca="false">II400</f>
        <v>0</v>
      </c>
      <c r="N401" s="60" t="n">
        <f aca="false">EXP(B401)</f>
        <v>1</v>
      </c>
      <c r="O401" s="60" t="n">
        <f aca="false">EXP(C401)</f>
        <v>1</v>
      </c>
      <c r="P401" s="60" t="n">
        <f aca="false">EXP(D401)</f>
        <v>1</v>
      </c>
      <c r="Q401" s="60" t="n">
        <f aca="false">EXP(E401)</f>
        <v>1</v>
      </c>
      <c r="R401" s="60" t="n">
        <f aca="false">EXP(F401)</f>
        <v>1</v>
      </c>
      <c r="S401" s="60" t="n">
        <f aca="false">EXP(G401)</f>
        <v>1</v>
      </c>
      <c r="T401" s="60" t="n">
        <f aca="false">EXP(H401)</f>
        <v>1</v>
      </c>
      <c r="U401" s="60" t="n">
        <f aca="false">EXP(I401)</f>
        <v>1</v>
      </c>
      <c r="V401" s="60" t="n">
        <f aca="false">EXP(J401)</f>
        <v>1</v>
      </c>
      <c r="W401" s="60" t="n">
        <f aca="false">EXP(K401)</f>
        <v>1</v>
      </c>
      <c r="X401" s="60" t="n">
        <f aca="false">EXP(L401)</f>
        <v>1</v>
      </c>
      <c r="Y401" s="60" t="n">
        <f aca="false">EXP(M401)</f>
        <v>1</v>
      </c>
      <c r="Z401" s="60" t="n">
        <f aca="false">MAX(N401:Y401)</f>
        <v>1</v>
      </c>
      <c r="AA401" s="60" t="n">
        <f aca="false">MIN(N401:Y401)</f>
        <v>1</v>
      </c>
      <c r="AB401" s="60" t="n">
        <f aca="false">AND(Z401&gt;1,AA401&lt;1)</f>
        <v>0</v>
      </c>
      <c r="AC401" s="60" t="n">
        <f aca="false">IF(AB401,1/(1-Z401),0)</f>
        <v>0</v>
      </c>
      <c r="AD401" s="60" t="n">
        <f aca="false">IF(AB401,1/(1-AA401),1)</f>
        <v>1</v>
      </c>
      <c r="AE401" s="60" t="n">
        <f aca="false">IF(AB401,MIN(MAX(BI400,AC401+0.000000001*(AD401-AC401)),AD401-0.000000001*(AD401-AC401)),IF(AA401&gt;=1,1,0))</f>
        <v>1</v>
      </c>
      <c r="AF401" s="60" t="n">
        <f aca="false">SUMPRODUCT($E$13:$P$13*(N401:Y401-1)/(1+AE401*(N401:Y401-1)))</f>
        <v>0</v>
      </c>
      <c r="AG401" s="60" t="n">
        <f aca="false">-SUMPRODUCT($E$13:$P$13*(N401:Y401-1)^2/(1+AE401*(N401:Y401-1))^2)</f>
        <v>-0</v>
      </c>
      <c r="AH401" s="60" t="n">
        <f aca="false">IF(OR(NOT(AB401),AG401=0),AE401,IF(AE401-AF401/AG401&lt;=AC401,(AE401+AC401)/2,IF(AE401-AF401/AG401&gt;=AD401,(AE401+AD401)/2,AE401-AF401/AG401)))</f>
        <v>1</v>
      </c>
      <c r="AI401" s="60" t="n">
        <f aca="false">SUMPRODUCT($E$13:$P$13*(N401:Y401-1)/(1+AH401*(N401:Y401-1)))</f>
        <v>0</v>
      </c>
      <c r="AJ401" s="60" t="n">
        <f aca="false">-SUMPRODUCT($E$13:$P$13*(N401:Y401-1)^2/(1+AH401*(N401:Y401-1))^2)</f>
        <v>-0</v>
      </c>
      <c r="AK401" s="60" t="n">
        <f aca="false">IF(OR(NOT(AB401),AJ401=0),AH401,IF(AH401-AI401/AJ401&lt;=AC401,(AH401+AC401)/2,IF(AH401-AI401/AJ401&gt;=AD401,(AH401+AD401)/2,AH401-AI401/AJ401)))</f>
        <v>1</v>
      </c>
      <c r="AL401" s="60" t="n">
        <f aca="false">SUMPRODUCT($E$13:$P$13*(N401:Y401-1)/(1+AK401*(N401:Y401-1)))</f>
        <v>0</v>
      </c>
      <c r="AM401" s="60" t="n">
        <f aca="false">-SUMPRODUCT($E$13:$P$13*(N401:Y401-1)^2/(1+AK401*(N401:Y401-1))^2)</f>
        <v>-0</v>
      </c>
      <c r="AN401" s="60" t="n">
        <f aca="false">IF(OR(NOT(AB401),AM401=0),AK401,IF(AK401-AL401/AM401&lt;=AC401,(AK401+AC401)/2,IF(AK401-AL401/AM401&gt;=AD401,(AK401+AD401)/2,AK401-AL401/AM401)))</f>
        <v>1</v>
      </c>
      <c r="AO401" s="60" t="n">
        <f aca="false">SUMPRODUCT($E$13:$P$13*(N401:Y401-1)/(1+AN401*(N401:Y401-1)))</f>
        <v>0</v>
      </c>
      <c r="AP401" s="60" t="n">
        <f aca="false">-SUMPRODUCT($E$13:$P$13*(N401:Y401-1)^2/(1+AN401*(N401:Y401-1))^2)</f>
        <v>-0</v>
      </c>
      <c r="AQ401" s="60" t="n">
        <f aca="false">IF(OR(NOT(AB401),AP401=0),AN401,IF(AN401-AO401/AP401&lt;=AC401,(AN401+AC401)/2,IF(AN401-AO401/AP401&gt;=AD401,(AN401+AD401)/2,AN401-AO401/AP401)))</f>
        <v>1</v>
      </c>
      <c r="AR401" s="60" t="n">
        <f aca="false">SUMPRODUCT($E$13:$P$13*(N401:Y401-1)/(1+AQ401*(N401:Y401-1)))</f>
        <v>0</v>
      </c>
      <c r="AS401" s="60" t="n">
        <f aca="false">-SUMPRODUCT($E$13:$P$13*(N401:Y401-1)^2/(1+AQ401*(N401:Y401-1))^2)</f>
        <v>-0</v>
      </c>
      <c r="AT401" s="60" t="n">
        <f aca="false">IF(OR(NOT(AB401),AS401=0),AQ401,IF(AQ401-AR401/AS401&lt;=AC401,(AQ401+AC401)/2,IF(AQ401-AR401/AS401&gt;=AD401,(AQ401+AD401)/2,AQ401-AR401/AS401)))</f>
        <v>1</v>
      </c>
      <c r="AU401" s="60" t="n">
        <f aca="false">SUMPRODUCT($E$13:$P$13*(N401:Y401-1)/(1+AT401*(N401:Y401-1)))</f>
        <v>0</v>
      </c>
      <c r="AV401" s="60" t="n">
        <f aca="false">-SUMPRODUCT($E$13:$P$13*(N401:Y401-1)^2/(1+AT401*(N401:Y401-1))^2)</f>
        <v>-0</v>
      </c>
      <c r="AW401" s="60" t="n">
        <f aca="false">IF(OR(NOT(AB401),AV401=0),AT401,IF(AT401-AU401/AV401&lt;=AC401,(AT401+AC401)/2,IF(AT401-AU401/AV401&gt;=AD401,(AT401+AD401)/2,AT401-AU401/AV401)))</f>
        <v>1</v>
      </c>
      <c r="AX401" s="60" t="n">
        <f aca="false">SUMPRODUCT($E$13:$P$13*(N401:Y401-1)/(1+AW401*(N401:Y401-1)))</f>
        <v>0</v>
      </c>
      <c r="AY401" s="60" t="n">
        <f aca="false">-SUMPRODUCT($E$13:$P$13*(N401:Y401-1)^2/(1+AW401*(N401:Y401-1))^2)</f>
        <v>-0</v>
      </c>
      <c r="AZ401" s="60" t="n">
        <f aca="false">IF(OR(NOT(AB401),AY401=0),AW401,IF(AW401-AX401/AY401&lt;=AC401,(AW401+AC401)/2,IF(AW401-AX401/AY401&gt;=AD401,(AW401+AD401)/2,AW401-AX401/AY401)))</f>
        <v>1</v>
      </c>
      <c r="BA401" s="60" t="n">
        <f aca="false">SUMPRODUCT($E$13:$P$13*(N401:Y401-1)/(1+AZ401*(N401:Y401-1)))</f>
        <v>0</v>
      </c>
      <c r="BB401" s="60" t="n">
        <f aca="false">-SUMPRODUCT($E$13:$P$13*(N401:Y401-1)^2/(1+AZ401*(N401:Y401-1))^2)</f>
        <v>-0</v>
      </c>
      <c r="BC401" s="60" t="n">
        <f aca="false">IF(OR(NOT(AB401),BB401=0),AZ401,IF(AZ401-BA401/BB401&lt;=AC401,(AZ401+AC401)/2,IF(AZ401-BA401/BB401&gt;=AD401,(AZ401+AD401)/2,AZ401-BA401/BB401)))</f>
        <v>1</v>
      </c>
      <c r="BD401" s="60" t="n">
        <f aca="false">SUMPRODUCT($E$13:$P$13*(N401:Y401-1)/(1+BC401*(N401:Y401-1)))</f>
        <v>0</v>
      </c>
      <c r="BE401" s="60" t="n">
        <f aca="false">-SUMPRODUCT($E$13:$P$13*(N401:Y401-1)^2/(1+BC401*(N401:Y401-1))^2)</f>
        <v>-0</v>
      </c>
      <c r="BF401" s="60" t="n">
        <f aca="false">IF(OR(NOT(AB401),BE401=0),BC401,IF(BC401-BD401/BE401&lt;=AC401,(BC401+AC401)/2,IF(BC401-BD401/BE401&gt;=AD401,(BC401+AD401)/2,BC401-BD401/BE401)))</f>
        <v>1</v>
      </c>
      <c r="BG401" s="60" t="n">
        <f aca="false">SUMPRODUCT($E$13:$P$13*(N401:Y401-1)/(1+BF401*(N401:Y401-1)))</f>
        <v>0</v>
      </c>
      <c r="BH401" s="60" t="n">
        <f aca="false">-SUMPRODUCT($E$13:$P$13*(N401:Y401-1)^2/(1+BF401*(N401:Y401-1))^2)</f>
        <v>-0</v>
      </c>
      <c r="BI401" s="60" t="n">
        <f aca="false">IF(OR(NOT(AB401),BH401=0),BF401,IF(BF401-BG401/BH401&lt;=AC401,(BF401+AC401)/2,IF(BF401-BG401/BH401&gt;=AD401,(BF401+AD401)/2,BF401-BG401/BH401)))</f>
        <v>1</v>
      </c>
      <c r="BJ401" s="60" t="n">
        <f aca="false">$E$13/(1+BI401*(N401-1))</f>
        <v>1</v>
      </c>
      <c r="BK401" s="60" t="n">
        <f aca="false">$F$13/(1+BI401*(O401-1))</f>
        <v>0</v>
      </c>
      <c r="BL401" s="60" t="n">
        <f aca="false">$G$13/(1+BI401*(P401-1))</f>
        <v>0</v>
      </c>
      <c r="BM401" s="60" t="n">
        <f aca="false">$H$13/(1+BI401*(Q401-1))</f>
        <v>0</v>
      </c>
      <c r="BN401" s="60" t="n">
        <f aca="false">$I$13/(1+BI401*(R401-1))</f>
        <v>0</v>
      </c>
      <c r="BO401" s="60" t="n">
        <f aca="false">$J$13/(1+BI401*(S401-1))</f>
        <v>0</v>
      </c>
      <c r="BP401" s="60" t="n">
        <f aca="false">$K$13/(1+BI401*(T401-1))</f>
        <v>0</v>
      </c>
      <c r="BQ401" s="60" t="n">
        <f aca="false">$L$13/(1+BI401*(U401-1))</f>
        <v>0</v>
      </c>
      <c r="BR401" s="60" t="n">
        <f aca="false">$M$13/(1+BI401*(V401-1))</f>
        <v>0</v>
      </c>
      <c r="BS401" s="60" t="n">
        <f aca="false">$N$13/(1+BI401*(W401-1))</f>
        <v>0</v>
      </c>
      <c r="BT401" s="60" t="n">
        <f aca="false">$O$13/(1+BI401*(X401-1))</f>
        <v>0</v>
      </c>
      <c r="BU401" s="60" t="n">
        <f aca="false">$P$13/(1+BI401*(Y401-1))</f>
        <v>0</v>
      </c>
      <c r="BV401" s="60" t="n">
        <f aca="false">SUM(BJ401:BU401)</f>
        <v>1</v>
      </c>
      <c r="BW401" s="60" t="n">
        <f aca="false">SUMPRODUCT(N401:Y401,BJ401:BU401)</f>
        <v>1</v>
      </c>
      <c r="BX401" s="60" t="n">
        <f aca="false">BJ401/BV401</f>
        <v>1</v>
      </c>
      <c r="BY401" s="60" t="n">
        <f aca="false">BK401/BV401</f>
        <v>0</v>
      </c>
      <c r="BZ401" s="60" t="n">
        <f aca="false">BL401/BV401</f>
        <v>0</v>
      </c>
      <c r="CA401" s="60" t="n">
        <f aca="false">BM401/BV401</f>
        <v>0</v>
      </c>
      <c r="CB401" s="60" t="n">
        <f aca="false">BN401/BV401</f>
        <v>0</v>
      </c>
      <c r="CC401" s="60" t="n">
        <f aca="false">BO401/BV401</f>
        <v>0</v>
      </c>
      <c r="CD401" s="60" t="n">
        <f aca="false">BP401/BV401</f>
        <v>0</v>
      </c>
      <c r="CE401" s="60" t="n">
        <f aca="false">BQ401/BV401</f>
        <v>0</v>
      </c>
      <c r="CF401" s="60" t="n">
        <f aca="false">BR401/BV401</f>
        <v>0</v>
      </c>
      <c r="CG401" s="60" t="n">
        <f aca="false">BS401/BV401</f>
        <v>0</v>
      </c>
      <c r="CH401" s="60" t="n">
        <f aca="false">BT401/BV401</f>
        <v>0</v>
      </c>
      <c r="CI401" s="60" t="n">
        <f aca="false">BU401/BV401</f>
        <v>0</v>
      </c>
      <c r="CJ401" s="60" t="n">
        <f aca="false">N401*BJ401/BW401</f>
        <v>1</v>
      </c>
      <c r="CK401" s="60" t="n">
        <f aca="false">O401*BK401/BW401</f>
        <v>0</v>
      </c>
      <c r="CL401" s="60" t="n">
        <f aca="false">P401*BL401/BW401</f>
        <v>0</v>
      </c>
      <c r="CM401" s="60" t="n">
        <f aca="false">Q401*BM401/BW401</f>
        <v>0</v>
      </c>
      <c r="CN401" s="60" t="n">
        <f aca="false">R401*BN401/BW401</f>
        <v>0</v>
      </c>
      <c r="CO401" s="60" t="n">
        <f aca="false">S401*BO401/BW401</f>
        <v>0</v>
      </c>
      <c r="CP401" s="60" t="n">
        <f aca="false">T401*BP401/BW401</f>
        <v>0</v>
      </c>
      <c r="CQ401" s="60" t="n">
        <f aca="false">U401*BQ401/BW401</f>
        <v>0</v>
      </c>
      <c r="CR401" s="60" t="n">
        <f aca="false">V401*BR401/BW401</f>
        <v>0</v>
      </c>
      <c r="CS401" s="60" t="n">
        <f aca="false">W401*BS401/BW401</f>
        <v>0</v>
      </c>
      <c r="CT401" s="60" t="n">
        <f aca="false">X401*BT401/BW401</f>
        <v>0</v>
      </c>
      <c r="CU401" s="60" t="n">
        <f aca="false">Y401*BU401/BW401</f>
        <v>0</v>
      </c>
      <c r="CV401" s="60" t="n">
        <f aca="false">$E$28*SUMPRODUCT($E$31:$P$31,BX401:CI401,$E$28:$P$28)</f>
        <v>0.184416866619846</v>
      </c>
      <c r="CW401" s="60" t="n">
        <f aca="false">$F$28*SUMPRODUCT($E$32:$P$32,BX401:CI401,$E$28:$P$28)</f>
        <v>0</v>
      </c>
      <c r="CX401" s="60" t="n">
        <f aca="false">$G$28*SUMPRODUCT($E$33:$P$33,BX401:CI401,$E$28:$P$28)</f>
        <v>0</v>
      </c>
      <c r="CY401" s="60" t="n">
        <f aca="false">$H$28*SUMPRODUCT($E$34:$P$34,BX401:CI401,$E$28:$P$28)</f>
        <v>0</v>
      </c>
      <c r="CZ401" s="60" t="n">
        <f aca="false">$I$28*SUMPRODUCT($E$35:$P$35,BX401:CI401,$E$28:$P$28)</f>
        <v>0</v>
      </c>
      <c r="DA401" s="60" t="n">
        <f aca="false">$J$28*SUMPRODUCT($E$36:$P$36,BX401:CI401,$E$28:$P$28)</f>
        <v>0</v>
      </c>
      <c r="DB401" s="60" t="n">
        <f aca="false">$K$28*SUMPRODUCT($E$37:$P$37,BX401:CI401,$E$28:$P$28)</f>
        <v>0</v>
      </c>
      <c r="DC401" s="60" t="n">
        <f aca="false">$L$28*SUMPRODUCT($E$38:$P$38,BX401:CI401,$E$28:$P$28)</f>
        <v>0</v>
      </c>
      <c r="DD401" s="60" t="n">
        <f aca="false">$M$28*SUMPRODUCT($E$39:$P$39,BX401:CI401,$E$28:$P$28)</f>
        <v>0</v>
      </c>
      <c r="DE401" s="60" t="n">
        <f aca="false">$N$28*SUMPRODUCT($E$40:$P$40,BX401:CI401,$E$28:$P$28)</f>
        <v>0</v>
      </c>
      <c r="DF401" s="60" t="n">
        <f aca="false">$O$28*SUMPRODUCT($E$41:$P$41,BX401:CI401,$E$28:$P$28)</f>
        <v>0</v>
      </c>
      <c r="DG401" s="60" t="n">
        <f aca="false">$P$28*SUMPRODUCT($E$42:$P$42,BX401:CI401,$E$28:$P$28)</f>
        <v>0</v>
      </c>
      <c r="DH401" s="60" t="n">
        <f aca="false">SUMPRODUCT(BX401:CI401,CV401:DG401)</f>
        <v>0.184416866619846</v>
      </c>
      <c r="DI401" s="60" t="n">
        <f aca="false">SUMPRODUCT(BX401:CI401,$E$27:$P$27)</f>
        <v>2.67389635063809E-005</v>
      </c>
      <c r="DJ401" s="60" t="n">
        <f aca="false">DH401*$C$9/($C$10*$C$8)^2</f>
        <v>0.21776909410545</v>
      </c>
      <c r="DK401" s="60" t="n">
        <f aca="false">DI401*$C$9/($C$10*$C$8)</f>
        <v>0.0918845243259994</v>
      </c>
      <c r="DL401" s="60" t="n">
        <f aca="false">CHOOSE($C$7,-(1+DK401),-1,-(1-DK401))</f>
        <v>-0.908115475674001</v>
      </c>
      <c r="DM401" s="60" t="n">
        <f aca="false">CHOOSE($C$7,DJ401,DJ401-DK401-DK401^2,DJ401-3*DK401^2-2*DK401)</f>
        <v>0.00867174802160559</v>
      </c>
      <c r="DN401" s="60" t="n">
        <f aca="false">CHOOSE($C$7,-DJ401*DK401,-DJ401*DK401,-(DJ401*DK401-DK401^2-DK401^3))</f>
        <v>-0.0107910842936637</v>
      </c>
      <c r="DO401" s="60" t="n">
        <f aca="false">DM401-DL401^2/3</f>
        <v>-0.266219491031267</v>
      </c>
      <c r="DP401" s="60" t="n">
        <f aca="false">2*DL401^3/27-DL401*DM401/3+DN401</f>
        <v>-0.0636400988362784</v>
      </c>
      <c r="DQ401" s="60" t="n">
        <f aca="false">DP401^2/4+DO401^3/27</f>
        <v>0.000313710901361829</v>
      </c>
      <c r="DR401" s="60" t="n">
        <f aca="false">-DP401/2-IF(DP401&gt;=0,1,-1)*SQRT(MAX(DQ401,0))</f>
        <v>0.0495319352963236</v>
      </c>
      <c r="DS401" s="60" t="n">
        <f aca="false">SIGN(DR401)*ABS(DR401)^(1/3)</f>
        <v>0.367249967174439</v>
      </c>
      <c r="DT401" s="60" t="n">
        <f aca="false">IF(DS401=0,0,DS401-DO401/(3*DS401))</f>
        <v>0.60888329127384</v>
      </c>
      <c r="DU401" s="60" t="n">
        <f aca="false">2*SQRT(MAX(-DO401,0)/3)</f>
        <v>0.595784626668918</v>
      </c>
      <c r="DV401" s="60" t="n">
        <f aca="false">ACOS(IF(DU401=0,0,MAX(-1,MIN(1,3*DP401/(DO401*DU401)))))</f>
        <v>0</v>
      </c>
      <c r="DW401" s="60" t="n">
        <f aca="false">DU401*COS(DV401/3)</f>
        <v>0.595784626668918</v>
      </c>
      <c r="DX401" s="60" t="n">
        <f aca="false">IF(DQ401&lt;0,DW401,DT401)-DL401/3</f>
        <v>0.91158844983184</v>
      </c>
      <c r="DY401" s="60" t="n">
        <f aca="false">IFERROR((((DX401+DL401)*DX401+DM401)*DX401+DN401)/((3*DX401+2*DL401)*DX401+DM401),0)</f>
        <v>0</v>
      </c>
      <c r="DZ401" s="60" t="n">
        <f aca="false">IF(ABS(DY401)&lt;0.1*ABS(DX401),DX401-DY401,DX401)</f>
        <v>0.91158844983184</v>
      </c>
      <c r="EA401" s="60" t="n">
        <f aca="false">IFERROR((((DZ401+DL401)*DZ401+DM401)*DZ401+DN401)/((3*DZ401+2*DL401)*DZ401+DM401),0)</f>
        <v>0</v>
      </c>
      <c r="EB401" s="60" t="n">
        <f aca="false">IF(ABS(EA401)&lt;0.1*ABS(DZ401),DZ401-EA401,DZ401)</f>
        <v>0.91158844983184</v>
      </c>
      <c r="EC401" s="60" t="n">
        <f aca="false">-DN401/EB401</f>
        <v>0.0118376711504565</v>
      </c>
      <c r="ED401" s="60" t="n">
        <f aca="false">(DM401-EC401)/EB401</f>
        <v>-0.00347297415783941</v>
      </c>
      <c r="EE401" s="60" t="n">
        <f aca="false">ED401^2-4*EC401</f>
        <v>-0.0473386230523248</v>
      </c>
      <c r="EF401" s="60" t="n">
        <f aca="false">IF(EE401&gt;=0,(ED401+IF(ED401&gt;=0,1,-1)*SQRT(EE401))/2,0)</f>
        <v>0</v>
      </c>
      <c r="EG401" s="60" t="n">
        <f aca="false">IF(AND(EE401&gt;=0,EF401&lt;&gt;0),MIN(EF401,EC401/EF401),-1)</f>
        <v>-1</v>
      </c>
      <c r="EH401" s="60" t="n">
        <f aca="false">AND(EE401&gt;=0,EG401&gt;DK401,ABS(EB401-EG401)&gt;=0.00005*MAX(EB401,EG401))</f>
        <v>0</v>
      </c>
      <c r="EI401" s="60" t="n">
        <f aca="false">IF(EH401,IFERROR((((EG401+DL401)*EG401+DM401)*EG401+DN401)/((3*EG401+2*DL401)*EG401+DM401),0),0)</f>
        <v>0</v>
      </c>
      <c r="EJ401" s="60" t="n">
        <f aca="false">IF(ABS(EI401)&lt;0.1*ABS(EG401),EG401-EI401,EG401)</f>
        <v>-1</v>
      </c>
      <c r="EK401" s="60" t="n">
        <f aca="false">IF(EH401,IFERROR((((EJ401+DL401)*EJ401+DM401)*EJ401+DN401)/((3*EJ401+2*DL401)*EJ401+DM401),0),0)</f>
        <v>0</v>
      </c>
      <c r="EL401" s="60" t="n">
        <f aca="false">IF(ABS(EK401)&lt;0.1*ABS(EJ401),EJ401-EK401,EJ401)</f>
        <v>-1</v>
      </c>
      <c r="EM401" s="60" t="n">
        <f aca="false">IF(EH401,MAX(EB401,EL401),EB401)</f>
        <v>0.91158844983184</v>
      </c>
      <c r="EN401" s="60" t="n">
        <f aca="false">IF(EH401,MIN(EB401,EL401),-1)</f>
        <v>-1</v>
      </c>
      <c r="EO401" s="60" t="n">
        <f aca="false">CHOOSE($C$7,DJ401/EM401,DJ401/DK401*LN(1+DK401/EM401),DJ401/(2*SQRT(2)*DK401)*LN((EM401+(1+SQRT(2))*DK401)/(EM401+(1-SQRT(2))*DK401)))</f>
        <v>0.218240791233887</v>
      </c>
      <c r="EP401" s="60" t="n">
        <f aca="false">EM401-1-LN(EM401-DK401)-EO401</f>
        <v>-0.107840271021729</v>
      </c>
      <c r="EQ401" s="60" t="n">
        <f aca="false">IF(EH401,CHOOSE($C$7,DJ401/EN401,DJ401/DK401*LN(1+DK401/EN401),DJ401/(2*SQRT(2)*DK401)*LN((EN401+(1+SQRT(2))*DK401)/(EN401+(1-SQRT(2))*DK401))),0)</f>
        <v>0</v>
      </c>
      <c r="ER401" s="60" t="n">
        <f aca="false">IF(EH401,EN401-1-LN(EN401-DK401)-EQ401,0)</f>
        <v>0</v>
      </c>
      <c r="ES401" s="60" t="n">
        <f aca="false">AND(EH401,ER401&lt;EP401)</f>
        <v>0</v>
      </c>
      <c r="ET401" s="60" t="n">
        <f aca="false">IF(ES401,EN401,EM401)</f>
        <v>0.91158844983184</v>
      </c>
      <c r="EU401" s="60" t="n">
        <f aca="false">IF(ES401,EQ401,EO401)</f>
        <v>0.218240791233887</v>
      </c>
      <c r="EV401" s="60" t="n">
        <f aca="false">LN(ET401-DK401)</f>
        <v>-0.198812070380318</v>
      </c>
      <c r="EW401" s="60" t="n">
        <f aca="false">$E$27/DI401*(ET401-1)-EV401-EU401*(2*CV401/DH401-$E$27/DI401)</f>
        <v>-0.107840271021729</v>
      </c>
      <c r="EX401" s="60" t="n">
        <f aca="false">$F$27/DI401*(ET401-1)-EV401-EU401*(2*CW401/DH401-$F$27/DI401)</f>
        <v>0.198812070380318</v>
      </c>
      <c r="EY401" s="60" t="n">
        <f aca="false">$G$27/DI401*(ET401-1)-EV401-EU401*(2*CX401/DH401-$G$27/DI401)</f>
        <v>0.198812070380318</v>
      </c>
      <c r="EZ401" s="60" t="n">
        <f aca="false">$H$27/DI401*(ET401-1)-EV401-EU401*(2*CY401/DH401-$H$27/DI401)</f>
        <v>0.198812070380318</v>
      </c>
      <c r="FA401" s="60" t="n">
        <f aca="false">$I$27/DI401*(ET401-1)-EV401-EU401*(2*CZ401/DH401-$I$27/DI401)</f>
        <v>0.198812070380318</v>
      </c>
      <c r="FB401" s="60" t="n">
        <f aca="false">$J$27/DI401*(ET401-1)-EV401-EU401*(2*DA401/DH401-$J$27/DI401)</f>
        <v>0.198812070380318</v>
      </c>
      <c r="FC401" s="60" t="n">
        <f aca="false">$K$27/DI401*(ET401-1)-EV401-EU401*(2*DB401/DH401-$K$27/DI401)</f>
        <v>0.198812070380318</v>
      </c>
      <c r="FD401" s="60" t="n">
        <f aca="false">$L$27/DI401*(ET401-1)-EV401-EU401*(2*DC401/DH401-$L$27/DI401)</f>
        <v>0.198812070380318</v>
      </c>
      <c r="FE401" s="60" t="n">
        <f aca="false">$M$27/DI401*(ET401-1)-EV401-EU401*(2*DD401/DH401-$M$27/DI401)</f>
        <v>0.198812070380318</v>
      </c>
      <c r="FF401" s="60" t="n">
        <f aca="false">$N$27/DI401*(ET401-1)-EV401-EU401*(2*DE401/DH401-$N$27/DI401)</f>
        <v>0.198812070380318</v>
      </c>
      <c r="FG401" s="60" t="n">
        <f aca="false">$O$27/DI401*(ET401-1)-EV401-EU401*(2*DF401/DH401-$O$27/DI401)</f>
        <v>0.198812070380318</v>
      </c>
      <c r="FH401" s="60" t="n">
        <f aca="false">$P$27/DI401*(ET401-1)-EV401-EU401*(2*DG401/DH401-$P$27/DI401)</f>
        <v>0.198812070380318</v>
      </c>
      <c r="FI401" s="60" t="n">
        <f aca="false">DK401/ET401&gt;$C$22</f>
        <v>0</v>
      </c>
      <c r="FJ401" s="60" t="n">
        <f aca="false">$E$28*SUMPRODUCT($E$31:$P$31,CJ401:CU401,$E$28:$P$28)</f>
        <v>0.184416866619846</v>
      </c>
      <c r="FK401" s="60" t="n">
        <f aca="false">$F$28*SUMPRODUCT($E$32:$P$32,CJ401:CU401,$E$28:$P$28)</f>
        <v>0</v>
      </c>
      <c r="FL401" s="60" t="n">
        <f aca="false">$G$28*SUMPRODUCT($E$33:$P$33,CJ401:CU401,$E$28:$P$28)</f>
        <v>0</v>
      </c>
      <c r="FM401" s="60" t="n">
        <f aca="false">$H$28*SUMPRODUCT($E$34:$P$34,CJ401:CU401,$E$28:$P$28)</f>
        <v>0</v>
      </c>
      <c r="FN401" s="60" t="n">
        <f aca="false">$I$28*SUMPRODUCT($E$35:$P$35,CJ401:CU401,$E$28:$P$28)</f>
        <v>0</v>
      </c>
      <c r="FO401" s="60" t="n">
        <f aca="false">$J$28*SUMPRODUCT($E$36:$P$36,CJ401:CU401,$E$28:$P$28)</f>
        <v>0</v>
      </c>
      <c r="FP401" s="60" t="n">
        <f aca="false">$K$28*SUMPRODUCT($E$37:$P$37,CJ401:CU401,$E$28:$P$28)</f>
        <v>0</v>
      </c>
      <c r="FQ401" s="60" t="n">
        <f aca="false">$L$28*SUMPRODUCT($E$38:$P$38,CJ401:CU401,$E$28:$P$28)</f>
        <v>0</v>
      </c>
      <c r="FR401" s="60" t="n">
        <f aca="false">$M$28*SUMPRODUCT($E$39:$P$39,CJ401:CU401,$E$28:$P$28)</f>
        <v>0</v>
      </c>
      <c r="FS401" s="60" t="n">
        <f aca="false">$N$28*SUMPRODUCT($E$40:$P$40,CJ401:CU401,$E$28:$P$28)</f>
        <v>0</v>
      </c>
      <c r="FT401" s="60" t="n">
        <f aca="false">$O$28*SUMPRODUCT($E$41:$P$41,CJ401:CU401,$E$28:$P$28)</f>
        <v>0</v>
      </c>
      <c r="FU401" s="60" t="n">
        <f aca="false">$P$28*SUMPRODUCT($E$42:$P$42,CJ401:CU401,$E$28:$P$28)</f>
        <v>0</v>
      </c>
      <c r="FV401" s="60" t="n">
        <f aca="false">SUMPRODUCT(CJ401:CU401,FJ401:FU401)</f>
        <v>0.184416866619846</v>
      </c>
      <c r="FW401" s="60" t="n">
        <f aca="false">SUMPRODUCT(CJ401:CU401,$E$27:$P$27)</f>
        <v>2.67389635063809E-005</v>
      </c>
      <c r="FX401" s="60" t="n">
        <f aca="false">FV401*$C$9/($C$10*$C$8)^2</f>
        <v>0.21776909410545</v>
      </c>
      <c r="FY401" s="60" t="n">
        <f aca="false">FW401*$C$9/($C$10*$C$8)</f>
        <v>0.0918845243259994</v>
      </c>
      <c r="FZ401" s="60" t="n">
        <f aca="false">CHOOSE($C$7,-(1+FY401),-1,-(1-FY401))</f>
        <v>-0.908115475674001</v>
      </c>
      <c r="GA401" s="60" t="n">
        <f aca="false">CHOOSE($C$7,FX401,FX401-FY401-FY401^2,FX401-3*FY401^2-2*FY401)</f>
        <v>0.00867174802160559</v>
      </c>
      <c r="GB401" s="60" t="n">
        <f aca="false">CHOOSE($C$7,-FX401*FY401,-FX401*FY401,-(FX401*FY401-FY401^2-FY401^3))</f>
        <v>-0.0107910842936637</v>
      </c>
      <c r="GC401" s="60" t="n">
        <f aca="false">GA401-FZ401^2/3</f>
        <v>-0.266219491031267</v>
      </c>
      <c r="GD401" s="60" t="n">
        <f aca="false">2*FZ401^3/27-FZ401*GA401/3+GB401</f>
        <v>-0.0636400988362784</v>
      </c>
      <c r="GE401" s="60" t="n">
        <f aca="false">GD401^2/4+GC401^3/27</f>
        <v>0.000313710901361829</v>
      </c>
      <c r="GF401" s="60" t="n">
        <f aca="false">-GD401/2-IF(GD401&gt;=0,1,-1)*SQRT(MAX(GE401,0))</f>
        <v>0.0495319352963236</v>
      </c>
      <c r="GG401" s="60" t="n">
        <f aca="false">SIGN(GF401)*ABS(GF401)^(1/3)</f>
        <v>0.367249967174439</v>
      </c>
      <c r="GH401" s="60" t="n">
        <f aca="false">IF(GG401=0,0,GG401-GC401/(3*GG401))</f>
        <v>0.60888329127384</v>
      </c>
      <c r="GI401" s="60" t="n">
        <f aca="false">2*SQRT(MAX(-GC401,0)/3)</f>
        <v>0.595784626668918</v>
      </c>
      <c r="GJ401" s="60" t="n">
        <f aca="false">ACOS(IF(GI401=0,0,MAX(-1,MIN(1,3*GD401/(GC401*GI401)))))</f>
        <v>0</v>
      </c>
      <c r="GK401" s="60" t="n">
        <f aca="false">GI401*COS(GJ401/3)</f>
        <v>0.595784626668918</v>
      </c>
      <c r="GL401" s="60" t="n">
        <f aca="false">IF(GE401&lt;0,GK401,GH401)-FZ401/3</f>
        <v>0.91158844983184</v>
      </c>
      <c r="GM401" s="60" t="n">
        <f aca="false">IFERROR((((GL401+FZ401)*GL401+GA401)*GL401+GB401)/((3*GL401+2*FZ401)*GL401+GA401),0)</f>
        <v>0</v>
      </c>
      <c r="GN401" s="60" t="n">
        <f aca="false">IF(ABS(GM401)&lt;0.1*ABS(GL401),GL401-GM401,GL401)</f>
        <v>0.91158844983184</v>
      </c>
      <c r="GO401" s="60" t="n">
        <f aca="false">IFERROR((((GN401+FZ401)*GN401+GA401)*GN401+GB401)/((3*GN401+2*FZ401)*GN401+GA401),0)</f>
        <v>0</v>
      </c>
      <c r="GP401" s="60" t="n">
        <f aca="false">IF(ABS(GO401)&lt;0.1*ABS(GN401),GN401-GO401,GN401)</f>
        <v>0.91158844983184</v>
      </c>
      <c r="GQ401" s="60" t="n">
        <f aca="false">-GB401/GP401</f>
        <v>0.0118376711504565</v>
      </c>
      <c r="GR401" s="60" t="n">
        <f aca="false">(GA401-GQ401)/GP401</f>
        <v>-0.00347297415783941</v>
      </c>
      <c r="GS401" s="60" t="n">
        <f aca="false">GR401^2-4*GQ401</f>
        <v>-0.0473386230523248</v>
      </c>
      <c r="GT401" s="60" t="n">
        <f aca="false">IF(GS401&gt;=0,(GR401+IF(GR401&gt;=0,1,-1)*SQRT(GS401))/2,0)</f>
        <v>0</v>
      </c>
      <c r="GU401" s="60" t="n">
        <f aca="false">IF(AND(GS401&gt;=0,GT401&lt;&gt;0),MIN(GT401,GQ401/GT401),-1)</f>
        <v>-1</v>
      </c>
      <c r="GV401" s="60" t="n">
        <f aca="false">AND(GS401&gt;=0,GU401&gt;FY401,ABS(GP401-GU401)&gt;=0.00005*MAX(GP401,GU401))</f>
        <v>0</v>
      </c>
      <c r="GW401" s="60" t="n">
        <f aca="false">IF(GV401,IFERROR((((GU401+FZ401)*GU401+GA401)*GU401+GB401)/((3*GU401+2*FZ401)*GU401+GA401),0),0)</f>
        <v>0</v>
      </c>
      <c r="GX401" s="60" t="n">
        <f aca="false">IF(ABS(GW401)&lt;0.1*ABS(GU401),GU401-GW401,GU401)</f>
        <v>-1</v>
      </c>
      <c r="GY401" s="60" t="n">
        <f aca="false">IF(GV401,IFERROR((((GX401+FZ401)*GX401+GA401)*GX401+GB401)/((3*GX401+2*FZ401)*GX401+GA401),0),0)</f>
        <v>0</v>
      </c>
      <c r="GZ401" s="60" t="n">
        <f aca="false">IF(ABS(GY401)&lt;0.1*ABS(GX401),GX401-GY401,GX401)</f>
        <v>-1</v>
      </c>
      <c r="HA401" s="60" t="n">
        <f aca="false">IF(GV401,MAX(GP401,GZ401),GP401)</f>
        <v>0.91158844983184</v>
      </c>
      <c r="HB401" s="60" t="n">
        <f aca="false">IF(GV401,MIN(GP401,GZ401),-1)</f>
        <v>-1</v>
      </c>
      <c r="HC401" s="60" t="n">
        <f aca="false">CHOOSE($C$7,FX401/HA401,FX401/FY401*LN(1+FY401/HA401),FX401/(2*SQRT(2)*FY401)*LN((HA401+(1+SQRT(2))*FY401)/(HA401+(1-SQRT(2))*FY401)))</f>
        <v>0.218240791233887</v>
      </c>
      <c r="HD401" s="60" t="n">
        <f aca="false">HA401-1-LN(HA401-FY401)-HC401</f>
        <v>-0.107840271021729</v>
      </c>
      <c r="HE401" s="60" t="n">
        <f aca="false">IF(GV401,CHOOSE($C$7,FX401/HB401,FX401/FY401*LN(1+FY401/HB401),FX401/(2*SQRT(2)*FY401)*LN((HB401+(1+SQRT(2))*FY401)/(HB401+(1-SQRT(2))*FY401))),0)</f>
        <v>0</v>
      </c>
      <c r="HF401" s="60" t="n">
        <f aca="false">IF(GV401,HB401-1-LN(HB401-FY401)-HE401,0)</f>
        <v>0</v>
      </c>
      <c r="HG401" s="60" t="n">
        <f aca="false">AND(GV401,HF401&lt;HD401)</f>
        <v>0</v>
      </c>
      <c r="HH401" s="60" t="n">
        <f aca="false">IF(HG401,HB401,HA401)</f>
        <v>0.91158844983184</v>
      </c>
      <c r="HI401" s="60" t="n">
        <f aca="false">IF(HG401,HE401,HC401)</f>
        <v>0.218240791233887</v>
      </c>
      <c r="HJ401" s="60" t="n">
        <f aca="false">LN(HH401-FY401)</f>
        <v>-0.198812070380318</v>
      </c>
      <c r="HK401" s="60" t="n">
        <f aca="false">$E$27/FW401*(HH401-1)-HJ401-HI401*(2*FJ401/FV401-$E$27/FW401)</f>
        <v>-0.107840271021729</v>
      </c>
      <c r="HL401" s="60" t="n">
        <f aca="false">$F$27/FW401*(HH401-1)-HJ401-HI401*(2*FK401/FV401-$F$27/FW401)</f>
        <v>0.198812070380318</v>
      </c>
      <c r="HM401" s="60" t="n">
        <f aca="false">$G$27/FW401*(HH401-1)-HJ401-HI401*(2*FL401/FV401-$G$27/FW401)</f>
        <v>0.198812070380318</v>
      </c>
      <c r="HN401" s="60" t="n">
        <f aca="false">$H$27/FW401*(HH401-1)-HJ401-HI401*(2*FM401/FV401-$H$27/FW401)</f>
        <v>0.198812070380318</v>
      </c>
      <c r="HO401" s="60" t="n">
        <f aca="false">$I$27/FW401*(HH401-1)-HJ401-HI401*(2*FN401/FV401-$I$27/FW401)</f>
        <v>0.198812070380318</v>
      </c>
      <c r="HP401" s="60" t="n">
        <f aca="false">$J$27/FW401*(HH401-1)-HJ401-HI401*(2*FO401/FV401-$J$27/FW401)</f>
        <v>0.198812070380318</v>
      </c>
      <c r="HQ401" s="60" t="n">
        <f aca="false">$K$27/FW401*(HH401-1)-HJ401-HI401*(2*FP401/FV401-$K$27/FW401)</f>
        <v>0.198812070380318</v>
      </c>
      <c r="HR401" s="60" t="n">
        <f aca="false">$L$27/FW401*(HH401-1)-HJ401-HI401*(2*FQ401/FV401-$L$27/FW401)</f>
        <v>0.198812070380318</v>
      </c>
      <c r="HS401" s="60" t="n">
        <f aca="false">$M$27/FW401*(HH401-1)-HJ401-HI401*(2*FR401/FV401-$M$27/FW401)</f>
        <v>0.198812070380318</v>
      </c>
      <c r="HT401" s="60" t="n">
        <f aca="false">$N$27/FW401*(HH401-1)-HJ401-HI401*(2*FS401/FV401-$N$27/FW401)</f>
        <v>0.198812070380318</v>
      </c>
      <c r="HU401" s="60" t="n">
        <f aca="false">$O$27/FW401*(HH401-1)-HJ401-HI401*(2*FT401/FV401-$O$27/FW401)</f>
        <v>0.198812070380318</v>
      </c>
      <c r="HV401" s="60" t="n">
        <f aca="false">$P$27/FW401*(HH401-1)-HJ401-HI401*(2*FU401/FV401-$P$27/FW401)</f>
        <v>0.198812070380318</v>
      </c>
      <c r="HW401" s="60" t="n">
        <f aca="false">FY401/HH401&gt;$C$22</f>
        <v>0</v>
      </c>
      <c r="HX401" s="60" t="n">
        <f aca="false">IF($E$13&gt;0,MAX(-300,MIN(300,EW401-HK401)),0)</f>
        <v>0</v>
      </c>
      <c r="HY401" s="60" t="n">
        <f aca="false">IF($F$13&gt;0,MAX(-300,MIN(300,EX401-HL401)),0)</f>
        <v>0</v>
      </c>
      <c r="HZ401" s="60" t="n">
        <f aca="false">IF($G$13&gt;0,MAX(-300,MIN(300,EY401-HM401)),0)</f>
        <v>0</v>
      </c>
      <c r="IA401" s="60" t="n">
        <f aca="false">IF($H$13&gt;0,MAX(-300,MIN(300,EZ401-HN401)),0)</f>
        <v>0</v>
      </c>
      <c r="IB401" s="60" t="n">
        <f aca="false">IF($I$13&gt;0,MAX(-300,MIN(300,FA401-HO401)),0)</f>
        <v>0</v>
      </c>
      <c r="IC401" s="60" t="n">
        <f aca="false">IF($J$13&gt;0,MAX(-300,MIN(300,FB401-HP401)),0)</f>
        <v>0</v>
      </c>
      <c r="ID401" s="60" t="n">
        <f aca="false">IF($K$13&gt;0,MAX(-300,MIN(300,FC401-HQ401)),0)</f>
        <v>0</v>
      </c>
      <c r="IE401" s="60" t="n">
        <f aca="false">IF($L$13&gt;0,MAX(-300,MIN(300,FD401-HR401)),0)</f>
        <v>0</v>
      </c>
      <c r="IF401" s="60" t="n">
        <f aca="false">IF($M$13&gt;0,MAX(-300,MIN(300,FE401-HS401)),0)</f>
        <v>0</v>
      </c>
      <c r="IG401" s="60" t="n">
        <f aca="false">IF($N$13&gt;0,MAX(-300,MIN(300,FF401-HT401)),0)</f>
        <v>0</v>
      </c>
      <c r="IH401" s="60" t="n">
        <f aca="false">IF($O$13&gt;0,MAX(-300,MIN(300,FG401-HU401)),0)</f>
        <v>0</v>
      </c>
      <c r="II401" s="60" t="n">
        <f aca="false">IF($P$13&gt;0,MAX(-300,MIN(300,FH401-HV401)),0)</f>
        <v>0</v>
      </c>
      <c r="IJ401" s="60" t="n">
        <f aca="false">SUMXMY2(HX401:II401,B401:M401)</f>
        <v>0</v>
      </c>
      <c r="IK401" s="60" t="n">
        <f aca="false">SUMSQ(B401:M401)</f>
        <v>0</v>
      </c>
    </row>
    <row r="402" customFormat="false" ht="15" hidden="false" customHeight="false" outlineLevel="0" collapsed="false">
      <c r="A402" s="59" t="n">
        <v>41</v>
      </c>
      <c r="B402" s="60" t="n">
        <f aca="false">HX401</f>
        <v>0</v>
      </c>
      <c r="C402" s="60" t="n">
        <f aca="false">HY401</f>
        <v>0</v>
      </c>
      <c r="D402" s="60" t="n">
        <f aca="false">HZ401</f>
        <v>0</v>
      </c>
      <c r="E402" s="60" t="n">
        <f aca="false">IA401</f>
        <v>0</v>
      </c>
      <c r="F402" s="60" t="n">
        <f aca="false">IB401</f>
        <v>0</v>
      </c>
      <c r="G402" s="60" t="n">
        <f aca="false">IC401</f>
        <v>0</v>
      </c>
      <c r="H402" s="60" t="n">
        <f aca="false">ID401</f>
        <v>0</v>
      </c>
      <c r="I402" s="60" t="n">
        <f aca="false">IE401</f>
        <v>0</v>
      </c>
      <c r="J402" s="60" t="n">
        <f aca="false">IF401</f>
        <v>0</v>
      </c>
      <c r="K402" s="60" t="n">
        <f aca="false">IG401</f>
        <v>0</v>
      </c>
      <c r="L402" s="60" t="n">
        <f aca="false">IH401</f>
        <v>0</v>
      </c>
      <c r="M402" s="60" t="n">
        <f aca="false">II401</f>
        <v>0</v>
      </c>
      <c r="N402" s="60" t="n">
        <f aca="false">EXP(B402)</f>
        <v>1</v>
      </c>
      <c r="O402" s="60" t="n">
        <f aca="false">EXP(C402)</f>
        <v>1</v>
      </c>
      <c r="P402" s="60" t="n">
        <f aca="false">EXP(D402)</f>
        <v>1</v>
      </c>
      <c r="Q402" s="60" t="n">
        <f aca="false">EXP(E402)</f>
        <v>1</v>
      </c>
      <c r="R402" s="60" t="n">
        <f aca="false">EXP(F402)</f>
        <v>1</v>
      </c>
      <c r="S402" s="60" t="n">
        <f aca="false">EXP(G402)</f>
        <v>1</v>
      </c>
      <c r="T402" s="60" t="n">
        <f aca="false">EXP(H402)</f>
        <v>1</v>
      </c>
      <c r="U402" s="60" t="n">
        <f aca="false">EXP(I402)</f>
        <v>1</v>
      </c>
      <c r="V402" s="60" t="n">
        <f aca="false">EXP(J402)</f>
        <v>1</v>
      </c>
      <c r="W402" s="60" t="n">
        <f aca="false">EXP(K402)</f>
        <v>1</v>
      </c>
      <c r="X402" s="60" t="n">
        <f aca="false">EXP(L402)</f>
        <v>1</v>
      </c>
      <c r="Y402" s="60" t="n">
        <f aca="false">EXP(M402)</f>
        <v>1</v>
      </c>
      <c r="Z402" s="60" t="n">
        <f aca="false">MAX(N402:Y402)</f>
        <v>1</v>
      </c>
      <c r="AA402" s="60" t="n">
        <f aca="false">MIN(N402:Y402)</f>
        <v>1</v>
      </c>
      <c r="AB402" s="60" t="n">
        <f aca="false">AND(Z402&gt;1,AA402&lt;1)</f>
        <v>0</v>
      </c>
      <c r="AC402" s="60" t="n">
        <f aca="false">IF(AB402,1/(1-Z402),0)</f>
        <v>0</v>
      </c>
      <c r="AD402" s="60" t="n">
        <f aca="false">IF(AB402,1/(1-AA402),1)</f>
        <v>1</v>
      </c>
      <c r="AE402" s="60" t="n">
        <f aca="false">IF(AB402,MIN(MAX(BI401,AC402+0.000000001*(AD402-AC402)),AD402-0.000000001*(AD402-AC402)),IF(AA402&gt;=1,1,0))</f>
        <v>1</v>
      </c>
      <c r="AF402" s="60" t="n">
        <f aca="false">SUMPRODUCT($E$13:$P$13*(N402:Y402-1)/(1+AE402*(N402:Y402-1)))</f>
        <v>0</v>
      </c>
      <c r="AG402" s="60" t="n">
        <f aca="false">-SUMPRODUCT($E$13:$P$13*(N402:Y402-1)^2/(1+AE402*(N402:Y402-1))^2)</f>
        <v>-0</v>
      </c>
      <c r="AH402" s="60" t="n">
        <f aca="false">IF(OR(NOT(AB402),AG402=0),AE402,IF(AE402-AF402/AG402&lt;=AC402,(AE402+AC402)/2,IF(AE402-AF402/AG402&gt;=AD402,(AE402+AD402)/2,AE402-AF402/AG402)))</f>
        <v>1</v>
      </c>
      <c r="AI402" s="60" t="n">
        <f aca="false">SUMPRODUCT($E$13:$P$13*(N402:Y402-1)/(1+AH402*(N402:Y402-1)))</f>
        <v>0</v>
      </c>
      <c r="AJ402" s="60" t="n">
        <f aca="false">-SUMPRODUCT($E$13:$P$13*(N402:Y402-1)^2/(1+AH402*(N402:Y402-1))^2)</f>
        <v>-0</v>
      </c>
      <c r="AK402" s="60" t="n">
        <f aca="false">IF(OR(NOT(AB402),AJ402=0),AH402,IF(AH402-AI402/AJ402&lt;=AC402,(AH402+AC402)/2,IF(AH402-AI402/AJ402&gt;=AD402,(AH402+AD402)/2,AH402-AI402/AJ402)))</f>
        <v>1</v>
      </c>
      <c r="AL402" s="60" t="n">
        <f aca="false">SUMPRODUCT($E$13:$P$13*(N402:Y402-1)/(1+AK402*(N402:Y402-1)))</f>
        <v>0</v>
      </c>
      <c r="AM402" s="60" t="n">
        <f aca="false">-SUMPRODUCT($E$13:$P$13*(N402:Y402-1)^2/(1+AK402*(N402:Y402-1))^2)</f>
        <v>-0</v>
      </c>
      <c r="AN402" s="60" t="n">
        <f aca="false">IF(OR(NOT(AB402),AM402=0),AK402,IF(AK402-AL402/AM402&lt;=AC402,(AK402+AC402)/2,IF(AK402-AL402/AM402&gt;=AD402,(AK402+AD402)/2,AK402-AL402/AM402)))</f>
        <v>1</v>
      </c>
      <c r="AO402" s="60" t="n">
        <f aca="false">SUMPRODUCT($E$13:$P$13*(N402:Y402-1)/(1+AN402*(N402:Y402-1)))</f>
        <v>0</v>
      </c>
      <c r="AP402" s="60" t="n">
        <f aca="false">-SUMPRODUCT($E$13:$P$13*(N402:Y402-1)^2/(1+AN402*(N402:Y402-1))^2)</f>
        <v>-0</v>
      </c>
      <c r="AQ402" s="60" t="n">
        <f aca="false">IF(OR(NOT(AB402),AP402=0),AN402,IF(AN402-AO402/AP402&lt;=AC402,(AN402+AC402)/2,IF(AN402-AO402/AP402&gt;=AD402,(AN402+AD402)/2,AN402-AO402/AP402)))</f>
        <v>1</v>
      </c>
      <c r="AR402" s="60" t="n">
        <f aca="false">SUMPRODUCT($E$13:$P$13*(N402:Y402-1)/(1+AQ402*(N402:Y402-1)))</f>
        <v>0</v>
      </c>
      <c r="AS402" s="60" t="n">
        <f aca="false">-SUMPRODUCT($E$13:$P$13*(N402:Y402-1)^2/(1+AQ402*(N402:Y402-1))^2)</f>
        <v>-0</v>
      </c>
      <c r="AT402" s="60" t="n">
        <f aca="false">IF(OR(NOT(AB402),AS402=0),AQ402,IF(AQ402-AR402/AS402&lt;=AC402,(AQ402+AC402)/2,IF(AQ402-AR402/AS402&gt;=AD402,(AQ402+AD402)/2,AQ402-AR402/AS402)))</f>
        <v>1</v>
      </c>
      <c r="AU402" s="60" t="n">
        <f aca="false">SUMPRODUCT($E$13:$P$13*(N402:Y402-1)/(1+AT402*(N402:Y402-1)))</f>
        <v>0</v>
      </c>
      <c r="AV402" s="60" t="n">
        <f aca="false">-SUMPRODUCT($E$13:$P$13*(N402:Y402-1)^2/(1+AT402*(N402:Y402-1))^2)</f>
        <v>-0</v>
      </c>
      <c r="AW402" s="60" t="n">
        <f aca="false">IF(OR(NOT(AB402),AV402=0),AT402,IF(AT402-AU402/AV402&lt;=AC402,(AT402+AC402)/2,IF(AT402-AU402/AV402&gt;=AD402,(AT402+AD402)/2,AT402-AU402/AV402)))</f>
        <v>1</v>
      </c>
      <c r="AX402" s="60" t="n">
        <f aca="false">SUMPRODUCT($E$13:$P$13*(N402:Y402-1)/(1+AW402*(N402:Y402-1)))</f>
        <v>0</v>
      </c>
      <c r="AY402" s="60" t="n">
        <f aca="false">-SUMPRODUCT($E$13:$P$13*(N402:Y402-1)^2/(1+AW402*(N402:Y402-1))^2)</f>
        <v>-0</v>
      </c>
      <c r="AZ402" s="60" t="n">
        <f aca="false">IF(OR(NOT(AB402),AY402=0),AW402,IF(AW402-AX402/AY402&lt;=AC402,(AW402+AC402)/2,IF(AW402-AX402/AY402&gt;=AD402,(AW402+AD402)/2,AW402-AX402/AY402)))</f>
        <v>1</v>
      </c>
      <c r="BA402" s="60" t="n">
        <f aca="false">SUMPRODUCT($E$13:$P$13*(N402:Y402-1)/(1+AZ402*(N402:Y402-1)))</f>
        <v>0</v>
      </c>
      <c r="BB402" s="60" t="n">
        <f aca="false">-SUMPRODUCT($E$13:$P$13*(N402:Y402-1)^2/(1+AZ402*(N402:Y402-1))^2)</f>
        <v>-0</v>
      </c>
      <c r="BC402" s="60" t="n">
        <f aca="false">IF(OR(NOT(AB402),BB402=0),AZ402,IF(AZ402-BA402/BB402&lt;=AC402,(AZ402+AC402)/2,IF(AZ402-BA402/BB402&gt;=AD402,(AZ402+AD402)/2,AZ402-BA402/BB402)))</f>
        <v>1</v>
      </c>
      <c r="BD402" s="60" t="n">
        <f aca="false">SUMPRODUCT($E$13:$P$13*(N402:Y402-1)/(1+BC402*(N402:Y402-1)))</f>
        <v>0</v>
      </c>
      <c r="BE402" s="60" t="n">
        <f aca="false">-SUMPRODUCT($E$13:$P$13*(N402:Y402-1)^2/(1+BC402*(N402:Y402-1))^2)</f>
        <v>-0</v>
      </c>
      <c r="BF402" s="60" t="n">
        <f aca="false">IF(OR(NOT(AB402),BE402=0),BC402,IF(BC402-BD402/BE402&lt;=AC402,(BC402+AC402)/2,IF(BC402-BD402/BE402&gt;=AD402,(BC402+AD402)/2,BC402-BD402/BE402)))</f>
        <v>1</v>
      </c>
      <c r="BG402" s="60" t="n">
        <f aca="false">SUMPRODUCT($E$13:$P$13*(N402:Y402-1)/(1+BF402*(N402:Y402-1)))</f>
        <v>0</v>
      </c>
      <c r="BH402" s="60" t="n">
        <f aca="false">-SUMPRODUCT($E$13:$P$13*(N402:Y402-1)^2/(1+BF402*(N402:Y402-1))^2)</f>
        <v>-0</v>
      </c>
      <c r="BI402" s="60" t="n">
        <f aca="false">IF(OR(NOT(AB402),BH402=0),BF402,IF(BF402-BG402/BH402&lt;=AC402,(BF402+AC402)/2,IF(BF402-BG402/BH402&gt;=AD402,(BF402+AD402)/2,BF402-BG402/BH402)))</f>
        <v>1</v>
      </c>
      <c r="BJ402" s="60" t="n">
        <f aca="false">$E$13/(1+BI402*(N402-1))</f>
        <v>1</v>
      </c>
      <c r="BK402" s="60" t="n">
        <f aca="false">$F$13/(1+BI402*(O402-1))</f>
        <v>0</v>
      </c>
      <c r="BL402" s="60" t="n">
        <f aca="false">$G$13/(1+BI402*(P402-1))</f>
        <v>0</v>
      </c>
      <c r="BM402" s="60" t="n">
        <f aca="false">$H$13/(1+BI402*(Q402-1))</f>
        <v>0</v>
      </c>
      <c r="BN402" s="60" t="n">
        <f aca="false">$I$13/(1+BI402*(R402-1))</f>
        <v>0</v>
      </c>
      <c r="BO402" s="60" t="n">
        <f aca="false">$J$13/(1+BI402*(S402-1))</f>
        <v>0</v>
      </c>
      <c r="BP402" s="60" t="n">
        <f aca="false">$K$13/(1+BI402*(T402-1))</f>
        <v>0</v>
      </c>
      <c r="BQ402" s="60" t="n">
        <f aca="false">$L$13/(1+BI402*(U402-1))</f>
        <v>0</v>
      </c>
      <c r="BR402" s="60" t="n">
        <f aca="false">$M$13/(1+BI402*(V402-1))</f>
        <v>0</v>
      </c>
      <c r="BS402" s="60" t="n">
        <f aca="false">$N$13/(1+BI402*(W402-1))</f>
        <v>0</v>
      </c>
      <c r="BT402" s="60" t="n">
        <f aca="false">$O$13/(1+BI402*(X402-1))</f>
        <v>0</v>
      </c>
      <c r="BU402" s="60" t="n">
        <f aca="false">$P$13/(1+BI402*(Y402-1))</f>
        <v>0</v>
      </c>
      <c r="BV402" s="60" t="n">
        <f aca="false">SUM(BJ402:BU402)</f>
        <v>1</v>
      </c>
      <c r="BW402" s="60" t="n">
        <f aca="false">SUMPRODUCT(N402:Y402,BJ402:BU402)</f>
        <v>1</v>
      </c>
      <c r="BX402" s="60" t="n">
        <f aca="false">BJ402/BV402</f>
        <v>1</v>
      </c>
      <c r="BY402" s="60" t="n">
        <f aca="false">BK402/BV402</f>
        <v>0</v>
      </c>
      <c r="BZ402" s="60" t="n">
        <f aca="false">BL402/BV402</f>
        <v>0</v>
      </c>
      <c r="CA402" s="60" t="n">
        <f aca="false">BM402/BV402</f>
        <v>0</v>
      </c>
      <c r="CB402" s="60" t="n">
        <f aca="false">BN402/BV402</f>
        <v>0</v>
      </c>
      <c r="CC402" s="60" t="n">
        <f aca="false">BO402/BV402</f>
        <v>0</v>
      </c>
      <c r="CD402" s="60" t="n">
        <f aca="false">BP402/BV402</f>
        <v>0</v>
      </c>
      <c r="CE402" s="60" t="n">
        <f aca="false">BQ402/BV402</f>
        <v>0</v>
      </c>
      <c r="CF402" s="60" t="n">
        <f aca="false">BR402/BV402</f>
        <v>0</v>
      </c>
      <c r="CG402" s="60" t="n">
        <f aca="false">BS402/BV402</f>
        <v>0</v>
      </c>
      <c r="CH402" s="60" t="n">
        <f aca="false">BT402/BV402</f>
        <v>0</v>
      </c>
      <c r="CI402" s="60" t="n">
        <f aca="false">BU402/BV402</f>
        <v>0</v>
      </c>
      <c r="CJ402" s="60" t="n">
        <f aca="false">N402*BJ402/BW402</f>
        <v>1</v>
      </c>
      <c r="CK402" s="60" t="n">
        <f aca="false">O402*BK402/BW402</f>
        <v>0</v>
      </c>
      <c r="CL402" s="60" t="n">
        <f aca="false">P402*BL402/BW402</f>
        <v>0</v>
      </c>
      <c r="CM402" s="60" t="n">
        <f aca="false">Q402*BM402/BW402</f>
        <v>0</v>
      </c>
      <c r="CN402" s="60" t="n">
        <f aca="false">R402*BN402/BW402</f>
        <v>0</v>
      </c>
      <c r="CO402" s="60" t="n">
        <f aca="false">S402*BO402/BW402</f>
        <v>0</v>
      </c>
      <c r="CP402" s="60" t="n">
        <f aca="false">T402*BP402/BW402</f>
        <v>0</v>
      </c>
      <c r="CQ402" s="60" t="n">
        <f aca="false">U402*BQ402/BW402</f>
        <v>0</v>
      </c>
      <c r="CR402" s="60" t="n">
        <f aca="false">V402*BR402/BW402</f>
        <v>0</v>
      </c>
      <c r="CS402" s="60" t="n">
        <f aca="false">W402*BS402/BW402</f>
        <v>0</v>
      </c>
      <c r="CT402" s="60" t="n">
        <f aca="false">X402*BT402/BW402</f>
        <v>0</v>
      </c>
      <c r="CU402" s="60" t="n">
        <f aca="false">Y402*BU402/BW402</f>
        <v>0</v>
      </c>
      <c r="CV402" s="60" t="n">
        <f aca="false">$E$28*SUMPRODUCT($E$31:$P$31,BX402:CI402,$E$28:$P$28)</f>
        <v>0.184416866619846</v>
      </c>
      <c r="CW402" s="60" t="n">
        <f aca="false">$F$28*SUMPRODUCT($E$32:$P$32,BX402:CI402,$E$28:$P$28)</f>
        <v>0</v>
      </c>
      <c r="CX402" s="60" t="n">
        <f aca="false">$G$28*SUMPRODUCT($E$33:$P$33,BX402:CI402,$E$28:$P$28)</f>
        <v>0</v>
      </c>
      <c r="CY402" s="60" t="n">
        <f aca="false">$H$28*SUMPRODUCT($E$34:$P$34,BX402:CI402,$E$28:$P$28)</f>
        <v>0</v>
      </c>
      <c r="CZ402" s="60" t="n">
        <f aca="false">$I$28*SUMPRODUCT($E$35:$P$35,BX402:CI402,$E$28:$P$28)</f>
        <v>0</v>
      </c>
      <c r="DA402" s="60" t="n">
        <f aca="false">$J$28*SUMPRODUCT($E$36:$P$36,BX402:CI402,$E$28:$P$28)</f>
        <v>0</v>
      </c>
      <c r="DB402" s="60" t="n">
        <f aca="false">$K$28*SUMPRODUCT($E$37:$P$37,BX402:CI402,$E$28:$P$28)</f>
        <v>0</v>
      </c>
      <c r="DC402" s="60" t="n">
        <f aca="false">$L$28*SUMPRODUCT($E$38:$P$38,BX402:CI402,$E$28:$P$28)</f>
        <v>0</v>
      </c>
      <c r="DD402" s="60" t="n">
        <f aca="false">$M$28*SUMPRODUCT($E$39:$P$39,BX402:CI402,$E$28:$P$28)</f>
        <v>0</v>
      </c>
      <c r="DE402" s="60" t="n">
        <f aca="false">$N$28*SUMPRODUCT($E$40:$P$40,BX402:CI402,$E$28:$P$28)</f>
        <v>0</v>
      </c>
      <c r="DF402" s="60" t="n">
        <f aca="false">$O$28*SUMPRODUCT($E$41:$P$41,BX402:CI402,$E$28:$P$28)</f>
        <v>0</v>
      </c>
      <c r="DG402" s="60" t="n">
        <f aca="false">$P$28*SUMPRODUCT($E$42:$P$42,BX402:CI402,$E$28:$P$28)</f>
        <v>0</v>
      </c>
      <c r="DH402" s="60" t="n">
        <f aca="false">SUMPRODUCT(BX402:CI402,CV402:DG402)</f>
        <v>0.184416866619846</v>
      </c>
      <c r="DI402" s="60" t="n">
        <f aca="false">SUMPRODUCT(BX402:CI402,$E$27:$P$27)</f>
        <v>2.67389635063809E-005</v>
      </c>
      <c r="DJ402" s="60" t="n">
        <f aca="false">DH402*$C$9/($C$10*$C$8)^2</f>
        <v>0.21776909410545</v>
      </c>
      <c r="DK402" s="60" t="n">
        <f aca="false">DI402*$C$9/($C$10*$C$8)</f>
        <v>0.0918845243259994</v>
      </c>
      <c r="DL402" s="60" t="n">
        <f aca="false">CHOOSE($C$7,-(1+DK402),-1,-(1-DK402))</f>
        <v>-0.908115475674001</v>
      </c>
      <c r="DM402" s="60" t="n">
        <f aca="false">CHOOSE($C$7,DJ402,DJ402-DK402-DK402^2,DJ402-3*DK402^2-2*DK402)</f>
        <v>0.00867174802160559</v>
      </c>
      <c r="DN402" s="60" t="n">
        <f aca="false">CHOOSE($C$7,-DJ402*DK402,-DJ402*DK402,-(DJ402*DK402-DK402^2-DK402^3))</f>
        <v>-0.0107910842936637</v>
      </c>
      <c r="DO402" s="60" t="n">
        <f aca="false">DM402-DL402^2/3</f>
        <v>-0.266219491031267</v>
      </c>
      <c r="DP402" s="60" t="n">
        <f aca="false">2*DL402^3/27-DL402*DM402/3+DN402</f>
        <v>-0.0636400988362784</v>
      </c>
      <c r="DQ402" s="60" t="n">
        <f aca="false">DP402^2/4+DO402^3/27</f>
        <v>0.000313710901361829</v>
      </c>
      <c r="DR402" s="60" t="n">
        <f aca="false">-DP402/2-IF(DP402&gt;=0,1,-1)*SQRT(MAX(DQ402,0))</f>
        <v>0.0495319352963236</v>
      </c>
      <c r="DS402" s="60" t="n">
        <f aca="false">SIGN(DR402)*ABS(DR402)^(1/3)</f>
        <v>0.367249967174439</v>
      </c>
      <c r="DT402" s="60" t="n">
        <f aca="false">IF(DS402=0,0,DS402-DO402/(3*DS402))</f>
        <v>0.60888329127384</v>
      </c>
      <c r="DU402" s="60" t="n">
        <f aca="false">2*SQRT(MAX(-DO402,0)/3)</f>
        <v>0.595784626668918</v>
      </c>
      <c r="DV402" s="60" t="n">
        <f aca="false">ACOS(IF(DU402=0,0,MAX(-1,MIN(1,3*DP402/(DO402*DU402)))))</f>
        <v>0</v>
      </c>
      <c r="DW402" s="60" t="n">
        <f aca="false">DU402*COS(DV402/3)</f>
        <v>0.595784626668918</v>
      </c>
      <c r="DX402" s="60" t="n">
        <f aca="false">IF(DQ402&lt;0,DW402,DT402)-DL402/3</f>
        <v>0.91158844983184</v>
      </c>
      <c r="DY402" s="60" t="n">
        <f aca="false">IFERROR((((DX402+DL402)*DX402+DM402)*DX402+DN402)/((3*DX402+2*DL402)*DX402+DM402),0)</f>
        <v>0</v>
      </c>
      <c r="DZ402" s="60" t="n">
        <f aca="false">IF(ABS(DY402)&lt;0.1*ABS(DX402),DX402-DY402,DX402)</f>
        <v>0.91158844983184</v>
      </c>
      <c r="EA402" s="60" t="n">
        <f aca="false">IFERROR((((DZ402+DL402)*DZ402+DM402)*DZ402+DN402)/((3*DZ402+2*DL402)*DZ402+DM402),0)</f>
        <v>0</v>
      </c>
      <c r="EB402" s="60" t="n">
        <f aca="false">IF(ABS(EA402)&lt;0.1*ABS(DZ402),DZ402-EA402,DZ402)</f>
        <v>0.91158844983184</v>
      </c>
      <c r="EC402" s="60" t="n">
        <f aca="false">-DN402/EB402</f>
        <v>0.0118376711504565</v>
      </c>
      <c r="ED402" s="60" t="n">
        <f aca="false">(DM402-EC402)/EB402</f>
        <v>-0.00347297415783941</v>
      </c>
      <c r="EE402" s="60" t="n">
        <f aca="false">ED402^2-4*EC402</f>
        <v>-0.0473386230523248</v>
      </c>
      <c r="EF402" s="60" t="n">
        <f aca="false">IF(EE402&gt;=0,(ED402+IF(ED402&gt;=0,1,-1)*SQRT(EE402))/2,0)</f>
        <v>0</v>
      </c>
      <c r="EG402" s="60" t="n">
        <f aca="false">IF(AND(EE402&gt;=0,EF402&lt;&gt;0),MIN(EF402,EC402/EF402),-1)</f>
        <v>-1</v>
      </c>
      <c r="EH402" s="60" t="n">
        <f aca="false">AND(EE402&gt;=0,EG402&gt;DK402,ABS(EB402-EG402)&gt;=0.00005*MAX(EB402,EG402))</f>
        <v>0</v>
      </c>
      <c r="EI402" s="60" t="n">
        <f aca="false">IF(EH402,IFERROR((((EG402+DL402)*EG402+DM402)*EG402+DN402)/((3*EG402+2*DL402)*EG402+DM402),0),0)</f>
        <v>0</v>
      </c>
      <c r="EJ402" s="60" t="n">
        <f aca="false">IF(ABS(EI402)&lt;0.1*ABS(EG402),EG402-EI402,EG402)</f>
        <v>-1</v>
      </c>
      <c r="EK402" s="60" t="n">
        <f aca="false">IF(EH402,IFERROR((((EJ402+DL402)*EJ402+DM402)*EJ402+DN402)/((3*EJ402+2*DL402)*EJ402+DM402),0),0)</f>
        <v>0</v>
      </c>
      <c r="EL402" s="60" t="n">
        <f aca="false">IF(ABS(EK402)&lt;0.1*ABS(EJ402),EJ402-EK402,EJ402)</f>
        <v>-1</v>
      </c>
      <c r="EM402" s="60" t="n">
        <f aca="false">IF(EH402,MAX(EB402,EL402),EB402)</f>
        <v>0.91158844983184</v>
      </c>
      <c r="EN402" s="60" t="n">
        <f aca="false">IF(EH402,MIN(EB402,EL402),-1)</f>
        <v>-1</v>
      </c>
      <c r="EO402" s="60" t="n">
        <f aca="false">CHOOSE($C$7,DJ402/EM402,DJ402/DK402*LN(1+DK402/EM402),DJ402/(2*SQRT(2)*DK402)*LN((EM402+(1+SQRT(2))*DK402)/(EM402+(1-SQRT(2))*DK402)))</f>
        <v>0.218240791233887</v>
      </c>
      <c r="EP402" s="60" t="n">
        <f aca="false">EM402-1-LN(EM402-DK402)-EO402</f>
        <v>-0.107840271021729</v>
      </c>
      <c r="EQ402" s="60" t="n">
        <f aca="false">IF(EH402,CHOOSE($C$7,DJ402/EN402,DJ402/DK402*LN(1+DK402/EN402),DJ402/(2*SQRT(2)*DK402)*LN((EN402+(1+SQRT(2))*DK402)/(EN402+(1-SQRT(2))*DK402))),0)</f>
        <v>0</v>
      </c>
      <c r="ER402" s="60" t="n">
        <f aca="false">IF(EH402,EN402-1-LN(EN402-DK402)-EQ402,0)</f>
        <v>0</v>
      </c>
      <c r="ES402" s="60" t="n">
        <f aca="false">AND(EH402,ER402&lt;EP402)</f>
        <v>0</v>
      </c>
      <c r="ET402" s="60" t="n">
        <f aca="false">IF(ES402,EN402,EM402)</f>
        <v>0.91158844983184</v>
      </c>
      <c r="EU402" s="60" t="n">
        <f aca="false">IF(ES402,EQ402,EO402)</f>
        <v>0.218240791233887</v>
      </c>
      <c r="EV402" s="60" t="n">
        <f aca="false">LN(ET402-DK402)</f>
        <v>-0.198812070380318</v>
      </c>
      <c r="EW402" s="60" t="n">
        <f aca="false">$E$27/DI402*(ET402-1)-EV402-EU402*(2*CV402/DH402-$E$27/DI402)</f>
        <v>-0.107840271021729</v>
      </c>
      <c r="EX402" s="60" t="n">
        <f aca="false">$F$27/DI402*(ET402-1)-EV402-EU402*(2*CW402/DH402-$F$27/DI402)</f>
        <v>0.198812070380318</v>
      </c>
      <c r="EY402" s="60" t="n">
        <f aca="false">$G$27/DI402*(ET402-1)-EV402-EU402*(2*CX402/DH402-$G$27/DI402)</f>
        <v>0.198812070380318</v>
      </c>
      <c r="EZ402" s="60" t="n">
        <f aca="false">$H$27/DI402*(ET402-1)-EV402-EU402*(2*CY402/DH402-$H$27/DI402)</f>
        <v>0.198812070380318</v>
      </c>
      <c r="FA402" s="60" t="n">
        <f aca="false">$I$27/DI402*(ET402-1)-EV402-EU402*(2*CZ402/DH402-$I$27/DI402)</f>
        <v>0.198812070380318</v>
      </c>
      <c r="FB402" s="60" t="n">
        <f aca="false">$J$27/DI402*(ET402-1)-EV402-EU402*(2*DA402/DH402-$J$27/DI402)</f>
        <v>0.198812070380318</v>
      </c>
      <c r="FC402" s="60" t="n">
        <f aca="false">$K$27/DI402*(ET402-1)-EV402-EU402*(2*DB402/DH402-$K$27/DI402)</f>
        <v>0.198812070380318</v>
      </c>
      <c r="FD402" s="60" t="n">
        <f aca="false">$L$27/DI402*(ET402-1)-EV402-EU402*(2*DC402/DH402-$L$27/DI402)</f>
        <v>0.198812070380318</v>
      </c>
      <c r="FE402" s="60" t="n">
        <f aca="false">$M$27/DI402*(ET402-1)-EV402-EU402*(2*DD402/DH402-$M$27/DI402)</f>
        <v>0.198812070380318</v>
      </c>
      <c r="FF402" s="60" t="n">
        <f aca="false">$N$27/DI402*(ET402-1)-EV402-EU402*(2*DE402/DH402-$N$27/DI402)</f>
        <v>0.198812070380318</v>
      </c>
      <c r="FG402" s="60" t="n">
        <f aca="false">$O$27/DI402*(ET402-1)-EV402-EU402*(2*DF402/DH402-$O$27/DI402)</f>
        <v>0.198812070380318</v>
      </c>
      <c r="FH402" s="60" t="n">
        <f aca="false">$P$27/DI402*(ET402-1)-EV402-EU402*(2*DG402/DH402-$P$27/DI402)</f>
        <v>0.198812070380318</v>
      </c>
      <c r="FI402" s="60" t="n">
        <f aca="false">DK402/ET402&gt;$C$22</f>
        <v>0</v>
      </c>
      <c r="FJ402" s="60" t="n">
        <f aca="false">$E$28*SUMPRODUCT($E$31:$P$31,CJ402:CU402,$E$28:$P$28)</f>
        <v>0.184416866619846</v>
      </c>
      <c r="FK402" s="60" t="n">
        <f aca="false">$F$28*SUMPRODUCT($E$32:$P$32,CJ402:CU402,$E$28:$P$28)</f>
        <v>0</v>
      </c>
      <c r="FL402" s="60" t="n">
        <f aca="false">$G$28*SUMPRODUCT($E$33:$P$33,CJ402:CU402,$E$28:$P$28)</f>
        <v>0</v>
      </c>
      <c r="FM402" s="60" t="n">
        <f aca="false">$H$28*SUMPRODUCT($E$34:$P$34,CJ402:CU402,$E$28:$P$28)</f>
        <v>0</v>
      </c>
      <c r="FN402" s="60" t="n">
        <f aca="false">$I$28*SUMPRODUCT($E$35:$P$35,CJ402:CU402,$E$28:$P$28)</f>
        <v>0</v>
      </c>
      <c r="FO402" s="60" t="n">
        <f aca="false">$J$28*SUMPRODUCT($E$36:$P$36,CJ402:CU402,$E$28:$P$28)</f>
        <v>0</v>
      </c>
      <c r="FP402" s="60" t="n">
        <f aca="false">$K$28*SUMPRODUCT($E$37:$P$37,CJ402:CU402,$E$28:$P$28)</f>
        <v>0</v>
      </c>
      <c r="FQ402" s="60" t="n">
        <f aca="false">$L$28*SUMPRODUCT($E$38:$P$38,CJ402:CU402,$E$28:$P$28)</f>
        <v>0</v>
      </c>
      <c r="FR402" s="60" t="n">
        <f aca="false">$M$28*SUMPRODUCT($E$39:$P$39,CJ402:CU402,$E$28:$P$28)</f>
        <v>0</v>
      </c>
      <c r="FS402" s="60" t="n">
        <f aca="false">$N$28*SUMPRODUCT($E$40:$P$40,CJ402:CU402,$E$28:$P$28)</f>
        <v>0</v>
      </c>
      <c r="FT402" s="60" t="n">
        <f aca="false">$O$28*SUMPRODUCT($E$41:$P$41,CJ402:CU402,$E$28:$P$28)</f>
        <v>0</v>
      </c>
      <c r="FU402" s="60" t="n">
        <f aca="false">$P$28*SUMPRODUCT($E$42:$P$42,CJ402:CU402,$E$28:$P$28)</f>
        <v>0</v>
      </c>
      <c r="FV402" s="60" t="n">
        <f aca="false">SUMPRODUCT(CJ402:CU402,FJ402:FU402)</f>
        <v>0.184416866619846</v>
      </c>
      <c r="FW402" s="60" t="n">
        <f aca="false">SUMPRODUCT(CJ402:CU402,$E$27:$P$27)</f>
        <v>2.67389635063809E-005</v>
      </c>
      <c r="FX402" s="60" t="n">
        <f aca="false">FV402*$C$9/($C$10*$C$8)^2</f>
        <v>0.21776909410545</v>
      </c>
      <c r="FY402" s="60" t="n">
        <f aca="false">FW402*$C$9/($C$10*$C$8)</f>
        <v>0.0918845243259994</v>
      </c>
      <c r="FZ402" s="60" t="n">
        <f aca="false">CHOOSE($C$7,-(1+FY402),-1,-(1-FY402))</f>
        <v>-0.908115475674001</v>
      </c>
      <c r="GA402" s="60" t="n">
        <f aca="false">CHOOSE($C$7,FX402,FX402-FY402-FY402^2,FX402-3*FY402^2-2*FY402)</f>
        <v>0.00867174802160559</v>
      </c>
      <c r="GB402" s="60" t="n">
        <f aca="false">CHOOSE($C$7,-FX402*FY402,-FX402*FY402,-(FX402*FY402-FY402^2-FY402^3))</f>
        <v>-0.0107910842936637</v>
      </c>
      <c r="GC402" s="60" t="n">
        <f aca="false">GA402-FZ402^2/3</f>
        <v>-0.266219491031267</v>
      </c>
      <c r="GD402" s="60" t="n">
        <f aca="false">2*FZ402^3/27-FZ402*GA402/3+GB402</f>
        <v>-0.0636400988362784</v>
      </c>
      <c r="GE402" s="60" t="n">
        <f aca="false">GD402^2/4+GC402^3/27</f>
        <v>0.000313710901361829</v>
      </c>
      <c r="GF402" s="60" t="n">
        <f aca="false">-GD402/2-IF(GD402&gt;=0,1,-1)*SQRT(MAX(GE402,0))</f>
        <v>0.0495319352963236</v>
      </c>
      <c r="GG402" s="60" t="n">
        <f aca="false">SIGN(GF402)*ABS(GF402)^(1/3)</f>
        <v>0.367249967174439</v>
      </c>
      <c r="GH402" s="60" t="n">
        <f aca="false">IF(GG402=0,0,GG402-GC402/(3*GG402))</f>
        <v>0.60888329127384</v>
      </c>
      <c r="GI402" s="60" t="n">
        <f aca="false">2*SQRT(MAX(-GC402,0)/3)</f>
        <v>0.595784626668918</v>
      </c>
      <c r="GJ402" s="60" t="n">
        <f aca="false">ACOS(IF(GI402=0,0,MAX(-1,MIN(1,3*GD402/(GC402*GI402)))))</f>
        <v>0</v>
      </c>
      <c r="GK402" s="60" t="n">
        <f aca="false">GI402*COS(GJ402/3)</f>
        <v>0.595784626668918</v>
      </c>
      <c r="GL402" s="60" t="n">
        <f aca="false">IF(GE402&lt;0,GK402,GH402)-FZ402/3</f>
        <v>0.91158844983184</v>
      </c>
      <c r="GM402" s="60" t="n">
        <f aca="false">IFERROR((((GL402+FZ402)*GL402+GA402)*GL402+GB402)/((3*GL402+2*FZ402)*GL402+GA402),0)</f>
        <v>0</v>
      </c>
      <c r="GN402" s="60" t="n">
        <f aca="false">IF(ABS(GM402)&lt;0.1*ABS(GL402),GL402-GM402,GL402)</f>
        <v>0.91158844983184</v>
      </c>
      <c r="GO402" s="60" t="n">
        <f aca="false">IFERROR((((GN402+FZ402)*GN402+GA402)*GN402+GB402)/((3*GN402+2*FZ402)*GN402+GA402),0)</f>
        <v>0</v>
      </c>
      <c r="GP402" s="60" t="n">
        <f aca="false">IF(ABS(GO402)&lt;0.1*ABS(GN402),GN402-GO402,GN402)</f>
        <v>0.91158844983184</v>
      </c>
      <c r="GQ402" s="60" t="n">
        <f aca="false">-GB402/GP402</f>
        <v>0.0118376711504565</v>
      </c>
      <c r="GR402" s="60" t="n">
        <f aca="false">(GA402-GQ402)/GP402</f>
        <v>-0.00347297415783941</v>
      </c>
      <c r="GS402" s="60" t="n">
        <f aca="false">GR402^2-4*GQ402</f>
        <v>-0.0473386230523248</v>
      </c>
      <c r="GT402" s="60" t="n">
        <f aca="false">IF(GS402&gt;=0,(GR402+IF(GR402&gt;=0,1,-1)*SQRT(GS402))/2,0)</f>
        <v>0</v>
      </c>
      <c r="GU402" s="60" t="n">
        <f aca="false">IF(AND(GS402&gt;=0,GT402&lt;&gt;0),MIN(GT402,GQ402/GT402),-1)</f>
        <v>-1</v>
      </c>
      <c r="GV402" s="60" t="n">
        <f aca="false">AND(GS402&gt;=0,GU402&gt;FY402,ABS(GP402-GU402)&gt;=0.00005*MAX(GP402,GU402))</f>
        <v>0</v>
      </c>
      <c r="GW402" s="60" t="n">
        <f aca="false">IF(GV402,IFERROR((((GU402+FZ402)*GU402+GA402)*GU402+GB402)/((3*GU402+2*FZ402)*GU402+GA402),0),0)</f>
        <v>0</v>
      </c>
      <c r="GX402" s="60" t="n">
        <f aca="false">IF(ABS(GW402)&lt;0.1*ABS(GU402),GU402-GW402,GU402)</f>
        <v>-1</v>
      </c>
      <c r="GY402" s="60" t="n">
        <f aca="false">IF(GV402,IFERROR((((GX402+FZ402)*GX402+GA402)*GX402+GB402)/((3*GX402+2*FZ402)*GX402+GA402),0),0)</f>
        <v>0</v>
      </c>
      <c r="GZ402" s="60" t="n">
        <f aca="false">IF(ABS(GY402)&lt;0.1*ABS(GX402),GX402-GY402,GX402)</f>
        <v>-1</v>
      </c>
      <c r="HA402" s="60" t="n">
        <f aca="false">IF(GV402,MAX(GP402,GZ402),GP402)</f>
        <v>0.91158844983184</v>
      </c>
      <c r="HB402" s="60" t="n">
        <f aca="false">IF(GV402,MIN(GP402,GZ402),-1)</f>
        <v>-1</v>
      </c>
      <c r="HC402" s="60" t="n">
        <f aca="false">CHOOSE($C$7,FX402/HA402,FX402/FY402*LN(1+FY402/HA402),FX402/(2*SQRT(2)*FY402)*LN((HA402+(1+SQRT(2))*FY402)/(HA402+(1-SQRT(2))*FY402)))</f>
        <v>0.218240791233887</v>
      </c>
      <c r="HD402" s="60" t="n">
        <f aca="false">HA402-1-LN(HA402-FY402)-HC402</f>
        <v>-0.107840271021729</v>
      </c>
      <c r="HE402" s="60" t="n">
        <f aca="false">IF(GV402,CHOOSE($C$7,FX402/HB402,FX402/FY402*LN(1+FY402/HB402),FX402/(2*SQRT(2)*FY402)*LN((HB402+(1+SQRT(2))*FY402)/(HB402+(1-SQRT(2))*FY402))),0)</f>
        <v>0</v>
      </c>
      <c r="HF402" s="60" t="n">
        <f aca="false">IF(GV402,HB402-1-LN(HB402-FY402)-HE402,0)</f>
        <v>0</v>
      </c>
      <c r="HG402" s="60" t="n">
        <f aca="false">AND(GV402,HF402&lt;HD402)</f>
        <v>0</v>
      </c>
      <c r="HH402" s="60" t="n">
        <f aca="false">IF(HG402,HB402,HA402)</f>
        <v>0.91158844983184</v>
      </c>
      <c r="HI402" s="60" t="n">
        <f aca="false">IF(HG402,HE402,HC402)</f>
        <v>0.218240791233887</v>
      </c>
      <c r="HJ402" s="60" t="n">
        <f aca="false">LN(HH402-FY402)</f>
        <v>-0.198812070380318</v>
      </c>
      <c r="HK402" s="60" t="n">
        <f aca="false">$E$27/FW402*(HH402-1)-HJ402-HI402*(2*FJ402/FV402-$E$27/FW402)</f>
        <v>-0.107840271021729</v>
      </c>
      <c r="HL402" s="60" t="n">
        <f aca="false">$F$27/FW402*(HH402-1)-HJ402-HI402*(2*FK402/FV402-$F$27/FW402)</f>
        <v>0.198812070380318</v>
      </c>
      <c r="HM402" s="60" t="n">
        <f aca="false">$G$27/FW402*(HH402-1)-HJ402-HI402*(2*FL402/FV402-$G$27/FW402)</f>
        <v>0.198812070380318</v>
      </c>
      <c r="HN402" s="60" t="n">
        <f aca="false">$H$27/FW402*(HH402-1)-HJ402-HI402*(2*FM402/FV402-$H$27/FW402)</f>
        <v>0.198812070380318</v>
      </c>
      <c r="HO402" s="60" t="n">
        <f aca="false">$I$27/FW402*(HH402-1)-HJ402-HI402*(2*FN402/FV402-$I$27/FW402)</f>
        <v>0.198812070380318</v>
      </c>
      <c r="HP402" s="60" t="n">
        <f aca="false">$J$27/FW402*(HH402-1)-HJ402-HI402*(2*FO402/FV402-$J$27/FW402)</f>
        <v>0.198812070380318</v>
      </c>
      <c r="HQ402" s="60" t="n">
        <f aca="false">$K$27/FW402*(HH402-1)-HJ402-HI402*(2*FP402/FV402-$K$27/FW402)</f>
        <v>0.198812070380318</v>
      </c>
      <c r="HR402" s="60" t="n">
        <f aca="false">$L$27/FW402*(HH402-1)-HJ402-HI402*(2*FQ402/FV402-$L$27/FW402)</f>
        <v>0.198812070380318</v>
      </c>
      <c r="HS402" s="60" t="n">
        <f aca="false">$M$27/FW402*(HH402-1)-HJ402-HI402*(2*FR402/FV402-$M$27/FW402)</f>
        <v>0.198812070380318</v>
      </c>
      <c r="HT402" s="60" t="n">
        <f aca="false">$N$27/FW402*(HH402-1)-HJ402-HI402*(2*FS402/FV402-$N$27/FW402)</f>
        <v>0.198812070380318</v>
      </c>
      <c r="HU402" s="60" t="n">
        <f aca="false">$O$27/FW402*(HH402-1)-HJ402-HI402*(2*FT402/FV402-$O$27/FW402)</f>
        <v>0.198812070380318</v>
      </c>
      <c r="HV402" s="60" t="n">
        <f aca="false">$P$27/FW402*(HH402-1)-HJ402-HI402*(2*FU402/FV402-$P$27/FW402)</f>
        <v>0.198812070380318</v>
      </c>
      <c r="HW402" s="60" t="n">
        <f aca="false">FY402/HH402&gt;$C$22</f>
        <v>0</v>
      </c>
      <c r="HX402" s="60" t="n">
        <f aca="false">IF($E$13&gt;0,MAX(-300,MIN(300,EW402-HK402)),0)</f>
        <v>0</v>
      </c>
      <c r="HY402" s="60" t="n">
        <f aca="false">IF($F$13&gt;0,MAX(-300,MIN(300,EX402-HL402)),0)</f>
        <v>0</v>
      </c>
      <c r="HZ402" s="60" t="n">
        <f aca="false">IF($G$13&gt;0,MAX(-300,MIN(300,EY402-HM402)),0)</f>
        <v>0</v>
      </c>
      <c r="IA402" s="60" t="n">
        <f aca="false">IF($H$13&gt;0,MAX(-300,MIN(300,EZ402-HN402)),0)</f>
        <v>0</v>
      </c>
      <c r="IB402" s="60" t="n">
        <f aca="false">IF($I$13&gt;0,MAX(-300,MIN(300,FA402-HO402)),0)</f>
        <v>0</v>
      </c>
      <c r="IC402" s="60" t="n">
        <f aca="false">IF($J$13&gt;0,MAX(-300,MIN(300,FB402-HP402)),0)</f>
        <v>0</v>
      </c>
      <c r="ID402" s="60" t="n">
        <f aca="false">IF($K$13&gt;0,MAX(-300,MIN(300,FC402-HQ402)),0)</f>
        <v>0</v>
      </c>
      <c r="IE402" s="60" t="n">
        <f aca="false">IF($L$13&gt;0,MAX(-300,MIN(300,FD402-HR402)),0)</f>
        <v>0</v>
      </c>
      <c r="IF402" s="60" t="n">
        <f aca="false">IF($M$13&gt;0,MAX(-300,MIN(300,FE402-HS402)),0)</f>
        <v>0</v>
      </c>
      <c r="IG402" s="60" t="n">
        <f aca="false">IF($N$13&gt;0,MAX(-300,MIN(300,FF402-HT402)),0)</f>
        <v>0</v>
      </c>
      <c r="IH402" s="60" t="n">
        <f aca="false">IF($O$13&gt;0,MAX(-300,MIN(300,FG402-HU402)),0)</f>
        <v>0</v>
      </c>
      <c r="II402" s="60" t="n">
        <f aca="false">IF($P$13&gt;0,MAX(-300,MIN(300,FH402-HV402)),0)</f>
        <v>0</v>
      </c>
      <c r="IJ402" s="60" t="n">
        <f aca="false">SUMXMY2(HX402:II402,B402:M402)</f>
        <v>0</v>
      </c>
      <c r="IK402" s="60" t="n">
        <f aca="false">SUMSQ(B402:M402)</f>
        <v>0</v>
      </c>
    </row>
    <row r="403" customFormat="false" ht="15" hidden="false" customHeight="false" outlineLevel="0" collapsed="false">
      <c r="A403" s="59" t="n">
        <v>42</v>
      </c>
      <c r="B403" s="60" t="n">
        <f aca="false">HX402</f>
        <v>0</v>
      </c>
      <c r="C403" s="60" t="n">
        <f aca="false">HY402</f>
        <v>0</v>
      </c>
      <c r="D403" s="60" t="n">
        <f aca="false">HZ402</f>
        <v>0</v>
      </c>
      <c r="E403" s="60" t="n">
        <f aca="false">IA402</f>
        <v>0</v>
      </c>
      <c r="F403" s="60" t="n">
        <f aca="false">IB402</f>
        <v>0</v>
      </c>
      <c r="G403" s="60" t="n">
        <f aca="false">IC402</f>
        <v>0</v>
      </c>
      <c r="H403" s="60" t="n">
        <f aca="false">ID402</f>
        <v>0</v>
      </c>
      <c r="I403" s="60" t="n">
        <f aca="false">IE402</f>
        <v>0</v>
      </c>
      <c r="J403" s="60" t="n">
        <f aca="false">IF402</f>
        <v>0</v>
      </c>
      <c r="K403" s="60" t="n">
        <f aca="false">IG402</f>
        <v>0</v>
      </c>
      <c r="L403" s="60" t="n">
        <f aca="false">IH402</f>
        <v>0</v>
      </c>
      <c r="M403" s="60" t="n">
        <f aca="false">II402</f>
        <v>0</v>
      </c>
      <c r="N403" s="60" t="n">
        <f aca="false">EXP(B403)</f>
        <v>1</v>
      </c>
      <c r="O403" s="60" t="n">
        <f aca="false">EXP(C403)</f>
        <v>1</v>
      </c>
      <c r="P403" s="60" t="n">
        <f aca="false">EXP(D403)</f>
        <v>1</v>
      </c>
      <c r="Q403" s="60" t="n">
        <f aca="false">EXP(E403)</f>
        <v>1</v>
      </c>
      <c r="R403" s="60" t="n">
        <f aca="false">EXP(F403)</f>
        <v>1</v>
      </c>
      <c r="S403" s="60" t="n">
        <f aca="false">EXP(G403)</f>
        <v>1</v>
      </c>
      <c r="T403" s="60" t="n">
        <f aca="false">EXP(H403)</f>
        <v>1</v>
      </c>
      <c r="U403" s="60" t="n">
        <f aca="false">EXP(I403)</f>
        <v>1</v>
      </c>
      <c r="V403" s="60" t="n">
        <f aca="false">EXP(J403)</f>
        <v>1</v>
      </c>
      <c r="W403" s="60" t="n">
        <f aca="false">EXP(K403)</f>
        <v>1</v>
      </c>
      <c r="X403" s="60" t="n">
        <f aca="false">EXP(L403)</f>
        <v>1</v>
      </c>
      <c r="Y403" s="60" t="n">
        <f aca="false">EXP(M403)</f>
        <v>1</v>
      </c>
      <c r="Z403" s="60" t="n">
        <f aca="false">MAX(N403:Y403)</f>
        <v>1</v>
      </c>
      <c r="AA403" s="60" t="n">
        <f aca="false">MIN(N403:Y403)</f>
        <v>1</v>
      </c>
      <c r="AB403" s="60" t="n">
        <f aca="false">AND(Z403&gt;1,AA403&lt;1)</f>
        <v>0</v>
      </c>
      <c r="AC403" s="60" t="n">
        <f aca="false">IF(AB403,1/(1-Z403),0)</f>
        <v>0</v>
      </c>
      <c r="AD403" s="60" t="n">
        <f aca="false">IF(AB403,1/(1-AA403),1)</f>
        <v>1</v>
      </c>
      <c r="AE403" s="60" t="n">
        <f aca="false">IF(AB403,MIN(MAX(BI402,AC403+0.000000001*(AD403-AC403)),AD403-0.000000001*(AD403-AC403)),IF(AA403&gt;=1,1,0))</f>
        <v>1</v>
      </c>
      <c r="AF403" s="60" t="n">
        <f aca="false">SUMPRODUCT($E$13:$P$13*(N403:Y403-1)/(1+AE403*(N403:Y403-1)))</f>
        <v>0</v>
      </c>
      <c r="AG403" s="60" t="n">
        <f aca="false">-SUMPRODUCT($E$13:$P$13*(N403:Y403-1)^2/(1+AE403*(N403:Y403-1))^2)</f>
        <v>-0</v>
      </c>
      <c r="AH403" s="60" t="n">
        <f aca="false">IF(OR(NOT(AB403),AG403=0),AE403,IF(AE403-AF403/AG403&lt;=AC403,(AE403+AC403)/2,IF(AE403-AF403/AG403&gt;=AD403,(AE403+AD403)/2,AE403-AF403/AG403)))</f>
        <v>1</v>
      </c>
      <c r="AI403" s="60" t="n">
        <f aca="false">SUMPRODUCT($E$13:$P$13*(N403:Y403-1)/(1+AH403*(N403:Y403-1)))</f>
        <v>0</v>
      </c>
      <c r="AJ403" s="60" t="n">
        <f aca="false">-SUMPRODUCT($E$13:$P$13*(N403:Y403-1)^2/(1+AH403*(N403:Y403-1))^2)</f>
        <v>-0</v>
      </c>
      <c r="AK403" s="60" t="n">
        <f aca="false">IF(OR(NOT(AB403),AJ403=0),AH403,IF(AH403-AI403/AJ403&lt;=AC403,(AH403+AC403)/2,IF(AH403-AI403/AJ403&gt;=AD403,(AH403+AD403)/2,AH403-AI403/AJ403)))</f>
        <v>1</v>
      </c>
      <c r="AL403" s="60" t="n">
        <f aca="false">SUMPRODUCT($E$13:$P$13*(N403:Y403-1)/(1+AK403*(N403:Y403-1)))</f>
        <v>0</v>
      </c>
      <c r="AM403" s="60" t="n">
        <f aca="false">-SUMPRODUCT($E$13:$P$13*(N403:Y403-1)^2/(1+AK403*(N403:Y403-1))^2)</f>
        <v>-0</v>
      </c>
      <c r="AN403" s="60" t="n">
        <f aca="false">IF(OR(NOT(AB403),AM403=0),AK403,IF(AK403-AL403/AM403&lt;=AC403,(AK403+AC403)/2,IF(AK403-AL403/AM403&gt;=AD403,(AK403+AD403)/2,AK403-AL403/AM403)))</f>
        <v>1</v>
      </c>
      <c r="AO403" s="60" t="n">
        <f aca="false">SUMPRODUCT($E$13:$P$13*(N403:Y403-1)/(1+AN403*(N403:Y403-1)))</f>
        <v>0</v>
      </c>
      <c r="AP403" s="60" t="n">
        <f aca="false">-SUMPRODUCT($E$13:$P$13*(N403:Y403-1)^2/(1+AN403*(N403:Y403-1))^2)</f>
        <v>-0</v>
      </c>
      <c r="AQ403" s="60" t="n">
        <f aca="false">IF(OR(NOT(AB403),AP403=0),AN403,IF(AN403-AO403/AP403&lt;=AC403,(AN403+AC403)/2,IF(AN403-AO403/AP403&gt;=AD403,(AN403+AD403)/2,AN403-AO403/AP403)))</f>
        <v>1</v>
      </c>
      <c r="AR403" s="60" t="n">
        <f aca="false">SUMPRODUCT($E$13:$P$13*(N403:Y403-1)/(1+AQ403*(N403:Y403-1)))</f>
        <v>0</v>
      </c>
      <c r="AS403" s="60" t="n">
        <f aca="false">-SUMPRODUCT($E$13:$P$13*(N403:Y403-1)^2/(1+AQ403*(N403:Y403-1))^2)</f>
        <v>-0</v>
      </c>
      <c r="AT403" s="60" t="n">
        <f aca="false">IF(OR(NOT(AB403),AS403=0),AQ403,IF(AQ403-AR403/AS403&lt;=AC403,(AQ403+AC403)/2,IF(AQ403-AR403/AS403&gt;=AD403,(AQ403+AD403)/2,AQ403-AR403/AS403)))</f>
        <v>1</v>
      </c>
      <c r="AU403" s="60" t="n">
        <f aca="false">SUMPRODUCT($E$13:$P$13*(N403:Y403-1)/(1+AT403*(N403:Y403-1)))</f>
        <v>0</v>
      </c>
      <c r="AV403" s="60" t="n">
        <f aca="false">-SUMPRODUCT($E$13:$P$13*(N403:Y403-1)^2/(1+AT403*(N403:Y403-1))^2)</f>
        <v>-0</v>
      </c>
      <c r="AW403" s="60" t="n">
        <f aca="false">IF(OR(NOT(AB403),AV403=0),AT403,IF(AT403-AU403/AV403&lt;=AC403,(AT403+AC403)/2,IF(AT403-AU403/AV403&gt;=AD403,(AT403+AD403)/2,AT403-AU403/AV403)))</f>
        <v>1</v>
      </c>
      <c r="AX403" s="60" t="n">
        <f aca="false">SUMPRODUCT($E$13:$P$13*(N403:Y403-1)/(1+AW403*(N403:Y403-1)))</f>
        <v>0</v>
      </c>
      <c r="AY403" s="60" t="n">
        <f aca="false">-SUMPRODUCT($E$13:$P$13*(N403:Y403-1)^2/(1+AW403*(N403:Y403-1))^2)</f>
        <v>-0</v>
      </c>
      <c r="AZ403" s="60" t="n">
        <f aca="false">IF(OR(NOT(AB403),AY403=0),AW403,IF(AW403-AX403/AY403&lt;=AC403,(AW403+AC403)/2,IF(AW403-AX403/AY403&gt;=AD403,(AW403+AD403)/2,AW403-AX403/AY403)))</f>
        <v>1</v>
      </c>
      <c r="BA403" s="60" t="n">
        <f aca="false">SUMPRODUCT($E$13:$P$13*(N403:Y403-1)/(1+AZ403*(N403:Y403-1)))</f>
        <v>0</v>
      </c>
      <c r="BB403" s="60" t="n">
        <f aca="false">-SUMPRODUCT($E$13:$P$13*(N403:Y403-1)^2/(1+AZ403*(N403:Y403-1))^2)</f>
        <v>-0</v>
      </c>
      <c r="BC403" s="60" t="n">
        <f aca="false">IF(OR(NOT(AB403),BB403=0),AZ403,IF(AZ403-BA403/BB403&lt;=AC403,(AZ403+AC403)/2,IF(AZ403-BA403/BB403&gt;=AD403,(AZ403+AD403)/2,AZ403-BA403/BB403)))</f>
        <v>1</v>
      </c>
      <c r="BD403" s="60" t="n">
        <f aca="false">SUMPRODUCT($E$13:$P$13*(N403:Y403-1)/(1+BC403*(N403:Y403-1)))</f>
        <v>0</v>
      </c>
      <c r="BE403" s="60" t="n">
        <f aca="false">-SUMPRODUCT($E$13:$P$13*(N403:Y403-1)^2/(1+BC403*(N403:Y403-1))^2)</f>
        <v>-0</v>
      </c>
      <c r="BF403" s="60" t="n">
        <f aca="false">IF(OR(NOT(AB403),BE403=0),BC403,IF(BC403-BD403/BE403&lt;=AC403,(BC403+AC403)/2,IF(BC403-BD403/BE403&gt;=AD403,(BC403+AD403)/2,BC403-BD403/BE403)))</f>
        <v>1</v>
      </c>
      <c r="BG403" s="60" t="n">
        <f aca="false">SUMPRODUCT($E$13:$P$13*(N403:Y403-1)/(1+BF403*(N403:Y403-1)))</f>
        <v>0</v>
      </c>
      <c r="BH403" s="60" t="n">
        <f aca="false">-SUMPRODUCT($E$13:$P$13*(N403:Y403-1)^2/(1+BF403*(N403:Y403-1))^2)</f>
        <v>-0</v>
      </c>
      <c r="BI403" s="60" t="n">
        <f aca="false">IF(OR(NOT(AB403),BH403=0),BF403,IF(BF403-BG403/BH403&lt;=AC403,(BF403+AC403)/2,IF(BF403-BG403/BH403&gt;=AD403,(BF403+AD403)/2,BF403-BG403/BH403)))</f>
        <v>1</v>
      </c>
      <c r="BJ403" s="60" t="n">
        <f aca="false">$E$13/(1+BI403*(N403-1))</f>
        <v>1</v>
      </c>
      <c r="BK403" s="60" t="n">
        <f aca="false">$F$13/(1+BI403*(O403-1))</f>
        <v>0</v>
      </c>
      <c r="BL403" s="60" t="n">
        <f aca="false">$G$13/(1+BI403*(P403-1))</f>
        <v>0</v>
      </c>
      <c r="BM403" s="60" t="n">
        <f aca="false">$H$13/(1+BI403*(Q403-1))</f>
        <v>0</v>
      </c>
      <c r="BN403" s="60" t="n">
        <f aca="false">$I$13/(1+BI403*(R403-1))</f>
        <v>0</v>
      </c>
      <c r="BO403" s="60" t="n">
        <f aca="false">$J$13/(1+BI403*(S403-1))</f>
        <v>0</v>
      </c>
      <c r="BP403" s="60" t="n">
        <f aca="false">$K$13/(1+BI403*(T403-1))</f>
        <v>0</v>
      </c>
      <c r="BQ403" s="60" t="n">
        <f aca="false">$L$13/(1+BI403*(U403-1))</f>
        <v>0</v>
      </c>
      <c r="BR403" s="60" t="n">
        <f aca="false">$M$13/(1+BI403*(V403-1))</f>
        <v>0</v>
      </c>
      <c r="BS403" s="60" t="n">
        <f aca="false">$N$13/(1+BI403*(W403-1))</f>
        <v>0</v>
      </c>
      <c r="BT403" s="60" t="n">
        <f aca="false">$O$13/(1+BI403*(X403-1))</f>
        <v>0</v>
      </c>
      <c r="BU403" s="60" t="n">
        <f aca="false">$P$13/(1+BI403*(Y403-1))</f>
        <v>0</v>
      </c>
      <c r="BV403" s="60" t="n">
        <f aca="false">SUM(BJ403:BU403)</f>
        <v>1</v>
      </c>
      <c r="BW403" s="60" t="n">
        <f aca="false">SUMPRODUCT(N403:Y403,BJ403:BU403)</f>
        <v>1</v>
      </c>
      <c r="BX403" s="60" t="n">
        <f aca="false">BJ403/BV403</f>
        <v>1</v>
      </c>
      <c r="BY403" s="60" t="n">
        <f aca="false">BK403/BV403</f>
        <v>0</v>
      </c>
      <c r="BZ403" s="60" t="n">
        <f aca="false">BL403/BV403</f>
        <v>0</v>
      </c>
      <c r="CA403" s="60" t="n">
        <f aca="false">BM403/BV403</f>
        <v>0</v>
      </c>
      <c r="CB403" s="60" t="n">
        <f aca="false">BN403/BV403</f>
        <v>0</v>
      </c>
      <c r="CC403" s="60" t="n">
        <f aca="false">BO403/BV403</f>
        <v>0</v>
      </c>
      <c r="CD403" s="60" t="n">
        <f aca="false">BP403/BV403</f>
        <v>0</v>
      </c>
      <c r="CE403" s="60" t="n">
        <f aca="false">BQ403/BV403</f>
        <v>0</v>
      </c>
      <c r="CF403" s="60" t="n">
        <f aca="false">BR403/BV403</f>
        <v>0</v>
      </c>
      <c r="CG403" s="60" t="n">
        <f aca="false">BS403/BV403</f>
        <v>0</v>
      </c>
      <c r="CH403" s="60" t="n">
        <f aca="false">BT403/BV403</f>
        <v>0</v>
      </c>
      <c r="CI403" s="60" t="n">
        <f aca="false">BU403/BV403</f>
        <v>0</v>
      </c>
      <c r="CJ403" s="60" t="n">
        <f aca="false">N403*BJ403/BW403</f>
        <v>1</v>
      </c>
      <c r="CK403" s="60" t="n">
        <f aca="false">O403*BK403/BW403</f>
        <v>0</v>
      </c>
      <c r="CL403" s="60" t="n">
        <f aca="false">P403*BL403/BW403</f>
        <v>0</v>
      </c>
      <c r="CM403" s="60" t="n">
        <f aca="false">Q403*BM403/BW403</f>
        <v>0</v>
      </c>
      <c r="CN403" s="60" t="n">
        <f aca="false">R403*BN403/BW403</f>
        <v>0</v>
      </c>
      <c r="CO403" s="60" t="n">
        <f aca="false">S403*BO403/BW403</f>
        <v>0</v>
      </c>
      <c r="CP403" s="60" t="n">
        <f aca="false">T403*BP403/BW403</f>
        <v>0</v>
      </c>
      <c r="CQ403" s="60" t="n">
        <f aca="false">U403*BQ403/BW403</f>
        <v>0</v>
      </c>
      <c r="CR403" s="60" t="n">
        <f aca="false">V403*BR403/BW403</f>
        <v>0</v>
      </c>
      <c r="CS403" s="60" t="n">
        <f aca="false">W403*BS403/BW403</f>
        <v>0</v>
      </c>
      <c r="CT403" s="60" t="n">
        <f aca="false">X403*BT403/BW403</f>
        <v>0</v>
      </c>
      <c r="CU403" s="60" t="n">
        <f aca="false">Y403*BU403/BW403</f>
        <v>0</v>
      </c>
      <c r="CV403" s="60" t="n">
        <f aca="false">$E$28*SUMPRODUCT($E$31:$P$31,BX403:CI403,$E$28:$P$28)</f>
        <v>0.184416866619846</v>
      </c>
      <c r="CW403" s="60" t="n">
        <f aca="false">$F$28*SUMPRODUCT($E$32:$P$32,BX403:CI403,$E$28:$P$28)</f>
        <v>0</v>
      </c>
      <c r="CX403" s="60" t="n">
        <f aca="false">$G$28*SUMPRODUCT($E$33:$P$33,BX403:CI403,$E$28:$P$28)</f>
        <v>0</v>
      </c>
      <c r="CY403" s="60" t="n">
        <f aca="false">$H$28*SUMPRODUCT($E$34:$P$34,BX403:CI403,$E$28:$P$28)</f>
        <v>0</v>
      </c>
      <c r="CZ403" s="60" t="n">
        <f aca="false">$I$28*SUMPRODUCT($E$35:$P$35,BX403:CI403,$E$28:$P$28)</f>
        <v>0</v>
      </c>
      <c r="DA403" s="60" t="n">
        <f aca="false">$J$28*SUMPRODUCT($E$36:$P$36,BX403:CI403,$E$28:$P$28)</f>
        <v>0</v>
      </c>
      <c r="DB403" s="60" t="n">
        <f aca="false">$K$28*SUMPRODUCT($E$37:$P$37,BX403:CI403,$E$28:$P$28)</f>
        <v>0</v>
      </c>
      <c r="DC403" s="60" t="n">
        <f aca="false">$L$28*SUMPRODUCT($E$38:$P$38,BX403:CI403,$E$28:$P$28)</f>
        <v>0</v>
      </c>
      <c r="DD403" s="60" t="n">
        <f aca="false">$M$28*SUMPRODUCT($E$39:$P$39,BX403:CI403,$E$28:$P$28)</f>
        <v>0</v>
      </c>
      <c r="DE403" s="60" t="n">
        <f aca="false">$N$28*SUMPRODUCT($E$40:$P$40,BX403:CI403,$E$28:$P$28)</f>
        <v>0</v>
      </c>
      <c r="DF403" s="60" t="n">
        <f aca="false">$O$28*SUMPRODUCT($E$41:$P$41,BX403:CI403,$E$28:$P$28)</f>
        <v>0</v>
      </c>
      <c r="DG403" s="60" t="n">
        <f aca="false">$P$28*SUMPRODUCT($E$42:$P$42,BX403:CI403,$E$28:$P$28)</f>
        <v>0</v>
      </c>
      <c r="DH403" s="60" t="n">
        <f aca="false">SUMPRODUCT(BX403:CI403,CV403:DG403)</f>
        <v>0.184416866619846</v>
      </c>
      <c r="DI403" s="60" t="n">
        <f aca="false">SUMPRODUCT(BX403:CI403,$E$27:$P$27)</f>
        <v>2.67389635063809E-005</v>
      </c>
      <c r="DJ403" s="60" t="n">
        <f aca="false">DH403*$C$9/($C$10*$C$8)^2</f>
        <v>0.21776909410545</v>
      </c>
      <c r="DK403" s="60" t="n">
        <f aca="false">DI403*$C$9/($C$10*$C$8)</f>
        <v>0.0918845243259994</v>
      </c>
      <c r="DL403" s="60" t="n">
        <f aca="false">CHOOSE($C$7,-(1+DK403),-1,-(1-DK403))</f>
        <v>-0.908115475674001</v>
      </c>
      <c r="DM403" s="60" t="n">
        <f aca="false">CHOOSE($C$7,DJ403,DJ403-DK403-DK403^2,DJ403-3*DK403^2-2*DK403)</f>
        <v>0.00867174802160559</v>
      </c>
      <c r="DN403" s="60" t="n">
        <f aca="false">CHOOSE($C$7,-DJ403*DK403,-DJ403*DK403,-(DJ403*DK403-DK403^2-DK403^3))</f>
        <v>-0.0107910842936637</v>
      </c>
      <c r="DO403" s="60" t="n">
        <f aca="false">DM403-DL403^2/3</f>
        <v>-0.266219491031267</v>
      </c>
      <c r="DP403" s="60" t="n">
        <f aca="false">2*DL403^3/27-DL403*DM403/3+DN403</f>
        <v>-0.0636400988362784</v>
      </c>
      <c r="DQ403" s="60" t="n">
        <f aca="false">DP403^2/4+DO403^3/27</f>
        <v>0.000313710901361829</v>
      </c>
      <c r="DR403" s="60" t="n">
        <f aca="false">-DP403/2-IF(DP403&gt;=0,1,-1)*SQRT(MAX(DQ403,0))</f>
        <v>0.0495319352963236</v>
      </c>
      <c r="DS403" s="60" t="n">
        <f aca="false">SIGN(DR403)*ABS(DR403)^(1/3)</f>
        <v>0.367249967174439</v>
      </c>
      <c r="DT403" s="60" t="n">
        <f aca="false">IF(DS403=0,0,DS403-DO403/(3*DS403))</f>
        <v>0.60888329127384</v>
      </c>
      <c r="DU403" s="60" t="n">
        <f aca="false">2*SQRT(MAX(-DO403,0)/3)</f>
        <v>0.595784626668918</v>
      </c>
      <c r="DV403" s="60" t="n">
        <f aca="false">ACOS(IF(DU403=0,0,MAX(-1,MIN(1,3*DP403/(DO403*DU403)))))</f>
        <v>0</v>
      </c>
      <c r="DW403" s="60" t="n">
        <f aca="false">DU403*COS(DV403/3)</f>
        <v>0.595784626668918</v>
      </c>
      <c r="DX403" s="60" t="n">
        <f aca="false">IF(DQ403&lt;0,DW403,DT403)-DL403/3</f>
        <v>0.91158844983184</v>
      </c>
      <c r="DY403" s="60" t="n">
        <f aca="false">IFERROR((((DX403+DL403)*DX403+DM403)*DX403+DN403)/((3*DX403+2*DL403)*DX403+DM403),0)</f>
        <v>0</v>
      </c>
      <c r="DZ403" s="60" t="n">
        <f aca="false">IF(ABS(DY403)&lt;0.1*ABS(DX403),DX403-DY403,DX403)</f>
        <v>0.91158844983184</v>
      </c>
      <c r="EA403" s="60" t="n">
        <f aca="false">IFERROR((((DZ403+DL403)*DZ403+DM403)*DZ403+DN403)/((3*DZ403+2*DL403)*DZ403+DM403),0)</f>
        <v>0</v>
      </c>
      <c r="EB403" s="60" t="n">
        <f aca="false">IF(ABS(EA403)&lt;0.1*ABS(DZ403),DZ403-EA403,DZ403)</f>
        <v>0.91158844983184</v>
      </c>
      <c r="EC403" s="60" t="n">
        <f aca="false">-DN403/EB403</f>
        <v>0.0118376711504565</v>
      </c>
      <c r="ED403" s="60" t="n">
        <f aca="false">(DM403-EC403)/EB403</f>
        <v>-0.00347297415783941</v>
      </c>
      <c r="EE403" s="60" t="n">
        <f aca="false">ED403^2-4*EC403</f>
        <v>-0.0473386230523248</v>
      </c>
      <c r="EF403" s="60" t="n">
        <f aca="false">IF(EE403&gt;=0,(ED403+IF(ED403&gt;=0,1,-1)*SQRT(EE403))/2,0)</f>
        <v>0</v>
      </c>
      <c r="EG403" s="60" t="n">
        <f aca="false">IF(AND(EE403&gt;=0,EF403&lt;&gt;0),MIN(EF403,EC403/EF403),-1)</f>
        <v>-1</v>
      </c>
      <c r="EH403" s="60" t="n">
        <f aca="false">AND(EE403&gt;=0,EG403&gt;DK403,ABS(EB403-EG403)&gt;=0.00005*MAX(EB403,EG403))</f>
        <v>0</v>
      </c>
      <c r="EI403" s="60" t="n">
        <f aca="false">IF(EH403,IFERROR((((EG403+DL403)*EG403+DM403)*EG403+DN403)/((3*EG403+2*DL403)*EG403+DM403),0),0)</f>
        <v>0</v>
      </c>
      <c r="EJ403" s="60" t="n">
        <f aca="false">IF(ABS(EI403)&lt;0.1*ABS(EG403),EG403-EI403,EG403)</f>
        <v>-1</v>
      </c>
      <c r="EK403" s="60" t="n">
        <f aca="false">IF(EH403,IFERROR((((EJ403+DL403)*EJ403+DM403)*EJ403+DN403)/((3*EJ403+2*DL403)*EJ403+DM403),0),0)</f>
        <v>0</v>
      </c>
      <c r="EL403" s="60" t="n">
        <f aca="false">IF(ABS(EK403)&lt;0.1*ABS(EJ403),EJ403-EK403,EJ403)</f>
        <v>-1</v>
      </c>
      <c r="EM403" s="60" t="n">
        <f aca="false">IF(EH403,MAX(EB403,EL403),EB403)</f>
        <v>0.91158844983184</v>
      </c>
      <c r="EN403" s="60" t="n">
        <f aca="false">IF(EH403,MIN(EB403,EL403),-1)</f>
        <v>-1</v>
      </c>
      <c r="EO403" s="60" t="n">
        <f aca="false">CHOOSE($C$7,DJ403/EM403,DJ403/DK403*LN(1+DK403/EM403),DJ403/(2*SQRT(2)*DK403)*LN((EM403+(1+SQRT(2))*DK403)/(EM403+(1-SQRT(2))*DK403)))</f>
        <v>0.218240791233887</v>
      </c>
      <c r="EP403" s="60" t="n">
        <f aca="false">EM403-1-LN(EM403-DK403)-EO403</f>
        <v>-0.107840271021729</v>
      </c>
      <c r="EQ403" s="60" t="n">
        <f aca="false">IF(EH403,CHOOSE($C$7,DJ403/EN403,DJ403/DK403*LN(1+DK403/EN403),DJ403/(2*SQRT(2)*DK403)*LN((EN403+(1+SQRT(2))*DK403)/(EN403+(1-SQRT(2))*DK403))),0)</f>
        <v>0</v>
      </c>
      <c r="ER403" s="60" t="n">
        <f aca="false">IF(EH403,EN403-1-LN(EN403-DK403)-EQ403,0)</f>
        <v>0</v>
      </c>
      <c r="ES403" s="60" t="n">
        <f aca="false">AND(EH403,ER403&lt;EP403)</f>
        <v>0</v>
      </c>
      <c r="ET403" s="60" t="n">
        <f aca="false">IF(ES403,EN403,EM403)</f>
        <v>0.91158844983184</v>
      </c>
      <c r="EU403" s="60" t="n">
        <f aca="false">IF(ES403,EQ403,EO403)</f>
        <v>0.218240791233887</v>
      </c>
      <c r="EV403" s="60" t="n">
        <f aca="false">LN(ET403-DK403)</f>
        <v>-0.198812070380318</v>
      </c>
      <c r="EW403" s="60" t="n">
        <f aca="false">$E$27/DI403*(ET403-1)-EV403-EU403*(2*CV403/DH403-$E$27/DI403)</f>
        <v>-0.107840271021729</v>
      </c>
      <c r="EX403" s="60" t="n">
        <f aca="false">$F$27/DI403*(ET403-1)-EV403-EU403*(2*CW403/DH403-$F$27/DI403)</f>
        <v>0.198812070380318</v>
      </c>
      <c r="EY403" s="60" t="n">
        <f aca="false">$G$27/DI403*(ET403-1)-EV403-EU403*(2*CX403/DH403-$G$27/DI403)</f>
        <v>0.198812070380318</v>
      </c>
      <c r="EZ403" s="60" t="n">
        <f aca="false">$H$27/DI403*(ET403-1)-EV403-EU403*(2*CY403/DH403-$H$27/DI403)</f>
        <v>0.198812070380318</v>
      </c>
      <c r="FA403" s="60" t="n">
        <f aca="false">$I$27/DI403*(ET403-1)-EV403-EU403*(2*CZ403/DH403-$I$27/DI403)</f>
        <v>0.198812070380318</v>
      </c>
      <c r="FB403" s="60" t="n">
        <f aca="false">$J$27/DI403*(ET403-1)-EV403-EU403*(2*DA403/DH403-$J$27/DI403)</f>
        <v>0.198812070380318</v>
      </c>
      <c r="FC403" s="60" t="n">
        <f aca="false">$K$27/DI403*(ET403-1)-EV403-EU403*(2*DB403/DH403-$K$27/DI403)</f>
        <v>0.198812070380318</v>
      </c>
      <c r="FD403" s="60" t="n">
        <f aca="false">$L$27/DI403*(ET403-1)-EV403-EU403*(2*DC403/DH403-$L$27/DI403)</f>
        <v>0.198812070380318</v>
      </c>
      <c r="FE403" s="60" t="n">
        <f aca="false">$M$27/DI403*(ET403-1)-EV403-EU403*(2*DD403/DH403-$M$27/DI403)</f>
        <v>0.198812070380318</v>
      </c>
      <c r="FF403" s="60" t="n">
        <f aca="false">$N$27/DI403*(ET403-1)-EV403-EU403*(2*DE403/DH403-$N$27/DI403)</f>
        <v>0.198812070380318</v>
      </c>
      <c r="FG403" s="60" t="n">
        <f aca="false">$O$27/DI403*(ET403-1)-EV403-EU403*(2*DF403/DH403-$O$27/DI403)</f>
        <v>0.198812070380318</v>
      </c>
      <c r="FH403" s="60" t="n">
        <f aca="false">$P$27/DI403*(ET403-1)-EV403-EU403*(2*DG403/DH403-$P$27/DI403)</f>
        <v>0.198812070380318</v>
      </c>
      <c r="FI403" s="60" t="n">
        <f aca="false">DK403/ET403&gt;$C$22</f>
        <v>0</v>
      </c>
      <c r="FJ403" s="60" t="n">
        <f aca="false">$E$28*SUMPRODUCT($E$31:$P$31,CJ403:CU403,$E$28:$P$28)</f>
        <v>0.184416866619846</v>
      </c>
      <c r="FK403" s="60" t="n">
        <f aca="false">$F$28*SUMPRODUCT($E$32:$P$32,CJ403:CU403,$E$28:$P$28)</f>
        <v>0</v>
      </c>
      <c r="FL403" s="60" t="n">
        <f aca="false">$G$28*SUMPRODUCT($E$33:$P$33,CJ403:CU403,$E$28:$P$28)</f>
        <v>0</v>
      </c>
      <c r="FM403" s="60" t="n">
        <f aca="false">$H$28*SUMPRODUCT($E$34:$P$34,CJ403:CU403,$E$28:$P$28)</f>
        <v>0</v>
      </c>
      <c r="FN403" s="60" t="n">
        <f aca="false">$I$28*SUMPRODUCT($E$35:$P$35,CJ403:CU403,$E$28:$P$28)</f>
        <v>0</v>
      </c>
      <c r="FO403" s="60" t="n">
        <f aca="false">$J$28*SUMPRODUCT($E$36:$P$36,CJ403:CU403,$E$28:$P$28)</f>
        <v>0</v>
      </c>
      <c r="FP403" s="60" t="n">
        <f aca="false">$K$28*SUMPRODUCT($E$37:$P$37,CJ403:CU403,$E$28:$P$28)</f>
        <v>0</v>
      </c>
      <c r="FQ403" s="60" t="n">
        <f aca="false">$L$28*SUMPRODUCT($E$38:$P$38,CJ403:CU403,$E$28:$P$28)</f>
        <v>0</v>
      </c>
      <c r="FR403" s="60" t="n">
        <f aca="false">$M$28*SUMPRODUCT($E$39:$P$39,CJ403:CU403,$E$28:$P$28)</f>
        <v>0</v>
      </c>
      <c r="FS403" s="60" t="n">
        <f aca="false">$N$28*SUMPRODUCT($E$40:$P$40,CJ403:CU403,$E$28:$P$28)</f>
        <v>0</v>
      </c>
      <c r="FT403" s="60" t="n">
        <f aca="false">$O$28*SUMPRODUCT($E$41:$P$41,CJ403:CU403,$E$28:$P$28)</f>
        <v>0</v>
      </c>
      <c r="FU403" s="60" t="n">
        <f aca="false">$P$28*SUMPRODUCT($E$42:$P$42,CJ403:CU403,$E$28:$P$28)</f>
        <v>0</v>
      </c>
      <c r="FV403" s="60" t="n">
        <f aca="false">SUMPRODUCT(CJ403:CU403,FJ403:FU403)</f>
        <v>0.184416866619846</v>
      </c>
      <c r="FW403" s="60" t="n">
        <f aca="false">SUMPRODUCT(CJ403:CU403,$E$27:$P$27)</f>
        <v>2.67389635063809E-005</v>
      </c>
      <c r="FX403" s="60" t="n">
        <f aca="false">FV403*$C$9/($C$10*$C$8)^2</f>
        <v>0.21776909410545</v>
      </c>
      <c r="FY403" s="60" t="n">
        <f aca="false">FW403*$C$9/($C$10*$C$8)</f>
        <v>0.0918845243259994</v>
      </c>
      <c r="FZ403" s="60" t="n">
        <f aca="false">CHOOSE($C$7,-(1+FY403),-1,-(1-FY403))</f>
        <v>-0.908115475674001</v>
      </c>
      <c r="GA403" s="60" t="n">
        <f aca="false">CHOOSE($C$7,FX403,FX403-FY403-FY403^2,FX403-3*FY403^2-2*FY403)</f>
        <v>0.00867174802160559</v>
      </c>
      <c r="GB403" s="60" t="n">
        <f aca="false">CHOOSE($C$7,-FX403*FY403,-FX403*FY403,-(FX403*FY403-FY403^2-FY403^3))</f>
        <v>-0.0107910842936637</v>
      </c>
      <c r="GC403" s="60" t="n">
        <f aca="false">GA403-FZ403^2/3</f>
        <v>-0.266219491031267</v>
      </c>
      <c r="GD403" s="60" t="n">
        <f aca="false">2*FZ403^3/27-FZ403*GA403/3+GB403</f>
        <v>-0.0636400988362784</v>
      </c>
      <c r="GE403" s="60" t="n">
        <f aca="false">GD403^2/4+GC403^3/27</f>
        <v>0.000313710901361829</v>
      </c>
      <c r="GF403" s="60" t="n">
        <f aca="false">-GD403/2-IF(GD403&gt;=0,1,-1)*SQRT(MAX(GE403,0))</f>
        <v>0.0495319352963236</v>
      </c>
      <c r="GG403" s="60" t="n">
        <f aca="false">SIGN(GF403)*ABS(GF403)^(1/3)</f>
        <v>0.367249967174439</v>
      </c>
      <c r="GH403" s="60" t="n">
        <f aca="false">IF(GG403=0,0,GG403-GC403/(3*GG403))</f>
        <v>0.60888329127384</v>
      </c>
      <c r="GI403" s="60" t="n">
        <f aca="false">2*SQRT(MAX(-GC403,0)/3)</f>
        <v>0.595784626668918</v>
      </c>
      <c r="GJ403" s="60" t="n">
        <f aca="false">ACOS(IF(GI403=0,0,MAX(-1,MIN(1,3*GD403/(GC403*GI403)))))</f>
        <v>0</v>
      </c>
      <c r="GK403" s="60" t="n">
        <f aca="false">GI403*COS(GJ403/3)</f>
        <v>0.595784626668918</v>
      </c>
      <c r="GL403" s="60" t="n">
        <f aca="false">IF(GE403&lt;0,GK403,GH403)-FZ403/3</f>
        <v>0.91158844983184</v>
      </c>
      <c r="GM403" s="60" t="n">
        <f aca="false">IFERROR((((GL403+FZ403)*GL403+GA403)*GL403+GB403)/((3*GL403+2*FZ403)*GL403+GA403),0)</f>
        <v>0</v>
      </c>
      <c r="GN403" s="60" t="n">
        <f aca="false">IF(ABS(GM403)&lt;0.1*ABS(GL403),GL403-GM403,GL403)</f>
        <v>0.91158844983184</v>
      </c>
      <c r="GO403" s="60" t="n">
        <f aca="false">IFERROR((((GN403+FZ403)*GN403+GA403)*GN403+GB403)/((3*GN403+2*FZ403)*GN403+GA403),0)</f>
        <v>0</v>
      </c>
      <c r="GP403" s="60" t="n">
        <f aca="false">IF(ABS(GO403)&lt;0.1*ABS(GN403),GN403-GO403,GN403)</f>
        <v>0.91158844983184</v>
      </c>
      <c r="GQ403" s="60" t="n">
        <f aca="false">-GB403/GP403</f>
        <v>0.0118376711504565</v>
      </c>
      <c r="GR403" s="60" t="n">
        <f aca="false">(GA403-GQ403)/GP403</f>
        <v>-0.00347297415783941</v>
      </c>
      <c r="GS403" s="60" t="n">
        <f aca="false">GR403^2-4*GQ403</f>
        <v>-0.0473386230523248</v>
      </c>
      <c r="GT403" s="60" t="n">
        <f aca="false">IF(GS403&gt;=0,(GR403+IF(GR403&gt;=0,1,-1)*SQRT(GS403))/2,0)</f>
        <v>0</v>
      </c>
      <c r="GU403" s="60" t="n">
        <f aca="false">IF(AND(GS403&gt;=0,GT403&lt;&gt;0),MIN(GT403,GQ403/GT403),-1)</f>
        <v>-1</v>
      </c>
      <c r="GV403" s="60" t="n">
        <f aca="false">AND(GS403&gt;=0,GU403&gt;FY403,ABS(GP403-GU403)&gt;=0.00005*MAX(GP403,GU403))</f>
        <v>0</v>
      </c>
      <c r="GW403" s="60" t="n">
        <f aca="false">IF(GV403,IFERROR((((GU403+FZ403)*GU403+GA403)*GU403+GB403)/((3*GU403+2*FZ403)*GU403+GA403),0),0)</f>
        <v>0</v>
      </c>
      <c r="GX403" s="60" t="n">
        <f aca="false">IF(ABS(GW403)&lt;0.1*ABS(GU403),GU403-GW403,GU403)</f>
        <v>-1</v>
      </c>
      <c r="GY403" s="60" t="n">
        <f aca="false">IF(GV403,IFERROR((((GX403+FZ403)*GX403+GA403)*GX403+GB403)/((3*GX403+2*FZ403)*GX403+GA403),0),0)</f>
        <v>0</v>
      </c>
      <c r="GZ403" s="60" t="n">
        <f aca="false">IF(ABS(GY403)&lt;0.1*ABS(GX403),GX403-GY403,GX403)</f>
        <v>-1</v>
      </c>
      <c r="HA403" s="60" t="n">
        <f aca="false">IF(GV403,MAX(GP403,GZ403),GP403)</f>
        <v>0.91158844983184</v>
      </c>
      <c r="HB403" s="60" t="n">
        <f aca="false">IF(GV403,MIN(GP403,GZ403),-1)</f>
        <v>-1</v>
      </c>
      <c r="HC403" s="60" t="n">
        <f aca="false">CHOOSE($C$7,FX403/HA403,FX403/FY403*LN(1+FY403/HA403),FX403/(2*SQRT(2)*FY403)*LN((HA403+(1+SQRT(2))*FY403)/(HA403+(1-SQRT(2))*FY403)))</f>
        <v>0.218240791233887</v>
      </c>
      <c r="HD403" s="60" t="n">
        <f aca="false">HA403-1-LN(HA403-FY403)-HC403</f>
        <v>-0.107840271021729</v>
      </c>
      <c r="HE403" s="60" t="n">
        <f aca="false">IF(GV403,CHOOSE($C$7,FX403/HB403,FX403/FY403*LN(1+FY403/HB403),FX403/(2*SQRT(2)*FY403)*LN((HB403+(1+SQRT(2))*FY403)/(HB403+(1-SQRT(2))*FY403))),0)</f>
        <v>0</v>
      </c>
      <c r="HF403" s="60" t="n">
        <f aca="false">IF(GV403,HB403-1-LN(HB403-FY403)-HE403,0)</f>
        <v>0</v>
      </c>
      <c r="HG403" s="60" t="n">
        <f aca="false">AND(GV403,HF403&lt;HD403)</f>
        <v>0</v>
      </c>
      <c r="HH403" s="60" t="n">
        <f aca="false">IF(HG403,HB403,HA403)</f>
        <v>0.91158844983184</v>
      </c>
      <c r="HI403" s="60" t="n">
        <f aca="false">IF(HG403,HE403,HC403)</f>
        <v>0.218240791233887</v>
      </c>
      <c r="HJ403" s="60" t="n">
        <f aca="false">LN(HH403-FY403)</f>
        <v>-0.198812070380318</v>
      </c>
      <c r="HK403" s="60" t="n">
        <f aca="false">$E$27/FW403*(HH403-1)-HJ403-HI403*(2*FJ403/FV403-$E$27/FW403)</f>
        <v>-0.107840271021729</v>
      </c>
      <c r="HL403" s="60" t="n">
        <f aca="false">$F$27/FW403*(HH403-1)-HJ403-HI403*(2*FK403/FV403-$F$27/FW403)</f>
        <v>0.198812070380318</v>
      </c>
      <c r="HM403" s="60" t="n">
        <f aca="false">$G$27/FW403*(HH403-1)-HJ403-HI403*(2*FL403/FV403-$G$27/FW403)</f>
        <v>0.198812070380318</v>
      </c>
      <c r="HN403" s="60" t="n">
        <f aca="false">$H$27/FW403*(HH403-1)-HJ403-HI403*(2*FM403/FV403-$H$27/FW403)</f>
        <v>0.198812070380318</v>
      </c>
      <c r="HO403" s="60" t="n">
        <f aca="false">$I$27/FW403*(HH403-1)-HJ403-HI403*(2*FN403/FV403-$I$27/FW403)</f>
        <v>0.198812070380318</v>
      </c>
      <c r="HP403" s="60" t="n">
        <f aca="false">$J$27/FW403*(HH403-1)-HJ403-HI403*(2*FO403/FV403-$J$27/FW403)</f>
        <v>0.198812070380318</v>
      </c>
      <c r="HQ403" s="60" t="n">
        <f aca="false">$K$27/FW403*(HH403-1)-HJ403-HI403*(2*FP403/FV403-$K$27/FW403)</f>
        <v>0.198812070380318</v>
      </c>
      <c r="HR403" s="60" t="n">
        <f aca="false">$L$27/FW403*(HH403-1)-HJ403-HI403*(2*FQ403/FV403-$L$27/FW403)</f>
        <v>0.198812070380318</v>
      </c>
      <c r="HS403" s="60" t="n">
        <f aca="false">$M$27/FW403*(HH403-1)-HJ403-HI403*(2*FR403/FV403-$M$27/FW403)</f>
        <v>0.198812070380318</v>
      </c>
      <c r="HT403" s="60" t="n">
        <f aca="false">$N$27/FW403*(HH403-1)-HJ403-HI403*(2*FS403/FV403-$N$27/FW403)</f>
        <v>0.198812070380318</v>
      </c>
      <c r="HU403" s="60" t="n">
        <f aca="false">$O$27/FW403*(HH403-1)-HJ403-HI403*(2*FT403/FV403-$O$27/FW403)</f>
        <v>0.198812070380318</v>
      </c>
      <c r="HV403" s="60" t="n">
        <f aca="false">$P$27/FW403*(HH403-1)-HJ403-HI403*(2*FU403/FV403-$P$27/FW403)</f>
        <v>0.198812070380318</v>
      </c>
      <c r="HW403" s="60" t="n">
        <f aca="false">FY403/HH403&gt;$C$22</f>
        <v>0</v>
      </c>
      <c r="HX403" s="60" t="n">
        <f aca="false">IF($E$13&gt;0,MAX(-300,MIN(300,EW403-HK403)),0)</f>
        <v>0</v>
      </c>
      <c r="HY403" s="60" t="n">
        <f aca="false">IF($F$13&gt;0,MAX(-300,MIN(300,EX403-HL403)),0)</f>
        <v>0</v>
      </c>
      <c r="HZ403" s="60" t="n">
        <f aca="false">IF($G$13&gt;0,MAX(-300,MIN(300,EY403-HM403)),0)</f>
        <v>0</v>
      </c>
      <c r="IA403" s="60" t="n">
        <f aca="false">IF($H$13&gt;0,MAX(-300,MIN(300,EZ403-HN403)),0)</f>
        <v>0</v>
      </c>
      <c r="IB403" s="60" t="n">
        <f aca="false">IF($I$13&gt;0,MAX(-300,MIN(300,FA403-HO403)),0)</f>
        <v>0</v>
      </c>
      <c r="IC403" s="60" t="n">
        <f aca="false">IF($J$13&gt;0,MAX(-300,MIN(300,FB403-HP403)),0)</f>
        <v>0</v>
      </c>
      <c r="ID403" s="60" t="n">
        <f aca="false">IF($K$13&gt;0,MAX(-300,MIN(300,FC403-HQ403)),0)</f>
        <v>0</v>
      </c>
      <c r="IE403" s="60" t="n">
        <f aca="false">IF($L$13&gt;0,MAX(-300,MIN(300,FD403-HR403)),0)</f>
        <v>0</v>
      </c>
      <c r="IF403" s="60" t="n">
        <f aca="false">IF($M$13&gt;0,MAX(-300,MIN(300,FE403-HS403)),0)</f>
        <v>0</v>
      </c>
      <c r="IG403" s="60" t="n">
        <f aca="false">IF($N$13&gt;0,MAX(-300,MIN(300,FF403-HT403)),0)</f>
        <v>0</v>
      </c>
      <c r="IH403" s="60" t="n">
        <f aca="false">IF($O$13&gt;0,MAX(-300,MIN(300,FG403-HU403)),0)</f>
        <v>0</v>
      </c>
      <c r="II403" s="60" t="n">
        <f aca="false">IF($P$13&gt;0,MAX(-300,MIN(300,FH403-HV403)),0)</f>
        <v>0</v>
      </c>
      <c r="IJ403" s="60" t="n">
        <f aca="false">SUMXMY2(HX403:II403,B403:M403)</f>
        <v>0</v>
      </c>
      <c r="IK403" s="60" t="n">
        <f aca="false">SUMSQ(B403:M403)</f>
        <v>0</v>
      </c>
    </row>
    <row r="404" customFormat="false" ht="15" hidden="false" customHeight="false" outlineLevel="0" collapsed="false">
      <c r="A404" s="59" t="n">
        <v>43</v>
      </c>
      <c r="B404" s="60" t="n">
        <f aca="false">HX403</f>
        <v>0</v>
      </c>
      <c r="C404" s="60" t="n">
        <f aca="false">HY403</f>
        <v>0</v>
      </c>
      <c r="D404" s="60" t="n">
        <f aca="false">HZ403</f>
        <v>0</v>
      </c>
      <c r="E404" s="60" t="n">
        <f aca="false">IA403</f>
        <v>0</v>
      </c>
      <c r="F404" s="60" t="n">
        <f aca="false">IB403</f>
        <v>0</v>
      </c>
      <c r="G404" s="60" t="n">
        <f aca="false">IC403</f>
        <v>0</v>
      </c>
      <c r="H404" s="60" t="n">
        <f aca="false">ID403</f>
        <v>0</v>
      </c>
      <c r="I404" s="60" t="n">
        <f aca="false">IE403</f>
        <v>0</v>
      </c>
      <c r="J404" s="60" t="n">
        <f aca="false">IF403</f>
        <v>0</v>
      </c>
      <c r="K404" s="60" t="n">
        <f aca="false">IG403</f>
        <v>0</v>
      </c>
      <c r="L404" s="60" t="n">
        <f aca="false">IH403</f>
        <v>0</v>
      </c>
      <c r="M404" s="60" t="n">
        <f aca="false">II403</f>
        <v>0</v>
      </c>
      <c r="N404" s="60" t="n">
        <f aca="false">EXP(B404)</f>
        <v>1</v>
      </c>
      <c r="O404" s="60" t="n">
        <f aca="false">EXP(C404)</f>
        <v>1</v>
      </c>
      <c r="P404" s="60" t="n">
        <f aca="false">EXP(D404)</f>
        <v>1</v>
      </c>
      <c r="Q404" s="60" t="n">
        <f aca="false">EXP(E404)</f>
        <v>1</v>
      </c>
      <c r="R404" s="60" t="n">
        <f aca="false">EXP(F404)</f>
        <v>1</v>
      </c>
      <c r="S404" s="60" t="n">
        <f aca="false">EXP(G404)</f>
        <v>1</v>
      </c>
      <c r="T404" s="60" t="n">
        <f aca="false">EXP(H404)</f>
        <v>1</v>
      </c>
      <c r="U404" s="60" t="n">
        <f aca="false">EXP(I404)</f>
        <v>1</v>
      </c>
      <c r="V404" s="60" t="n">
        <f aca="false">EXP(J404)</f>
        <v>1</v>
      </c>
      <c r="W404" s="60" t="n">
        <f aca="false">EXP(K404)</f>
        <v>1</v>
      </c>
      <c r="X404" s="60" t="n">
        <f aca="false">EXP(L404)</f>
        <v>1</v>
      </c>
      <c r="Y404" s="60" t="n">
        <f aca="false">EXP(M404)</f>
        <v>1</v>
      </c>
      <c r="Z404" s="60" t="n">
        <f aca="false">MAX(N404:Y404)</f>
        <v>1</v>
      </c>
      <c r="AA404" s="60" t="n">
        <f aca="false">MIN(N404:Y404)</f>
        <v>1</v>
      </c>
      <c r="AB404" s="60" t="n">
        <f aca="false">AND(Z404&gt;1,AA404&lt;1)</f>
        <v>0</v>
      </c>
      <c r="AC404" s="60" t="n">
        <f aca="false">IF(AB404,1/(1-Z404),0)</f>
        <v>0</v>
      </c>
      <c r="AD404" s="60" t="n">
        <f aca="false">IF(AB404,1/(1-AA404),1)</f>
        <v>1</v>
      </c>
      <c r="AE404" s="60" t="n">
        <f aca="false">IF(AB404,MIN(MAX(BI403,AC404+0.000000001*(AD404-AC404)),AD404-0.000000001*(AD404-AC404)),IF(AA404&gt;=1,1,0))</f>
        <v>1</v>
      </c>
      <c r="AF404" s="60" t="n">
        <f aca="false">SUMPRODUCT($E$13:$P$13*(N404:Y404-1)/(1+AE404*(N404:Y404-1)))</f>
        <v>0</v>
      </c>
      <c r="AG404" s="60" t="n">
        <f aca="false">-SUMPRODUCT($E$13:$P$13*(N404:Y404-1)^2/(1+AE404*(N404:Y404-1))^2)</f>
        <v>-0</v>
      </c>
      <c r="AH404" s="60" t="n">
        <f aca="false">IF(OR(NOT(AB404),AG404=0),AE404,IF(AE404-AF404/AG404&lt;=AC404,(AE404+AC404)/2,IF(AE404-AF404/AG404&gt;=AD404,(AE404+AD404)/2,AE404-AF404/AG404)))</f>
        <v>1</v>
      </c>
      <c r="AI404" s="60" t="n">
        <f aca="false">SUMPRODUCT($E$13:$P$13*(N404:Y404-1)/(1+AH404*(N404:Y404-1)))</f>
        <v>0</v>
      </c>
      <c r="AJ404" s="60" t="n">
        <f aca="false">-SUMPRODUCT($E$13:$P$13*(N404:Y404-1)^2/(1+AH404*(N404:Y404-1))^2)</f>
        <v>-0</v>
      </c>
      <c r="AK404" s="60" t="n">
        <f aca="false">IF(OR(NOT(AB404),AJ404=0),AH404,IF(AH404-AI404/AJ404&lt;=AC404,(AH404+AC404)/2,IF(AH404-AI404/AJ404&gt;=AD404,(AH404+AD404)/2,AH404-AI404/AJ404)))</f>
        <v>1</v>
      </c>
      <c r="AL404" s="60" t="n">
        <f aca="false">SUMPRODUCT($E$13:$P$13*(N404:Y404-1)/(1+AK404*(N404:Y404-1)))</f>
        <v>0</v>
      </c>
      <c r="AM404" s="60" t="n">
        <f aca="false">-SUMPRODUCT($E$13:$P$13*(N404:Y404-1)^2/(1+AK404*(N404:Y404-1))^2)</f>
        <v>-0</v>
      </c>
      <c r="AN404" s="60" t="n">
        <f aca="false">IF(OR(NOT(AB404),AM404=0),AK404,IF(AK404-AL404/AM404&lt;=AC404,(AK404+AC404)/2,IF(AK404-AL404/AM404&gt;=AD404,(AK404+AD404)/2,AK404-AL404/AM404)))</f>
        <v>1</v>
      </c>
      <c r="AO404" s="60" t="n">
        <f aca="false">SUMPRODUCT($E$13:$P$13*(N404:Y404-1)/(1+AN404*(N404:Y404-1)))</f>
        <v>0</v>
      </c>
      <c r="AP404" s="60" t="n">
        <f aca="false">-SUMPRODUCT($E$13:$P$13*(N404:Y404-1)^2/(1+AN404*(N404:Y404-1))^2)</f>
        <v>-0</v>
      </c>
      <c r="AQ404" s="60" t="n">
        <f aca="false">IF(OR(NOT(AB404),AP404=0),AN404,IF(AN404-AO404/AP404&lt;=AC404,(AN404+AC404)/2,IF(AN404-AO404/AP404&gt;=AD404,(AN404+AD404)/2,AN404-AO404/AP404)))</f>
        <v>1</v>
      </c>
      <c r="AR404" s="60" t="n">
        <f aca="false">SUMPRODUCT($E$13:$P$13*(N404:Y404-1)/(1+AQ404*(N404:Y404-1)))</f>
        <v>0</v>
      </c>
      <c r="AS404" s="60" t="n">
        <f aca="false">-SUMPRODUCT($E$13:$P$13*(N404:Y404-1)^2/(1+AQ404*(N404:Y404-1))^2)</f>
        <v>-0</v>
      </c>
      <c r="AT404" s="60" t="n">
        <f aca="false">IF(OR(NOT(AB404),AS404=0),AQ404,IF(AQ404-AR404/AS404&lt;=AC404,(AQ404+AC404)/2,IF(AQ404-AR404/AS404&gt;=AD404,(AQ404+AD404)/2,AQ404-AR404/AS404)))</f>
        <v>1</v>
      </c>
      <c r="AU404" s="60" t="n">
        <f aca="false">SUMPRODUCT($E$13:$P$13*(N404:Y404-1)/(1+AT404*(N404:Y404-1)))</f>
        <v>0</v>
      </c>
      <c r="AV404" s="60" t="n">
        <f aca="false">-SUMPRODUCT($E$13:$P$13*(N404:Y404-1)^2/(1+AT404*(N404:Y404-1))^2)</f>
        <v>-0</v>
      </c>
      <c r="AW404" s="60" t="n">
        <f aca="false">IF(OR(NOT(AB404),AV404=0),AT404,IF(AT404-AU404/AV404&lt;=AC404,(AT404+AC404)/2,IF(AT404-AU404/AV404&gt;=AD404,(AT404+AD404)/2,AT404-AU404/AV404)))</f>
        <v>1</v>
      </c>
      <c r="AX404" s="60" t="n">
        <f aca="false">SUMPRODUCT($E$13:$P$13*(N404:Y404-1)/(1+AW404*(N404:Y404-1)))</f>
        <v>0</v>
      </c>
      <c r="AY404" s="60" t="n">
        <f aca="false">-SUMPRODUCT($E$13:$P$13*(N404:Y404-1)^2/(1+AW404*(N404:Y404-1))^2)</f>
        <v>-0</v>
      </c>
      <c r="AZ404" s="60" t="n">
        <f aca="false">IF(OR(NOT(AB404),AY404=0),AW404,IF(AW404-AX404/AY404&lt;=AC404,(AW404+AC404)/2,IF(AW404-AX404/AY404&gt;=AD404,(AW404+AD404)/2,AW404-AX404/AY404)))</f>
        <v>1</v>
      </c>
      <c r="BA404" s="60" t="n">
        <f aca="false">SUMPRODUCT($E$13:$P$13*(N404:Y404-1)/(1+AZ404*(N404:Y404-1)))</f>
        <v>0</v>
      </c>
      <c r="BB404" s="60" t="n">
        <f aca="false">-SUMPRODUCT($E$13:$P$13*(N404:Y404-1)^2/(1+AZ404*(N404:Y404-1))^2)</f>
        <v>-0</v>
      </c>
      <c r="BC404" s="60" t="n">
        <f aca="false">IF(OR(NOT(AB404),BB404=0),AZ404,IF(AZ404-BA404/BB404&lt;=AC404,(AZ404+AC404)/2,IF(AZ404-BA404/BB404&gt;=AD404,(AZ404+AD404)/2,AZ404-BA404/BB404)))</f>
        <v>1</v>
      </c>
      <c r="BD404" s="60" t="n">
        <f aca="false">SUMPRODUCT($E$13:$P$13*(N404:Y404-1)/(1+BC404*(N404:Y404-1)))</f>
        <v>0</v>
      </c>
      <c r="BE404" s="60" t="n">
        <f aca="false">-SUMPRODUCT($E$13:$P$13*(N404:Y404-1)^2/(1+BC404*(N404:Y404-1))^2)</f>
        <v>-0</v>
      </c>
      <c r="BF404" s="60" t="n">
        <f aca="false">IF(OR(NOT(AB404),BE404=0),BC404,IF(BC404-BD404/BE404&lt;=AC404,(BC404+AC404)/2,IF(BC404-BD404/BE404&gt;=AD404,(BC404+AD404)/2,BC404-BD404/BE404)))</f>
        <v>1</v>
      </c>
      <c r="BG404" s="60" t="n">
        <f aca="false">SUMPRODUCT($E$13:$P$13*(N404:Y404-1)/(1+BF404*(N404:Y404-1)))</f>
        <v>0</v>
      </c>
      <c r="BH404" s="60" t="n">
        <f aca="false">-SUMPRODUCT($E$13:$P$13*(N404:Y404-1)^2/(1+BF404*(N404:Y404-1))^2)</f>
        <v>-0</v>
      </c>
      <c r="BI404" s="60" t="n">
        <f aca="false">IF(OR(NOT(AB404),BH404=0),BF404,IF(BF404-BG404/BH404&lt;=AC404,(BF404+AC404)/2,IF(BF404-BG404/BH404&gt;=AD404,(BF404+AD404)/2,BF404-BG404/BH404)))</f>
        <v>1</v>
      </c>
      <c r="BJ404" s="60" t="n">
        <f aca="false">$E$13/(1+BI404*(N404-1))</f>
        <v>1</v>
      </c>
      <c r="BK404" s="60" t="n">
        <f aca="false">$F$13/(1+BI404*(O404-1))</f>
        <v>0</v>
      </c>
      <c r="BL404" s="60" t="n">
        <f aca="false">$G$13/(1+BI404*(P404-1))</f>
        <v>0</v>
      </c>
      <c r="BM404" s="60" t="n">
        <f aca="false">$H$13/(1+BI404*(Q404-1))</f>
        <v>0</v>
      </c>
      <c r="BN404" s="60" t="n">
        <f aca="false">$I$13/(1+BI404*(R404-1))</f>
        <v>0</v>
      </c>
      <c r="BO404" s="60" t="n">
        <f aca="false">$J$13/(1+BI404*(S404-1))</f>
        <v>0</v>
      </c>
      <c r="BP404" s="60" t="n">
        <f aca="false">$K$13/(1+BI404*(T404-1))</f>
        <v>0</v>
      </c>
      <c r="BQ404" s="60" t="n">
        <f aca="false">$L$13/(1+BI404*(U404-1))</f>
        <v>0</v>
      </c>
      <c r="BR404" s="60" t="n">
        <f aca="false">$M$13/(1+BI404*(V404-1))</f>
        <v>0</v>
      </c>
      <c r="BS404" s="60" t="n">
        <f aca="false">$N$13/(1+BI404*(W404-1))</f>
        <v>0</v>
      </c>
      <c r="BT404" s="60" t="n">
        <f aca="false">$O$13/(1+BI404*(X404-1))</f>
        <v>0</v>
      </c>
      <c r="BU404" s="60" t="n">
        <f aca="false">$P$13/(1+BI404*(Y404-1))</f>
        <v>0</v>
      </c>
      <c r="BV404" s="60" t="n">
        <f aca="false">SUM(BJ404:BU404)</f>
        <v>1</v>
      </c>
      <c r="BW404" s="60" t="n">
        <f aca="false">SUMPRODUCT(N404:Y404,BJ404:BU404)</f>
        <v>1</v>
      </c>
      <c r="BX404" s="60" t="n">
        <f aca="false">BJ404/BV404</f>
        <v>1</v>
      </c>
      <c r="BY404" s="60" t="n">
        <f aca="false">BK404/BV404</f>
        <v>0</v>
      </c>
      <c r="BZ404" s="60" t="n">
        <f aca="false">BL404/BV404</f>
        <v>0</v>
      </c>
      <c r="CA404" s="60" t="n">
        <f aca="false">BM404/BV404</f>
        <v>0</v>
      </c>
      <c r="CB404" s="60" t="n">
        <f aca="false">BN404/BV404</f>
        <v>0</v>
      </c>
      <c r="CC404" s="60" t="n">
        <f aca="false">BO404/BV404</f>
        <v>0</v>
      </c>
      <c r="CD404" s="60" t="n">
        <f aca="false">BP404/BV404</f>
        <v>0</v>
      </c>
      <c r="CE404" s="60" t="n">
        <f aca="false">BQ404/BV404</f>
        <v>0</v>
      </c>
      <c r="CF404" s="60" t="n">
        <f aca="false">BR404/BV404</f>
        <v>0</v>
      </c>
      <c r="CG404" s="60" t="n">
        <f aca="false">BS404/BV404</f>
        <v>0</v>
      </c>
      <c r="CH404" s="60" t="n">
        <f aca="false">BT404/BV404</f>
        <v>0</v>
      </c>
      <c r="CI404" s="60" t="n">
        <f aca="false">BU404/BV404</f>
        <v>0</v>
      </c>
      <c r="CJ404" s="60" t="n">
        <f aca="false">N404*BJ404/BW404</f>
        <v>1</v>
      </c>
      <c r="CK404" s="60" t="n">
        <f aca="false">O404*BK404/BW404</f>
        <v>0</v>
      </c>
      <c r="CL404" s="60" t="n">
        <f aca="false">P404*BL404/BW404</f>
        <v>0</v>
      </c>
      <c r="CM404" s="60" t="n">
        <f aca="false">Q404*BM404/BW404</f>
        <v>0</v>
      </c>
      <c r="CN404" s="60" t="n">
        <f aca="false">R404*BN404/BW404</f>
        <v>0</v>
      </c>
      <c r="CO404" s="60" t="n">
        <f aca="false">S404*BO404/BW404</f>
        <v>0</v>
      </c>
      <c r="CP404" s="60" t="n">
        <f aca="false">T404*BP404/BW404</f>
        <v>0</v>
      </c>
      <c r="CQ404" s="60" t="n">
        <f aca="false">U404*BQ404/BW404</f>
        <v>0</v>
      </c>
      <c r="CR404" s="60" t="n">
        <f aca="false">V404*BR404/BW404</f>
        <v>0</v>
      </c>
      <c r="CS404" s="60" t="n">
        <f aca="false">W404*BS404/BW404</f>
        <v>0</v>
      </c>
      <c r="CT404" s="60" t="n">
        <f aca="false">X404*BT404/BW404</f>
        <v>0</v>
      </c>
      <c r="CU404" s="60" t="n">
        <f aca="false">Y404*BU404/BW404</f>
        <v>0</v>
      </c>
      <c r="CV404" s="60" t="n">
        <f aca="false">$E$28*SUMPRODUCT($E$31:$P$31,BX404:CI404,$E$28:$P$28)</f>
        <v>0.184416866619846</v>
      </c>
      <c r="CW404" s="60" t="n">
        <f aca="false">$F$28*SUMPRODUCT($E$32:$P$32,BX404:CI404,$E$28:$P$28)</f>
        <v>0</v>
      </c>
      <c r="CX404" s="60" t="n">
        <f aca="false">$G$28*SUMPRODUCT($E$33:$P$33,BX404:CI404,$E$28:$P$28)</f>
        <v>0</v>
      </c>
      <c r="CY404" s="60" t="n">
        <f aca="false">$H$28*SUMPRODUCT($E$34:$P$34,BX404:CI404,$E$28:$P$28)</f>
        <v>0</v>
      </c>
      <c r="CZ404" s="60" t="n">
        <f aca="false">$I$28*SUMPRODUCT($E$35:$P$35,BX404:CI404,$E$28:$P$28)</f>
        <v>0</v>
      </c>
      <c r="DA404" s="60" t="n">
        <f aca="false">$J$28*SUMPRODUCT($E$36:$P$36,BX404:CI404,$E$28:$P$28)</f>
        <v>0</v>
      </c>
      <c r="DB404" s="60" t="n">
        <f aca="false">$K$28*SUMPRODUCT($E$37:$P$37,BX404:CI404,$E$28:$P$28)</f>
        <v>0</v>
      </c>
      <c r="DC404" s="60" t="n">
        <f aca="false">$L$28*SUMPRODUCT($E$38:$P$38,BX404:CI404,$E$28:$P$28)</f>
        <v>0</v>
      </c>
      <c r="DD404" s="60" t="n">
        <f aca="false">$M$28*SUMPRODUCT($E$39:$P$39,BX404:CI404,$E$28:$P$28)</f>
        <v>0</v>
      </c>
      <c r="DE404" s="60" t="n">
        <f aca="false">$N$28*SUMPRODUCT($E$40:$P$40,BX404:CI404,$E$28:$P$28)</f>
        <v>0</v>
      </c>
      <c r="DF404" s="60" t="n">
        <f aca="false">$O$28*SUMPRODUCT($E$41:$P$41,BX404:CI404,$E$28:$P$28)</f>
        <v>0</v>
      </c>
      <c r="DG404" s="60" t="n">
        <f aca="false">$P$28*SUMPRODUCT($E$42:$P$42,BX404:CI404,$E$28:$P$28)</f>
        <v>0</v>
      </c>
      <c r="DH404" s="60" t="n">
        <f aca="false">SUMPRODUCT(BX404:CI404,CV404:DG404)</f>
        <v>0.184416866619846</v>
      </c>
      <c r="DI404" s="60" t="n">
        <f aca="false">SUMPRODUCT(BX404:CI404,$E$27:$P$27)</f>
        <v>2.67389635063809E-005</v>
      </c>
      <c r="DJ404" s="60" t="n">
        <f aca="false">DH404*$C$9/($C$10*$C$8)^2</f>
        <v>0.21776909410545</v>
      </c>
      <c r="DK404" s="60" t="n">
        <f aca="false">DI404*$C$9/($C$10*$C$8)</f>
        <v>0.0918845243259994</v>
      </c>
      <c r="DL404" s="60" t="n">
        <f aca="false">CHOOSE($C$7,-(1+DK404),-1,-(1-DK404))</f>
        <v>-0.908115475674001</v>
      </c>
      <c r="DM404" s="60" t="n">
        <f aca="false">CHOOSE($C$7,DJ404,DJ404-DK404-DK404^2,DJ404-3*DK404^2-2*DK404)</f>
        <v>0.00867174802160559</v>
      </c>
      <c r="DN404" s="60" t="n">
        <f aca="false">CHOOSE($C$7,-DJ404*DK404,-DJ404*DK404,-(DJ404*DK404-DK404^2-DK404^3))</f>
        <v>-0.0107910842936637</v>
      </c>
      <c r="DO404" s="60" t="n">
        <f aca="false">DM404-DL404^2/3</f>
        <v>-0.266219491031267</v>
      </c>
      <c r="DP404" s="60" t="n">
        <f aca="false">2*DL404^3/27-DL404*DM404/3+DN404</f>
        <v>-0.0636400988362784</v>
      </c>
      <c r="DQ404" s="60" t="n">
        <f aca="false">DP404^2/4+DO404^3/27</f>
        <v>0.000313710901361829</v>
      </c>
      <c r="DR404" s="60" t="n">
        <f aca="false">-DP404/2-IF(DP404&gt;=0,1,-1)*SQRT(MAX(DQ404,0))</f>
        <v>0.0495319352963236</v>
      </c>
      <c r="DS404" s="60" t="n">
        <f aca="false">SIGN(DR404)*ABS(DR404)^(1/3)</f>
        <v>0.367249967174439</v>
      </c>
      <c r="DT404" s="60" t="n">
        <f aca="false">IF(DS404=0,0,DS404-DO404/(3*DS404))</f>
        <v>0.60888329127384</v>
      </c>
      <c r="DU404" s="60" t="n">
        <f aca="false">2*SQRT(MAX(-DO404,0)/3)</f>
        <v>0.595784626668918</v>
      </c>
      <c r="DV404" s="60" t="n">
        <f aca="false">ACOS(IF(DU404=0,0,MAX(-1,MIN(1,3*DP404/(DO404*DU404)))))</f>
        <v>0</v>
      </c>
      <c r="DW404" s="60" t="n">
        <f aca="false">DU404*COS(DV404/3)</f>
        <v>0.595784626668918</v>
      </c>
      <c r="DX404" s="60" t="n">
        <f aca="false">IF(DQ404&lt;0,DW404,DT404)-DL404/3</f>
        <v>0.91158844983184</v>
      </c>
      <c r="DY404" s="60" t="n">
        <f aca="false">IFERROR((((DX404+DL404)*DX404+DM404)*DX404+DN404)/((3*DX404+2*DL404)*DX404+DM404),0)</f>
        <v>0</v>
      </c>
      <c r="DZ404" s="60" t="n">
        <f aca="false">IF(ABS(DY404)&lt;0.1*ABS(DX404),DX404-DY404,DX404)</f>
        <v>0.91158844983184</v>
      </c>
      <c r="EA404" s="60" t="n">
        <f aca="false">IFERROR((((DZ404+DL404)*DZ404+DM404)*DZ404+DN404)/((3*DZ404+2*DL404)*DZ404+DM404),0)</f>
        <v>0</v>
      </c>
      <c r="EB404" s="60" t="n">
        <f aca="false">IF(ABS(EA404)&lt;0.1*ABS(DZ404),DZ404-EA404,DZ404)</f>
        <v>0.91158844983184</v>
      </c>
      <c r="EC404" s="60" t="n">
        <f aca="false">-DN404/EB404</f>
        <v>0.0118376711504565</v>
      </c>
      <c r="ED404" s="60" t="n">
        <f aca="false">(DM404-EC404)/EB404</f>
        <v>-0.00347297415783941</v>
      </c>
      <c r="EE404" s="60" t="n">
        <f aca="false">ED404^2-4*EC404</f>
        <v>-0.0473386230523248</v>
      </c>
      <c r="EF404" s="60" t="n">
        <f aca="false">IF(EE404&gt;=0,(ED404+IF(ED404&gt;=0,1,-1)*SQRT(EE404))/2,0)</f>
        <v>0</v>
      </c>
      <c r="EG404" s="60" t="n">
        <f aca="false">IF(AND(EE404&gt;=0,EF404&lt;&gt;0),MIN(EF404,EC404/EF404),-1)</f>
        <v>-1</v>
      </c>
      <c r="EH404" s="60" t="n">
        <f aca="false">AND(EE404&gt;=0,EG404&gt;DK404,ABS(EB404-EG404)&gt;=0.00005*MAX(EB404,EG404))</f>
        <v>0</v>
      </c>
      <c r="EI404" s="60" t="n">
        <f aca="false">IF(EH404,IFERROR((((EG404+DL404)*EG404+DM404)*EG404+DN404)/((3*EG404+2*DL404)*EG404+DM404),0),0)</f>
        <v>0</v>
      </c>
      <c r="EJ404" s="60" t="n">
        <f aca="false">IF(ABS(EI404)&lt;0.1*ABS(EG404),EG404-EI404,EG404)</f>
        <v>-1</v>
      </c>
      <c r="EK404" s="60" t="n">
        <f aca="false">IF(EH404,IFERROR((((EJ404+DL404)*EJ404+DM404)*EJ404+DN404)/((3*EJ404+2*DL404)*EJ404+DM404),0),0)</f>
        <v>0</v>
      </c>
      <c r="EL404" s="60" t="n">
        <f aca="false">IF(ABS(EK404)&lt;0.1*ABS(EJ404),EJ404-EK404,EJ404)</f>
        <v>-1</v>
      </c>
      <c r="EM404" s="60" t="n">
        <f aca="false">IF(EH404,MAX(EB404,EL404),EB404)</f>
        <v>0.91158844983184</v>
      </c>
      <c r="EN404" s="60" t="n">
        <f aca="false">IF(EH404,MIN(EB404,EL404),-1)</f>
        <v>-1</v>
      </c>
      <c r="EO404" s="60" t="n">
        <f aca="false">CHOOSE($C$7,DJ404/EM404,DJ404/DK404*LN(1+DK404/EM404),DJ404/(2*SQRT(2)*DK404)*LN((EM404+(1+SQRT(2))*DK404)/(EM404+(1-SQRT(2))*DK404)))</f>
        <v>0.218240791233887</v>
      </c>
      <c r="EP404" s="60" t="n">
        <f aca="false">EM404-1-LN(EM404-DK404)-EO404</f>
        <v>-0.107840271021729</v>
      </c>
      <c r="EQ404" s="60" t="n">
        <f aca="false">IF(EH404,CHOOSE($C$7,DJ404/EN404,DJ404/DK404*LN(1+DK404/EN404),DJ404/(2*SQRT(2)*DK404)*LN((EN404+(1+SQRT(2))*DK404)/(EN404+(1-SQRT(2))*DK404))),0)</f>
        <v>0</v>
      </c>
      <c r="ER404" s="60" t="n">
        <f aca="false">IF(EH404,EN404-1-LN(EN404-DK404)-EQ404,0)</f>
        <v>0</v>
      </c>
      <c r="ES404" s="60" t="n">
        <f aca="false">AND(EH404,ER404&lt;EP404)</f>
        <v>0</v>
      </c>
      <c r="ET404" s="60" t="n">
        <f aca="false">IF(ES404,EN404,EM404)</f>
        <v>0.91158844983184</v>
      </c>
      <c r="EU404" s="60" t="n">
        <f aca="false">IF(ES404,EQ404,EO404)</f>
        <v>0.218240791233887</v>
      </c>
      <c r="EV404" s="60" t="n">
        <f aca="false">LN(ET404-DK404)</f>
        <v>-0.198812070380318</v>
      </c>
      <c r="EW404" s="60" t="n">
        <f aca="false">$E$27/DI404*(ET404-1)-EV404-EU404*(2*CV404/DH404-$E$27/DI404)</f>
        <v>-0.107840271021729</v>
      </c>
      <c r="EX404" s="60" t="n">
        <f aca="false">$F$27/DI404*(ET404-1)-EV404-EU404*(2*CW404/DH404-$F$27/DI404)</f>
        <v>0.198812070380318</v>
      </c>
      <c r="EY404" s="60" t="n">
        <f aca="false">$G$27/DI404*(ET404-1)-EV404-EU404*(2*CX404/DH404-$G$27/DI404)</f>
        <v>0.198812070380318</v>
      </c>
      <c r="EZ404" s="60" t="n">
        <f aca="false">$H$27/DI404*(ET404-1)-EV404-EU404*(2*CY404/DH404-$H$27/DI404)</f>
        <v>0.198812070380318</v>
      </c>
      <c r="FA404" s="60" t="n">
        <f aca="false">$I$27/DI404*(ET404-1)-EV404-EU404*(2*CZ404/DH404-$I$27/DI404)</f>
        <v>0.198812070380318</v>
      </c>
      <c r="FB404" s="60" t="n">
        <f aca="false">$J$27/DI404*(ET404-1)-EV404-EU404*(2*DA404/DH404-$J$27/DI404)</f>
        <v>0.198812070380318</v>
      </c>
      <c r="FC404" s="60" t="n">
        <f aca="false">$K$27/DI404*(ET404-1)-EV404-EU404*(2*DB404/DH404-$K$27/DI404)</f>
        <v>0.198812070380318</v>
      </c>
      <c r="FD404" s="60" t="n">
        <f aca="false">$L$27/DI404*(ET404-1)-EV404-EU404*(2*DC404/DH404-$L$27/DI404)</f>
        <v>0.198812070380318</v>
      </c>
      <c r="FE404" s="60" t="n">
        <f aca="false">$M$27/DI404*(ET404-1)-EV404-EU404*(2*DD404/DH404-$M$27/DI404)</f>
        <v>0.198812070380318</v>
      </c>
      <c r="FF404" s="60" t="n">
        <f aca="false">$N$27/DI404*(ET404-1)-EV404-EU404*(2*DE404/DH404-$N$27/DI404)</f>
        <v>0.198812070380318</v>
      </c>
      <c r="FG404" s="60" t="n">
        <f aca="false">$O$27/DI404*(ET404-1)-EV404-EU404*(2*DF404/DH404-$O$27/DI404)</f>
        <v>0.198812070380318</v>
      </c>
      <c r="FH404" s="60" t="n">
        <f aca="false">$P$27/DI404*(ET404-1)-EV404-EU404*(2*DG404/DH404-$P$27/DI404)</f>
        <v>0.198812070380318</v>
      </c>
      <c r="FI404" s="60" t="n">
        <f aca="false">DK404/ET404&gt;$C$22</f>
        <v>0</v>
      </c>
      <c r="FJ404" s="60" t="n">
        <f aca="false">$E$28*SUMPRODUCT($E$31:$P$31,CJ404:CU404,$E$28:$P$28)</f>
        <v>0.184416866619846</v>
      </c>
      <c r="FK404" s="60" t="n">
        <f aca="false">$F$28*SUMPRODUCT($E$32:$P$32,CJ404:CU404,$E$28:$P$28)</f>
        <v>0</v>
      </c>
      <c r="FL404" s="60" t="n">
        <f aca="false">$G$28*SUMPRODUCT($E$33:$P$33,CJ404:CU404,$E$28:$P$28)</f>
        <v>0</v>
      </c>
      <c r="FM404" s="60" t="n">
        <f aca="false">$H$28*SUMPRODUCT($E$34:$P$34,CJ404:CU404,$E$28:$P$28)</f>
        <v>0</v>
      </c>
      <c r="FN404" s="60" t="n">
        <f aca="false">$I$28*SUMPRODUCT($E$35:$P$35,CJ404:CU404,$E$28:$P$28)</f>
        <v>0</v>
      </c>
      <c r="FO404" s="60" t="n">
        <f aca="false">$J$28*SUMPRODUCT($E$36:$P$36,CJ404:CU404,$E$28:$P$28)</f>
        <v>0</v>
      </c>
      <c r="FP404" s="60" t="n">
        <f aca="false">$K$28*SUMPRODUCT($E$37:$P$37,CJ404:CU404,$E$28:$P$28)</f>
        <v>0</v>
      </c>
      <c r="FQ404" s="60" t="n">
        <f aca="false">$L$28*SUMPRODUCT($E$38:$P$38,CJ404:CU404,$E$28:$P$28)</f>
        <v>0</v>
      </c>
      <c r="FR404" s="60" t="n">
        <f aca="false">$M$28*SUMPRODUCT($E$39:$P$39,CJ404:CU404,$E$28:$P$28)</f>
        <v>0</v>
      </c>
      <c r="FS404" s="60" t="n">
        <f aca="false">$N$28*SUMPRODUCT($E$40:$P$40,CJ404:CU404,$E$28:$P$28)</f>
        <v>0</v>
      </c>
      <c r="FT404" s="60" t="n">
        <f aca="false">$O$28*SUMPRODUCT($E$41:$P$41,CJ404:CU404,$E$28:$P$28)</f>
        <v>0</v>
      </c>
      <c r="FU404" s="60" t="n">
        <f aca="false">$P$28*SUMPRODUCT($E$42:$P$42,CJ404:CU404,$E$28:$P$28)</f>
        <v>0</v>
      </c>
      <c r="FV404" s="60" t="n">
        <f aca="false">SUMPRODUCT(CJ404:CU404,FJ404:FU404)</f>
        <v>0.184416866619846</v>
      </c>
      <c r="FW404" s="60" t="n">
        <f aca="false">SUMPRODUCT(CJ404:CU404,$E$27:$P$27)</f>
        <v>2.67389635063809E-005</v>
      </c>
      <c r="FX404" s="60" t="n">
        <f aca="false">FV404*$C$9/($C$10*$C$8)^2</f>
        <v>0.21776909410545</v>
      </c>
      <c r="FY404" s="60" t="n">
        <f aca="false">FW404*$C$9/($C$10*$C$8)</f>
        <v>0.0918845243259994</v>
      </c>
      <c r="FZ404" s="60" t="n">
        <f aca="false">CHOOSE($C$7,-(1+FY404),-1,-(1-FY404))</f>
        <v>-0.908115475674001</v>
      </c>
      <c r="GA404" s="60" t="n">
        <f aca="false">CHOOSE($C$7,FX404,FX404-FY404-FY404^2,FX404-3*FY404^2-2*FY404)</f>
        <v>0.00867174802160559</v>
      </c>
      <c r="GB404" s="60" t="n">
        <f aca="false">CHOOSE($C$7,-FX404*FY404,-FX404*FY404,-(FX404*FY404-FY404^2-FY404^3))</f>
        <v>-0.0107910842936637</v>
      </c>
      <c r="GC404" s="60" t="n">
        <f aca="false">GA404-FZ404^2/3</f>
        <v>-0.266219491031267</v>
      </c>
      <c r="GD404" s="60" t="n">
        <f aca="false">2*FZ404^3/27-FZ404*GA404/3+GB404</f>
        <v>-0.0636400988362784</v>
      </c>
      <c r="GE404" s="60" t="n">
        <f aca="false">GD404^2/4+GC404^3/27</f>
        <v>0.000313710901361829</v>
      </c>
      <c r="GF404" s="60" t="n">
        <f aca="false">-GD404/2-IF(GD404&gt;=0,1,-1)*SQRT(MAX(GE404,0))</f>
        <v>0.0495319352963236</v>
      </c>
      <c r="GG404" s="60" t="n">
        <f aca="false">SIGN(GF404)*ABS(GF404)^(1/3)</f>
        <v>0.367249967174439</v>
      </c>
      <c r="GH404" s="60" t="n">
        <f aca="false">IF(GG404=0,0,GG404-GC404/(3*GG404))</f>
        <v>0.60888329127384</v>
      </c>
      <c r="GI404" s="60" t="n">
        <f aca="false">2*SQRT(MAX(-GC404,0)/3)</f>
        <v>0.595784626668918</v>
      </c>
      <c r="GJ404" s="60" t="n">
        <f aca="false">ACOS(IF(GI404=0,0,MAX(-1,MIN(1,3*GD404/(GC404*GI404)))))</f>
        <v>0</v>
      </c>
      <c r="GK404" s="60" t="n">
        <f aca="false">GI404*COS(GJ404/3)</f>
        <v>0.595784626668918</v>
      </c>
      <c r="GL404" s="60" t="n">
        <f aca="false">IF(GE404&lt;0,GK404,GH404)-FZ404/3</f>
        <v>0.91158844983184</v>
      </c>
      <c r="GM404" s="60" t="n">
        <f aca="false">IFERROR((((GL404+FZ404)*GL404+GA404)*GL404+GB404)/((3*GL404+2*FZ404)*GL404+GA404),0)</f>
        <v>0</v>
      </c>
      <c r="GN404" s="60" t="n">
        <f aca="false">IF(ABS(GM404)&lt;0.1*ABS(GL404),GL404-GM404,GL404)</f>
        <v>0.91158844983184</v>
      </c>
      <c r="GO404" s="60" t="n">
        <f aca="false">IFERROR((((GN404+FZ404)*GN404+GA404)*GN404+GB404)/((3*GN404+2*FZ404)*GN404+GA404),0)</f>
        <v>0</v>
      </c>
      <c r="GP404" s="60" t="n">
        <f aca="false">IF(ABS(GO404)&lt;0.1*ABS(GN404),GN404-GO404,GN404)</f>
        <v>0.91158844983184</v>
      </c>
      <c r="GQ404" s="60" t="n">
        <f aca="false">-GB404/GP404</f>
        <v>0.0118376711504565</v>
      </c>
      <c r="GR404" s="60" t="n">
        <f aca="false">(GA404-GQ404)/GP404</f>
        <v>-0.00347297415783941</v>
      </c>
      <c r="GS404" s="60" t="n">
        <f aca="false">GR404^2-4*GQ404</f>
        <v>-0.0473386230523248</v>
      </c>
      <c r="GT404" s="60" t="n">
        <f aca="false">IF(GS404&gt;=0,(GR404+IF(GR404&gt;=0,1,-1)*SQRT(GS404))/2,0)</f>
        <v>0</v>
      </c>
      <c r="GU404" s="60" t="n">
        <f aca="false">IF(AND(GS404&gt;=0,GT404&lt;&gt;0),MIN(GT404,GQ404/GT404),-1)</f>
        <v>-1</v>
      </c>
      <c r="GV404" s="60" t="n">
        <f aca="false">AND(GS404&gt;=0,GU404&gt;FY404,ABS(GP404-GU404)&gt;=0.00005*MAX(GP404,GU404))</f>
        <v>0</v>
      </c>
      <c r="GW404" s="60" t="n">
        <f aca="false">IF(GV404,IFERROR((((GU404+FZ404)*GU404+GA404)*GU404+GB404)/((3*GU404+2*FZ404)*GU404+GA404),0),0)</f>
        <v>0</v>
      </c>
      <c r="GX404" s="60" t="n">
        <f aca="false">IF(ABS(GW404)&lt;0.1*ABS(GU404),GU404-GW404,GU404)</f>
        <v>-1</v>
      </c>
      <c r="GY404" s="60" t="n">
        <f aca="false">IF(GV404,IFERROR((((GX404+FZ404)*GX404+GA404)*GX404+GB404)/((3*GX404+2*FZ404)*GX404+GA404),0),0)</f>
        <v>0</v>
      </c>
      <c r="GZ404" s="60" t="n">
        <f aca="false">IF(ABS(GY404)&lt;0.1*ABS(GX404),GX404-GY404,GX404)</f>
        <v>-1</v>
      </c>
      <c r="HA404" s="60" t="n">
        <f aca="false">IF(GV404,MAX(GP404,GZ404),GP404)</f>
        <v>0.91158844983184</v>
      </c>
      <c r="HB404" s="60" t="n">
        <f aca="false">IF(GV404,MIN(GP404,GZ404),-1)</f>
        <v>-1</v>
      </c>
      <c r="HC404" s="60" t="n">
        <f aca="false">CHOOSE($C$7,FX404/HA404,FX404/FY404*LN(1+FY404/HA404),FX404/(2*SQRT(2)*FY404)*LN((HA404+(1+SQRT(2))*FY404)/(HA404+(1-SQRT(2))*FY404)))</f>
        <v>0.218240791233887</v>
      </c>
      <c r="HD404" s="60" t="n">
        <f aca="false">HA404-1-LN(HA404-FY404)-HC404</f>
        <v>-0.107840271021729</v>
      </c>
      <c r="HE404" s="60" t="n">
        <f aca="false">IF(GV404,CHOOSE($C$7,FX404/HB404,FX404/FY404*LN(1+FY404/HB404),FX404/(2*SQRT(2)*FY404)*LN((HB404+(1+SQRT(2))*FY404)/(HB404+(1-SQRT(2))*FY404))),0)</f>
        <v>0</v>
      </c>
      <c r="HF404" s="60" t="n">
        <f aca="false">IF(GV404,HB404-1-LN(HB404-FY404)-HE404,0)</f>
        <v>0</v>
      </c>
      <c r="HG404" s="60" t="n">
        <f aca="false">AND(GV404,HF404&lt;HD404)</f>
        <v>0</v>
      </c>
      <c r="HH404" s="60" t="n">
        <f aca="false">IF(HG404,HB404,HA404)</f>
        <v>0.91158844983184</v>
      </c>
      <c r="HI404" s="60" t="n">
        <f aca="false">IF(HG404,HE404,HC404)</f>
        <v>0.218240791233887</v>
      </c>
      <c r="HJ404" s="60" t="n">
        <f aca="false">LN(HH404-FY404)</f>
        <v>-0.198812070380318</v>
      </c>
      <c r="HK404" s="60" t="n">
        <f aca="false">$E$27/FW404*(HH404-1)-HJ404-HI404*(2*FJ404/FV404-$E$27/FW404)</f>
        <v>-0.107840271021729</v>
      </c>
      <c r="HL404" s="60" t="n">
        <f aca="false">$F$27/FW404*(HH404-1)-HJ404-HI404*(2*FK404/FV404-$F$27/FW404)</f>
        <v>0.198812070380318</v>
      </c>
      <c r="HM404" s="60" t="n">
        <f aca="false">$G$27/FW404*(HH404-1)-HJ404-HI404*(2*FL404/FV404-$G$27/FW404)</f>
        <v>0.198812070380318</v>
      </c>
      <c r="HN404" s="60" t="n">
        <f aca="false">$H$27/FW404*(HH404-1)-HJ404-HI404*(2*FM404/FV404-$H$27/FW404)</f>
        <v>0.198812070380318</v>
      </c>
      <c r="HO404" s="60" t="n">
        <f aca="false">$I$27/FW404*(HH404-1)-HJ404-HI404*(2*FN404/FV404-$I$27/FW404)</f>
        <v>0.198812070380318</v>
      </c>
      <c r="HP404" s="60" t="n">
        <f aca="false">$J$27/FW404*(HH404-1)-HJ404-HI404*(2*FO404/FV404-$J$27/FW404)</f>
        <v>0.198812070380318</v>
      </c>
      <c r="HQ404" s="60" t="n">
        <f aca="false">$K$27/FW404*(HH404-1)-HJ404-HI404*(2*FP404/FV404-$K$27/FW404)</f>
        <v>0.198812070380318</v>
      </c>
      <c r="HR404" s="60" t="n">
        <f aca="false">$L$27/FW404*(HH404-1)-HJ404-HI404*(2*FQ404/FV404-$L$27/FW404)</f>
        <v>0.198812070380318</v>
      </c>
      <c r="HS404" s="60" t="n">
        <f aca="false">$M$27/FW404*(HH404-1)-HJ404-HI404*(2*FR404/FV404-$M$27/FW404)</f>
        <v>0.198812070380318</v>
      </c>
      <c r="HT404" s="60" t="n">
        <f aca="false">$N$27/FW404*(HH404-1)-HJ404-HI404*(2*FS404/FV404-$N$27/FW404)</f>
        <v>0.198812070380318</v>
      </c>
      <c r="HU404" s="60" t="n">
        <f aca="false">$O$27/FW404*(HH404-1)-HJ404-HI404*(2*FT404/FV404-$O$27/FW404)</f>
        <v>0.198812070380318</v>
      </c>
      <c r="HV404" s="60" t="n">
        <f aca="false">$P$27/FW404*(HH404-1)-HJ404-HI404*(2*FU404/FV404-$P$27/FW404)</f>
        <v>0.198812070380318</v>
      </c>
      <c r="HW404" s="60" t="n">
        <f aca="false">FY404/HH404&gt;$C$22</f>
        <v>0</v>
      </c>
      <c r="HX404" s="60" t="n">
        <f aca="false">IF($E$13&gt;0,MAX(-300,MIN(300,EW404-HK404)),0)</f>
        <v>0</v>
      </c>
      <c r="HY404" s="60" t="n">
        <f aca="false">IF($F$13&gt;0,MAX(-300,MIN(300,EX404-HL404)),0)</f>
        <v>0</v>
      </c>
      <c r="HZ404" s="60" t="n">
        <f aca="false">IF($G$13&gt;0,MAX(-300,MIN(300,EY404-HM404)),0)</f>
        <v>0</v>
      </c>
      <c r="IA404" s="60" t="n">
        <f aca="false">IF($H$13&gt;0,MAX(-300,MIN(300,EZ404-HN404)),0)</f>
        <v>0</v>
      </c>
      <c r="IB404" s="60" t="n">
        <f aca="false">IF($I$13&gt;0,MAX(-300,MIN(300,FA404-HO404)),0)</f>
        <v>0</v>
      </c>
      <c r="IC404" s="60" t="n">
        <f aca="false">IF($J$13&gt;0,MAX(-300,MIN(300,FB404-HP404)),0)</f>
        <v>0</v>
      </c>
      <c r="ID404" s="60" t="n">
        <f aca="false">IF($K$13&gt;0,MAX(-300,MIN(300,FC404-HQ404)),0)</f>
        <v>0</v>
      </c>
      <c r="IE404" s="60" t="n">
        <f aca="false">IF($L$13&gt;0,MAX(-300,MIN(300,FD404-HR404)),0)</f>
        <v>0</v>
      </c>
      <c r="IF404" s="60" t="n">
        <f aca="false">IF($M$13&gt;0,MAX(-300,MIN(300,FE404-HS404)),0)</f>
        <v>0</v>
      </c>
      <c r="IG404" s="60" t="n">
        <f aca="false">IF($N$13&gt;0,MAX(-300,MIN(300,FF404-HT404)),0)</f>
        <v>0</v>
      </c>
      <c r="IH404" s="60" t="n">
        <f aca="false">IF($O$13&gt;0,MAX(-300,MIN(300,FG404-HU404)),0)</f>
        <v>0</v>
      </c>
      <c r="II404" s="60" t="n">
        <f aca="false">IF($P$13&gt;0,MAX(-300,MIN(300,FH404-HV404)),0)</f>
        <v>0</v>
      </c>
      <c r="IJ404" s="60" t="n">
        <f aca="false">SUMXMY2(HX404:II404,B404:M404)</f>
        <v>0</v>
      </c>
      <c r="IK404" s="60" t="n">
        <f aca="false">SUMSQ(B404:M404)</f>
        <v>0</v>
      </c>
    </row>
    <row r="405" customFormat="false" ht="15" hidden="false" customHeight="false" outlineLevel="0" collapsed="false">
      <c r="A405" s="59" t="n">
        <v>44</v>
      </c>
      <c r="B405" s="60" t="n">
        <f aca="false">HX404</f>
        <v>0</v>
      </c>
      <c r="C405" s="60" t="n">
        <f aca="false">HY404</f>
        <v>0</v>
      </c>
      <c r="D405" s="60" t="n">
        <f aca="false">HZ404</f>
        <v>0</v>
      </c>
      <c r="E405" s="60" t="n">
        <f aca="false">IA404</f>
        <v>0</v>
      </c>
      <c r="F405" s="60" t="n">
        <f aca="false">IB404</f>
        <v>0</v>
      </c>
      <c r="G405" s="60" t="n">
        <f aca="false">IC404</f>
        <v>0</v>
      </c>
      <c r="H405" s="60" t="n">
        <f aca="false">ID404</f>
        <v>0</v>
      </c>
      <c r="I405" s="60" t="n">
        <f aca="false">IE404</f>
        <v>0</v>
      </c>
      <c r="J405" s="60" t="n">
        <f aca="false">IF404</f>
        <v>0</v>
      </c>
      <c r="K405" s="60" t="n">
        <f aca="false">IG404</f>
        <v>0</v>
      </c>
      <c r="L405" s="60" t="n">
        <f aca="false">IH404</f>
        <v>0</v>
      </c>
      <c r="M405" s="60" t="n">
        <f aca="false">II404</f>
        <v>0</v>
      </c>
      <c r="N405" s="60" t="n">
        <f aca="false">EXP(B405)</f>
        <v>1</v>
      </c>
      <c r="O405" s="60" t="n">
        <f aca="false">EXP(C405)</f>
        <v>1</v>
      </c>
      <c r="P405" s="60" t="n">
        <f aca="false">EXP(D405)</f>
        <v>1</v>
      </c>
      <c r="Q405" s="60" t="n">
        <f aca="false">EXP(E405)</f>
        <v>1</v>
      </c>
      <c r="R405" s="60" t="n">
        <f aca="false">EXP(F405)</f>
        <v>1</v>
      </c>
      <c r="S405" s="60" t="n">
        <f aca="false">EXP(G405)</f>
        <v>1</v>
      </c>
      <c r="T405" s="60" t="n">
        <f aca="false">EXP(H405)</f>
        <v>1</v>
      </c>
      <c r="U405" s="60" t="n">
        <f aca="false">EXP(I405)</f>
        <v>1</v>
      </c>
      <c r="V405" s="60" t="n">
        <f aca="false">EXP(J405)</f>
        <v>1</v>
      </c>
      <c r="W405" s="60" t="n">
        <f aca="false">EXP(K405)</f>
        <v>1</v>
      </c>
      <c r="X405" s="60" t="n">
        <f aca="false">EXP(L405)</f>
        <v>1</v>
      </c>
      <c r="Y405" s="60" t="n">
        <f aca="false">EXP(M405)</f>
        <v>1</v>
      </c>
      <c r="Z405" s="60" t="n">
        <f aca="false">MAX(N405:Y405)</f>
        <v>1</v>
      </c>
      <c r="AA405" s="60" t="n">
        <f aca="false">MIN(N405:Y405)</f>
        <v>1</v>
      </c>
      <c r="AB405" s="60" t="n">
        <f aca="false">AND(Z405&gt;1,AA405&lt;1)</f>
        <v>0</v>
      </c>
      <c r="AC405" s="60" t="n">
        <f aca="false">IF(AB405,1/(1-Z405),0)</f>
        <v>0</v>
      </c>
      <c r="AD405" s="60" t="n">
        <f aca="false">IF(AB405,1/(1-AA405),1)</f>
        <v>1</v>
      </c>
      <c r="AE405" s="60" t="n">
        <f aca="false">IF(AB405,MIN(MAX(BI404,AC405+0.000000001*(AD405-AC405)),AD405-0.000000001*(AD405-AC405)),IF(AA405&gt;=1,1,0))</f>
        <v>1</v>
      </c>
      <c r="AF405" s="60" t="n">
        <f aca="false">SUMPRODUCT($E$13:$P$13*(N405:Y405-1)/(1+AE405*(N405:Y405-1)))</f>
        <v>0</v>
      </c>
      <c r="AG405" s="60" t="n">
        <f aca="false">-SUMPRODUCT($E$13:$P$13*(N405:Y405-1)^2/(1+AE405*(N405:Y405-1))^2)</f>
        <v>-0</v>
      </c>
      <c r="AH405" s="60" t="n">
        <f aca="false">IF(OR(NOT(AB405),AG405=0),AE405,IF(AE405-AF405/AG405&lt;=AC405,(AE405+AC405)/2,IF(AE405-AF405/AG405&gt;=AD405,(AE405+AD405)/2,AE405-AF405/AG405)))</f>
        <v>1</v>
      </c>
      <c r="AI405" s="60" t="n">
        <f aca="false">SUMPRODUCT($E$13:$P$13*(N405:Y405-1)/(1+AH405*(N405:Y405-1)))</f>
        <v>0</v>
      </c>
      <c r="AJ405" s="60" t="n">
        <f aca="false">-SUMPRODUCT($E$13:$P$13*(N405:Y405-1)^2/(1+AH405*(N405:Y405-1))^2)</f>
        <v>-0</v>
      </c>
      <c r="AK405" s="60" t="n">
        <f aca="false">IF(OR(NOT(AB405),AJ405=0),AH405,IF(AH405-AI405/AJ405&lt;=AC405,(AH405+AC405)/2,IF(AH405-AI405/AJ405&gt;=AD405,(AH405+AD405)/2,AH405-AI405/AJ405)))</f>
        <v>1</v>
      </c>
      <c r="AL405" s="60" t="n">
        <f aca="false">SUMPRODUCT($E$13:$P$13*(N405:Y405-1)/(1+AK405*(N405:Y405-1)))</f>
        <v>0</v>
      </c>
      <c r="AM405" s="60" t="n">
        <f aca="false">-SUMPRODUCT($E$13:$P$13*(N405:Y405-1)^2/(1+AK405*(N405:Y405-1))^2)</f>
        <v>-0</v>
      </c>
      <c r="AN405" s="60" t="n">
        <f aca="false">IF(OR(NOT(AB405),AM405=0),AK405,IF(AK405-AL405/AM405&lt;=AC405,(AK405+AC405)/2,IF(AK405-AL405/AM405&gt;=AD405,(AK405+AD405)/2,AK405-AL405/AM405)))</f>
        <v>1</v>
      </c>
      <c r="AO405" s="60" t="n">
        <f aca="false">SUMPRODUCT($E$13:$P$13*(N405:Y405-1)/(1+AN405*(N405:Y405-1)))</f>
        <v>0</v>
      </c>
      <c r="AP405" s="60" t="n">
        <f aca="false">-SUMPRODUCT($E$13:$P$13*(N405:Y405-1)^2/(1+AN405*(N405:Y405-1))^2)</f>
        <v>-0</v>
      </c>
      <c r="AQ405" s="60" t="n">
        <f aca="false">IF(OR(NOT(AB405),AP405=0),AN405,IF(AN405-AO405/AP405&lt;=AC405,(AN405+AC405)/2,IF(AN405-AO405/AP405&gt;=AD405,(AN405+AD405)/2,AN405-AO405/AP405)))</f>
        <v>1</v>
      </c>
      <c r="AR405" s="60" t="n">
        <f aca="false">SUMPRODUCT($E$13:$P$13*(N405:Y405-1)/(1+AQ405*(N405:Y405-1)))</f>
        <v>0</v>
      </c>
      <c r="AS405" s="60" t="n">
        <f aca="false">-SUMPRODUCT($E$13:$P$13*(N405:Y405-1)^2/(1+AQ405*(N405:Y405-1))^2)</f>
        <v>-0</v>
      </c>
      <c r="AT405" s="60" t="n">
        <f aca="false">IF(OR(NOT(AB405),AS405=0),AQ405,IF(AQ405-AR405/AS405&lt;=AC405,(AQ405+AC405)/2,IF(AQ405-AR405/AS405&gt;=AD405,(AQ405+AD405)/2,AQ405-AR405/AS405)))</f>
        <v>1</v>
      </c>
      <c r="AU405" s="60" t="n">
        <f aca="false">SUMPRODUCT($E$13:$P$13*(N405:Y405-1)/(1+AT405*(N405:Y405-1)))</f>
        <v>0</v>
      </c>
      <c r="AV405" s="60" t="n">
        <f aca="false">-SUMPRODUCT($E$13:$P$13*(N405:Y405-1)^2/(1+AT405*(N405:Y405-1))^2)</f>
        <v>-0</v>
      </c>
      <c r="AW405" s="60" t="n">
        <f aca="false">IF(OR(NOT(AB405),AV405=0),AT405,IF(AT405-AU405/AV405&lt;=AC405,(AT405+AC405)/2,IF(AT405-AU405/AV405&gt;=AD405,(AT405+AD405)/2,AT405-AU405/AV405)))</f>
        <v>1</v>
      </c>
      <c r="AX405" s="60" t="n">
        <f aca="false">SUMPRODUCT($E$13:$P$13*(N405:Y405-1)/(1+AW405*(N405:Y405-1)))</f>
        <v>0</v>
      </c>
      <c r="AY405" s="60" t="n">
        <f aca="false">-SUMPRODUCT($E$13:$P$13*(N405:Y405-1)^2/(1+AW405*(N405:Y405-1))^2)</f>
        <v>-0</v>
      </c>
      <c r="AZ405" s="60" t="n">
        <f aca="false">IF(OR(NOT(AB405),AY405=0),AW405,IF(AW405-AX405/AY405&lt;=AC405,(AW405+AC405)/2,IF(AW405-AX405/AY405&gt;=AD405,(AW405+AD405)/2,AW405-AX405/AY405)))</f>
        <v>1</v>
      </c>
      <c r="BA405" s="60" t="n">
        <f aca="false">SUMPRODUCT($E$13:$P$13*(N405:Y405-1)/(1+AZ405*(N405:Y405-1)))</f>
        <v>0</v>
      </c>
      <c r="BB405" s="60" t="n">
        <f aca="false">-SUMPRODUCT($E$13:$P$13*(N405:Y405-1)^2/(1+AZ405*(N405:Y405-1))^2)</f>
        <v>-0</v>
      </c>
      <c r="BC405" s="60" t="n">
        <f aca="false">IF(OR(NOT(AB405),BB405=0),AZ405,IF(AZ405-BA405/BB405&lt;=AC405,(AZ405+AC405)/2,IF(AZ405-BA405/BB405&gt;=AD405,(AZ405+AD405)/2,AZ405-BA405/BB405)))</f>
        <v>1</v>
      </c>
      <c r="BD405" s="60" t="n">
        <f aca="false">SUMPRODUCT($E$13:$P$13*(N405:Y405-1)/(1+BC405*(N405:Y405-1)))</f>
        <v>0</v>
      </c>
      <c r="BE405" s="60" t="n">
        <f aca="false">-SUMPRODUCT($E$13:$P$13*(N405:Y405-1)^2/(1+BC405*(N405:Y405-1))^2)</f>
        <v>-0</v>
      </c>
      <c r="BF405" s="60" t="n">
        <f aca="false">IF(OR(NOT(AB405),BE405=0),BC405,IF(BC405-BD405/BE405&lt;=AC405,(BC405+AC405)/2,IF(BC405-BD405/BE405&gt;=AD405,(BC405+AD405)/2,BC405-BD405/BE405)))</f>
        <v>1</v>
      </c>
      <c r="BG405" s="60" t="n">
        <f aca="false">SUMPRODUCT($E$13:$P$13*(N405:Y405-1)/(1+BF405*(N405:Y405-1)))</f>
        <v>0</v>
      </c>
      <c r="BH405" s="60" t="n">
        <f aca="false">-SUMPRODUCT($E$13:$P$13*(N405:Y405-1)^2/(1+BF405*(N405:Y405-1))^2)</f>
        <v>-0</v>
      </c>
      <c r="BI405" s="60" t="n">
        <f aca="false">IF(OR(NOT(AB405),BH405=0),BF405,IF(BF405-BG405/BH405&lt;=AC405,(BF405+AC405)/2,IF(BF405-BG405/BH405&gt;=AD405,(BF405+AD405)/2,BF405-BG405/BH405)))</f>
        <v>1</v>
      </c>
      <c r="BJ405" s="60" t="n">
        <f aca="false">$E$13/(1+BI405*(N405-1))</f>
        <v>1</v>
      </c>
      <c r="BK405" s="60" t="n">
        <f aca="false">$F$13/(1+BI405*(O405-1))</f>
        <v>0</v>
      </c>
      <c r="BL405" s="60" t="n">
        <f aca="false">$G$13/(1+BI405*(P405-1))</f>
        <v>0</v>
      </c>
      <c r="BM405" s="60" t="n">
        <f aca="false">$H$13/(1+BI405*(Q405-1))</f>
        <v>0</v>
      </c>
      <c r="BN405" s="60" t="n">
        <f aca="false">$I$13/(1+BI405*(R405-1))</f>
        <v>0</v>
      </c>
      <c r="BO405" s="60" t="n">
        <f aca="false">$J$13/(1+BI405*(S405-1))</f>
        <v>0</v>
      </c>
      <c r="BP405" s="60" t="n">
        <f aca="false">$K$13/(1+BI405*(T405-1))</f>
        <v>0</v>
      </c>
      <c r="BQ405" s="60" t="n">
        <f aca="false">$L$13/(1+BI405*(U405-1))</f>
        <v>0</v>
      </c>
      <c r="BR405" s="60" t="n">
        <f aca="false">$M$13/(1+BI405*(V405-1))</f>
        <v>0</v>
      </c>
      <c r="BS405" s="60" t="n">
        <f aca="false">$N$13/(1+BI405*(W405-1))</f>
        <v>0</v>
      </c>
      <c r="BT405" s="60" t="n">
        <f aca="false">$O$13/(1+BI405*(X405-1))</f>
        <v>0</v>
      </c>
      <c r="BU405" s="60" t="n">
        <f aca="false">$P$13/(1+BI405*(Y405-1))</f>
        <v>0</v>
      </c>
      <c r="BV405" s="60" t="n">
        <f aca="false">SUM(BJ405:BU405)</f>
        <v>1</v>
      </c>
      <c r="BW405" s="60" t="n">
        <f aca="false">SUMPRODUCT(N405:Y405,BJ405:BU405)</f>
        <v>1</v>
      </c>
      <c r="BX405" s="60" t="n">
        <f aca="false">BJ405/BV405</f>
        <v>1</v>
      </c>
      <c r="BY405" s="60" t="n">
        <f aca="false">BK405/BV405</f>
        <v>0</v>
      </c>
      <c r="BZ405" s="60" t="n">
        <f aca="false">BL405/BV405</f>
        <v>0</v>
      </c>
      <c r="CA405" s="60" t="n">
        <f aca="false">BM405/BV405</f>
        <v>0</v>
      </c>
      <c r="CB405" s="60" t="n">
        <f aca="false">BN405/BV405</f>
        <v>0</v>
      </c>
      <c r="CC405" s="60" t="n">
        <f aca="false">BO405/BV405</f>
        <v>0</v>
      </c>
      <c r="CD405" s="60" t="n">
        <f aca="false">BP405/BV405</f>
        <v>0</v>
      </c>
      <c r="CE405" s="60" t="n">
        <f aca="false">BQ405/BV405</f>
        <v>0</v>
      </c>
      <c r="CF405" s="60" t="n">
        <f aca="false">BR405/BV405</f>
        <v>0</v>
      </c>
      <c r="CG405" s="60" t="n">
        <f aca="false">BS405/BV405</f>
        <v>0</v>
      </c>
      <c r="CH405" s="60" t="n">
        <f aca="false">BT405/BV405</f>
        <v>0</v>
      </c>
      <c r="CI405" s="60" t="n">
        <f aca="false">BU405/BV405</f>
        <v>0</v>
      </c>
      <c r="CJ405" s="60" t="n">
        <f aca="false">N405*BJ405/BW405</f>
        <v>1</v>
      </c>
      <c r="CK405" s="60" t="n">
        <f aca="false">O405*BK405/BW405</f>
        <v>0</v>
      </c>
      <c r="CL405" s="60" t="n">
        <f aca="false">P405*BL405/BW405</f>
        <v>0</v>
      </c>
      <c r="CM405" s="60" t="n">
        <f aca="false">Q405*BM405/BW405</f>
        <v>0</v>
      </c>
      <c r="CN405" s="60" t="n">
        <f aca="false">R405*BN405/BW405</f>
        <v>0</v>
      </c>
      <c r="CO405" s="60" t="n">
        <f aca="false">S405*BO405/BW405</f>
        <v>0</v>
      </c>
      <c r="CP405" s="60" t="n">
        <f aca="false">T405*BP405/BW405</f>
        <v>0</v>
      </c>
      <c r="CQ405" s="60" t="n">
        <f aca="false">U405*BQ405/BW405</f>
        <v>0</v>
      </c>
      <c r="CR405" s="60" t="n">
        <f aca="false">V405*BR405/BW405</f>
        <v>0</v>
      </c>
      <c r="CS405" s="60" t="n">
        <f aca="false">W405*BS405/BW405</f>
        <v>0</v>
      </c>
      <c r="CT405" s="60" t="n">
        <f aca="false">X405*BT405/BW405</f>
        <v>0</v>
      </c>
      <c r="CU405" s="60" t="n">
        <f aca="false">Y405*BU405/BW405</f>
        <v>0</v>
      </c>
      <c r="CV405" s="60" t="n">
        <f aca="false">$E$28*SUMPRODUCT($E$31:$P$31,BX405:CI405,$E$28:$P$28)</f>
        <v>0.184416866619846</v>
      </c>
      <c r="CW405" s="60" t="n">
        <f aca="false">$F$28*SUMPRODUCT($E$32:$P$32,BX405:CI405,$E$28:$P$28)</f>
        <v>0</v>
      </c>
      <c r="CX405" s="60" t="n">
        <f aca="false">$G$28*SUMPRODUCT($E$33:$P$33,BX405:CI405,$E$28:$P$28)</f>
        <v>0</v>
      </c>
      <c r="CY405" s="60" t="n">
        <f aca="false">$H$28*SUMPRODUCT($E$34:$P$34,BX405:CI405,$E$28:$P$28)</f>
        <v>0</v>
      </c>
      <c r="CZ405" s="60" t="n">
        <f aca="false">$I$28*SUMPRODUCT($E$35:$P$35,BX405:CI405,$E$28:$P$28)</f>
        <v>0</v>
      </c>
      <c r="DA405" s="60" t="n">
        <f aca="false">$J$28*SUMPRODUCT($E$36:$P$36,BX405:CI405,$E$28:$P$28)</f>
        <v>0</v>
      </c>
      <c r="DB405" s="60" t="n">
        <f aca="false">$K$28*SUMPRODUCT($E$37:$P$37,BX405:CI405,$E$28:$P$28)</f>
        <v>0</v>
      </c>
      <c r="DC405" s="60" t="n">
        <f aca="false">$L$28*SUMPRODUCT($E$38:$P$38,BX405:CI405,$E$28:$P$28)</f>
        <v>0</v>
      </c>
      <c r="DD405" s="60" t="n">
        <f aca="false">$M$28*SUMPRODUCT($E$39:$P$39,BX405:CI405,$E$28:$P$28)</f>
        <v>0</v>
      </c>
      <c r="DE405" s="60" t="n">
        <f aca="false">$N$28*SUMPRODUCT($E$40:$P$40,BX405:CI405,$E$28:$P$28)</f>
        <v>0</v>
      </c>
      <c r="DF405" s="60" t="n">
        <f aca="false">$O$28*SUMPRODUCT($E$41:$P$41,BX405:CI405,$E$28:$P$28)</f>
        <v>0</v>
      </c>
      <c r="DG405" s="60" t="n">
        <f aca="false">$P$28*SUMPRODUCT($E$42:$P$42,BX405:CI405,$E$28:$P$28)</f>
        <v>0</v>
      </c>
      <c r="DH405" s="60" t="n">
        <f aca="false">SUMPRODUCT(BX405:CI405,CV405:DG405)</f>
        <v>0.184416866619846</v>
      </c>
      <c r="DI405" s="60" t="n">
        <f aca="false">SUMPRODUCT(BX405:CI405,$E$27:$P$27)</f>
        <v>2.67389635063809E-005</v>
      </c>
      <c r="DJ405" s="60" t="n">
        <f aca="false">DH405*$C$9/($C$10*$C$8)^2</f>
        <v>0.21776909410545</v>
      </c>
      <c r="DK405" s="60" t="n">
        <f aca="false">DI405*$C$9/($C$10*$C$8)</f>
        <v>0.0918845243259994</v>
      </c>
      <c r="DL405" s="60" t="n">
        <f aca="false">CHOOSE($C$7,-(1+DK405),-1,-(1-DK405))</f>
        <v>-0.908115475674001</v>
      </c>
      <c r="DM405" s="60" t="n">
        <f aca="false">CHOOSE($C$7,DJ405,DJ405-DK405-DK405^2,DJ405-3*DK405^2-2*DK405)</f>
        <v>0.00867174802160559</v>
      </c>
      <c r="DN405" s="60" t="n">
        <f aca="false">CHOOSE($C$7,-DJ405*DK405,-DJ405*DK405,-(DJ405*DK405-DK405^2-DK405^3))</f>
        <v>-0.0107910842936637</v>
      </c>
      <c r="DO405" s="60" t="n">
        <f aca="false">DM405-DL405^2/3</f>
        <v>-0.266219491031267</v>
      </c>
      <c r="DP405" s="60" t="n">
        <f aca="false">2*DL405^3/27-DL405*DM405/3+DN405</f>
        <v>-0.0636400988362784</v>
      </c>
      <c r="DQ405" s="60" t="n">
        <f aca="false">DP405^2/4+DO405^3/27</f>
        <v>0.000313710901361829</v>
      </c>
      <c r="DR405" s="60" t="n">
        <f aca="false">-DP405/2-IF(DP405&gt;=0,1,-1)*SQRT(MAX(DQ405,0))</f>
        <v>0.0495319352963236</v>
      </c>
      <c r="DS405" s="60" t="n">
        <f aca="false">SIGN(DR405)*ABS(DR405)^(1/3)</f>
        <v>0.367249967174439</v>
      </c>
      <c r="DT405" s="60" t="n">
        <f aca="false">IF(DS405=0,0,DS405-DO405/(3*DS405))</f>
        <v>0.60888329127384</v>
      </c>
      <c r="DU405" s="60" t="n">
        <f aca="false">2*SQRT(MAX(-DO405,0)/3)</f>
        <v>0.595784626668918</v>
      </c>
      <c r="DV405" s="60" t="n">
        <f aca="false">ACOS(IF(DU405=0,0,MAX(-1,MIN(1,3*DP405/(DO405*DU405)))))</f>
        <v>0</v>
      </c>
      <c r="DW405" s="60" t="n">
        <f aca="false">DU405*COS(DV405/3)</f>
        <v>0.595784626668918</v>
      </c>
      <c r="DX405" s="60" t="n">
        <f aca="false">IF(DQ405&lt;0,DW405,DT405)-DL405/3</f>
        <v>0.91158844983184</v>
      </c>
      <c r="DY405" s="60" t="n">
        <f aca="false">IFERROR((((DX405+DL405)*DX405+DM405)*DX405+DN405)/((3*DX405+2*DL405)*DX405+DM405),0)</f>
        <v>0</v>
      </c>
      <c r="DZ405" s="60" t="n">
        <f aca="false">IF(ABS(DY405)&lt;0.1*ABS(DX405),DX405-DY405,DX405)</f>
        <v>0.91158844983184</v>
      </c>
      <c r="EA405" s="60" t="n">
        <f aca="false">IFERROR((((DZ405+DL405)*DZ405+DM405)*DZ405+DN405)/((3*DZ405+2*DL405)*DZ405+DM405),0)</f>
        <v>0</v>
      </c>
      <c r="EB405" s="60" t="n">
        <f aca="false">IF(ABS(EA405)&lt;0.1*ABS(DZ405),DZ405-EA405,DZ405)</f>
        <v>0.91158844983184</v>
      </c>
      <c r="EC405" s="60" t="n">
        <f aca="false">-DN405/EB405</f>
        <v>0.0118376711504565</v>
      </c>
      <c r="ED405" s="60" t="n">
        <f aca="false">(DM405-EC405)/EB405</f>
        <v>-0.00347297415783941</v>
      </c>
      <c r="EE405" s="60" t="n">
        <f aca="false">ED405^2-4*EC405</f>
        <v>-0.0473386230523248</v>
      </c>
      <c r="EF405" s="60" t="n">
        <f aca="false">IF(EE405&gt;=0,(ED405+IF(ED405&gt;=0,1,-1)*SQRT(EE405))/2,0)</f>
        <v>0</v>
      </c>
      <c r="EG405" s="60" t="n">
        <f aca="false">IF(AND(EE405&gt;=0,EF405&lt;&gt;0),MIN(EF405,EC405/EF405),-1)</f>
        <v>-1</v>
      </c>
      <c r="EH405" s="60" t="n">
        <f aca="false">AND(EE405&gt;=0,EG405&gt;DK405,ABS(EB405-EG405)&gt;=0.00005*MAX(EB405,EG405))</f>
        <v>0</v>
      </c>
      <c r="EI405" s="60" t="n">
        <f aca="false">IF(EH405,IFERROR((((EG405+DL405)*EG405+DM405)*EG405+DN405)/((3*EG405+2*DL405)*EG405+DM405),0),0)</f>
        <v>0</v>
      </c>
      <c r="EJ405" s="60" t="n">
        <f aca="false">IF(ABS(EI405)&lt;0.1*ABS(EG405),EG405-EI405,EG405)</f>
        <v>-1</v>
      </c>
      <c r="EK405" s="60" t="n">
        <f aca="false">IF(EH405,IFERROR((((EJ405+DL405)*EJ405+DM405)*EJ405+DN405)/((3*EJ405+2*DL405)*EJ405+DM405),0),0)</f>
        <v>0</v>
      </c>
      <c r="EL405" s="60" t="n">
        <f aca="false">IF(ABS(EK405)&lt;0.1*ABS(EJ405),EJ405-EK405,EJ405)</f>
        <v>-1</v>
      </c>
      <c r="EM405" s="60" t="n">
        <f aca="false">IF(EH405,MAX(EB405,EL405),EB405)</f>
        <v>0.91158844983184</v>
      </c>
      <c r="EN405" s="60" t="n">
        <f aca="false">IF(EH405,MIN(EB405,EL405),-1)</f>
        <v>-1</v>
      </c>
      <c r="EO405" s="60" t="n">
        <f aca="false">CHOOSE($C$7,DJ405/EM405,DJ405/DK405*LN(1+DK405/EM405),DJ405/(2*SQRT(2)*DK405)*LN((EM405+(1+SQRT(2))*DK405)/(EM405+(1-SQRT(2))*DK405)))</f>
        <v>0.218240791233887</v>
      </c>
      <c r="EP405" s="60" t="n">
        <f aca="false">EM405-1-LN(EM405-DK405)-EO405</f>
        <v>-0.107840271021729</v>
      </c>
      <c r="EQ405" s="60" t="n">
        <f aca="false">IF(EH405,CHOOSE($C$7,DJ405/EN405,DJ405/DK405*LN(1+DK405/EN405),DJ405/(2*SQRT(2)*DK405)*LN((EN405+(1+SQRT(2))*DK405)/(EN405+(1-SQRT(2))*DK405))),0)</f>
        <v>0</v>
      </c>
      <c r="ER405" s="60" t="n">
        <f aca="false">IF(EH405,EN405-1-LN(EN405-DK405)-EQ405,0)</f>
        <v>0</v>
      </c>
      <c r="ES405" s="60" t="n">
        <f aca="false">AND(EH405,ER405&lt;EP405)</f>
        <v>0</v>
      </c>
      <c r="ET405" s="60" t="n">
        <f aca="false">IF(ES405,EN405,EM405)</f>
        <v>0.91158844983184</v>
      </c>
      <c r="EU405" s="60" t="n">
        <f aca="false">IF(ES405,EQ405,EO405)</f>
        <v>0.218240791233887</v>
      </c>
      <c r="EV405" s="60" t="n">
        <f aca="false">LN(ET405-DK405)</f>
        <v>-0.198812070380318</v>
      </c>
      <c r="EW405" s="60" t="n">
        <f aca="false">$E$27/DI405*(ET405-1)-EV405-EU405*(2*CV405/DH405-$E$27/DI405)</f>
        <v>-0.107840271021729</v>
      </c>
      <c r="EX405" s="60" t="n">
        <f aca="false">$F$27/DI405*(ET405-1)-EV405-EU405*(2*CW405/DH405-$F$27/DI405)</f>
        <v>0.198812070380318</v>
      </c>
      <c r="EY405" s="60" t="n">
        <f aca="false">$G$27/DI405*(ET405-1)-EV405-EU405*(2*CX405/DH405-$G$27/DI405)</f>
        <v>0.198812070380318</v>
      </c>
      <c r="EZ405" s="60" t="n">
        <f aca="false">$H$27/DI405*(ET405-1)-EV405-EU405*(2*CY405/DH405-$H$27/DI405)</f>
        <v>0.198812070380318</v>
      </c>
      <c r="FA405" s="60" t="n">
        <f aca="false">$I$27/DI405*(ET405-1)-EV405-EU405*(2*CZ405/DH405-$I$27/DI405)</f>
        <v>0.198812070380318</v>
      </c>
      <c r="FB405" s="60" t="n">
        <f aca="false">$J$27/DI405*(ET405-1)-EV405-EU405*(2*DA405/DH405-$J$27/DI405)</f>
        <v>0.198812070380318</v>
      </c>
      <c r="FC405" s="60" t="n">
        <f aca="false">$K$27/DI405*(ET405-1)-EV405-EU405*(2*DB405/DH405-$K$27/DI405)</f>
        <v>0.198812070380318</v>
      </c>
      <c r="FD405" s="60" t="n">
        <f aca="false">$L$27/DI405*(ET405-1)-EV405-EU405*(2*DC405/DH405-$L$27/DI405)</f>
        <v>0.198812070380318</v>
      </c>
      <c r="FE405" s="60" t="n">
        <f aca="false">$M$27/DI405*(ET405-1)-EV405-EU405*(2*DD405/DH405-$M$27/DI405)</f>
        <v>0.198812070380318</v>
      </c>
      <c r="FF405" s="60" t="n">
        <f aca="false">$N$27/DI405*(ET405-1)-EV405-EU405*(2*DE405/DH405-$N$27/DI405)</f>
        <v>0.198812070380318</v>
      </c>
      <c r="FG405" s="60" t="n">
        <f aca="false">$O$27/DI405*(ET405-1)-EV405-EU405*(2*DF405/DH405-$O$27/DI405)</f>
        <v>0.198812070380318</v>
      </c>
      <c r="FH405" s="60" t="n">
        <f aca="false">$P$27/DI405*(ET405-1)-EV405-EU405*(2*DG405/DH405-$P$27/DI405)</f>
        <v>0.198812070380318</v>
      </c>
      <c r="FI405" s="60" t="n">
        <f aca="false">DK405/ET405&gt;$C$22</f>
        <v>0</v>
      </c>
      <c r="FJ405" s="60" t="n">
        <f aca="false">$E$28*SUMPRODUCT($E$31:$P$31,CJ405:CU405,$E$28:$P$28)</f>
        <v>0.184416866619846</v>
      </c>
      <c r="FK405" s="60" t="n">
        <f aca="false">$F$28*SUMPRODUCT($E$32:$P$32,CJ405:CU405,$E$28:$P$28)</f>
        <v>0</v>
      </c>
      <c r="FL405" s="60" t="n">
        <f aca="false">$G$28*SUMPRODUCT($E$33:$P$33,CJ405:CU405,$E$28:$P$28)</f>
        <v>0</v>
      </c>
      <c r="FM405" s="60" t="n">
        <f aca="false">$H$28*SUMPRODUCT($E$34:$P$34,CJ405:CU405,$E$28:$P$28)</f>
        <v>0</v>
      </c>
      <c r="FN405" s="60" t="n">
        <f aca="false">$I$28*SUMPRODUCT($E$35:$P$35,CJ405:CU405,$E$28:$P$28)</f>
        <v>0</v>
      </c>
      <c r="FO405" s="60" t="n">
        <f aca="false">$J$28*SUMPRODUCT($E$36:$P$36,CJ405:CU405,$E$28:$P$28)</f>
        <v>0</v>
      </c>
      <c r="FP405" s="60" t="n">
        <f aca="false">$K$28*SUMPRODUCT($E$37:$P$37,CJ405:CU405,$E$28:$P$28)</f>
        <v>0</v>
      </c>
      <c r="FQ405" s="60" t="n">
        <f aca="false">$L$28*SUMPRODUCT($E$38:$P$38,CJ405:CU405,$E$28:$P$28)</f>
        <v>0</v>
      </c>
      <c r="FR405" s="60" t="n">
        <f aca="false">$M$28*SUMPRODUCT($E$39:$P$39,CJ405:CU405,$E$28:$P$28)</f>
        <v>0</v>
      </c>
      <c r="FS405" s="60" t="n">
        <f aca="false">$N$28*SUMPRODUCT($E$40:$P$40,CJ405:CU405,$E$28:$P$28)</f>
        <v>0</v>
      </c>
      <c r="FT405" s="60" t="n">
        <f aca="false">$O$28*SUMPRODUCT($E$41:$P$41,CJ405:CU405,$E$28:$P$28)</f>
        <v>0</v>
      </c>
      <c r="FU405" s="60" t="n">
        <f aca="false">$P$28*SUMPRODUCT($E$42:$P$42,CJ405:CU405,$E$28:$P$28)</f>
        <v>0</v>
      </c>
      <c r="FV405" s="60" t="n">
        <f aca="false">SUMPRODUCT(CJ405:CU405,FJ405:FU405)</f>
        <v>0.184416866619846</v>
      </c>
      <c r="FW405" s="60" t="n">
        <f aca="false">SUMPRODUCT(CJ405:CU405,$E$27:$P$27)</f>
        <v>2.67389635063809E-005</v>
      </c>
      <c r="FX405" s="60" t="n">
        <f aca="false">FV405*$C$9/($C$10*$C$8)^2</f>
        <v>0.21776909410545</v>
      </c>
      <c r="FY405" s="60" t="n">
        <f aca="false">FW405*$C$9/($C$10*$C$8)</f>
        <v>0.0918845243259994</v>
      </c>
      <c r="FZ405" s="60" t="n">
        <f aca="false">CHOOSE($C$7,-(1+FY405),-1,-(1-FY405))</f>
        <v>-0.908115475674001</v>
      </c>
      <c r="GA405" s="60" t="n">
        <f aca="false">CHOOSE($C$7,FX405,FX405-FY405-FY405^2,FX405-3*FY405^2-2*FY405)</f>
        <v>0.00867174802160559</v>
      </c>
      <c r="GB405" s="60" t="n">
        <f aca="false">CHOOSE($C$7,-FX405*FY405,-FX405*FY405,-(FX405*FY405-FY405^2-FY405^3))</f>
        <v>-0.0107910842936637</v>
      </c>
      <c r="GC405" s="60" t="n">
        <f aca="false">GA405-FZ405^2/3</f>
        <v>-0.266219491031267</v>
      </c>
      <c r="GD405" s="60" t="n">
        <f aca="false">2*FZ405^3/27-FZ405*GA405/3+GB405</f>
        <v>-0.0636400988362784</v>
      </c>
      <c r="GE405" s="60" t="n">
        <f aca="false">GD405^2/4+GC405^3/27</f>
        <v>0.000313710901361829</v>
      </c>
      <c r="GF405" s="60" t="n">
        <f aca="false">-GD405/2-IF(GD405&gt;=0,1,-1)*SQRT(MAX(GE405,0))</f>
        <v>0.0495319352963236</v>
      </c>
      <c r="GG405" s="60" t="n">
        <f aca="false">SIGN(GF405)*ABS(GF405)^(1/3)</f>
        <v>0.367249967174439</v>
      </c>
      <c r="GH405" s="60" t="n">
        <f aca="false">IF(GG405=0,0,GG405-GC405/(3*GG405))</f>
        <v>0.60888329127384</v>
      </c>
      <c r="GI405" s="60" t="n">
        <f aca="false">2*SQRT(MAX(-GC405,0)/3)</f>
        <v>0.595784626668918</v>
      </c>
      <c r="GJ405" s="60" t="n">
        <f aca="false">ACOS(IF(GI405=0,0,MAX(-1,MIN(1,3*GD405/(GC405*GI405)))))</f>
        <v>0</v>
      </c>
      <c r="GK405" s="60" t="n">
        <f aca="false">GI405*COS(GJ405/3)</f>
        <v>0.595784626668918</v>
      </c>
      <c r="GL405" s="60" t="n">
        <f aca="false">IF(GE405&lt;0,GK405,GH405)-FZ405/3</f>
        <v>0.91158844983184</v>
      </c>
      <c r="GM405" s="60" t="n">
        <f aca="false">IFERROR((((GL405+FZ405)*GL405+GA405)*GL405+GB405)/((3*GL405+2*FZ405)*GL405+GA405),0)</f>
        <v>0</v>
      </c>
      <c r="GN405" s="60" t="n">
        <f aca="false">IF(ABS(GM405)&lt;0.1*ABS(GL405),GL405-GM405,GL405)</f>
        <v>0.91158844983184</v>
      </c>
      <c r="GO405" s="60" t="n">
        <f aca="false">IFERROR((((GN405+FZ405)*GN405+GA405)*GN405+GB405)/((3*GN405+2*FZ405)*GN405+GA405),0)</f>
        <v>0</v>
      </c>
      <c r="GP405" s="60" t="n">
        <f aca="false">IF(ABS(GO405)&lt;0.1*ABS(GN405),GN405-GO405,GN405)</f>
        <v>0.91158844983184</v>
      </c>
      <c r="GQ405" s="60" t="n">
        <f aca="false">-GB405/GP405</f>
        <v>0.0118376711504565</v>
      </c>
      <c r="GR405" s="60" t="n">
        <f aca="false">(GA405-GQ405)/GP405</f>
        <v>-0.00347297415783941</v>
      </c>
      <c r="GS405" s="60" t="n">
        <f aca="false">GR405^2-4*GQ405</f>
        <v>-0.0473386230523248</v>
      </c>
      <c r="GT405" s="60" t="n">
        <f aca="false">IF(GS405&gt;=0,(GR405+IF(GR405&gt;=0,1,-1)*SQRT(GS405))/2,0)</f>
        <v>0</v>
      </c>
      <c r="GU405" s="60" t="n">
        <f aca="false">IF(AND(GS405&gt;=0,GT405&lt;&gt;0),MIN(GT405,GQ405/GT405),-1)</f>
        <v>-1</v>
      </c>
      <c r="GV405" s="60" t="n">
        <f aca="false">AND(GS405&gt;=0,GU405&gt;FY405,ABS(GP405-GU405)&gt;=0.00005*MAX(GP405,GU405))</f>
        <v>0</v>
      </c>
      <c r="GW405" s="60" t="n">
        <f aca="false">IF(GV405,IFERROR((((GU405+FZ405)*GU405+GA405)*GU405+GB405)/((3*GU405+2*FZ405)*GU405+GA405),0),0)</f>
        <v>0</v>
      </c>
      <c r="GX405" s="60" t="n">
        <f aca="false">IF(ABS(GW405)&lt;0.1*ABS(GU405),GU405-GW405,GU405)</f>
        <v>-1</v>
      </c>
      <c r="GY405" s="60" t="n">
        <f aca="false">IF(GV405,IFERROR((((GX405+FZ405)*GX405+GA405)*GX405+GB405)/((3*GX405+2*FZ405)*GX405+GA405),0),0)</f>
        <v>0</v>
      </c>
      <c r="GZ405" s="60" t="n">
        <f aca="false">IF(ABS(GY405)&lt;0.1*ABS(GX405),GX405-GY405,GX405)</f>
        <v>-1</v>
      </c>
      <c r="HA405" s="60" t="n">
        <f aca="false">IF(GV405,MAX(GP405,GZ405),GP405)</f>
        <v>0.91158844983184</v>
      </c>
      <c r="HB405" s="60" t="n">
        <f aca="false">IF(GV405,MIN(GP405,GZ405),-1)</f>
        <v>-1</v>
      </c>
      <c r="HC405" s="60" t="n">
        <f aca="false">CHOOSE($C$7,FX405/HA405,FX405/FY405*LN(1+FY405/HA405),FX405/(2*SQRT(2)*FY405)*LN((HA405+(1+SQRT(2))*FY405)/(HA405+(1-SQRT(2))*FY405)))</f>
        <v>0.218240791233887</v>
      </c>
      <c r="HD405" s="60" t="n">
        <f aca="false">HA405-1-LN(HA405-FY405)-HC405</f>
        <v>-0.107840271021729</v>
      </c>
      <c r="HE405" s="60" t="n">
        <f aca="false">IF(GV405,CHOOSE($C$7,FX405/HB405,FX405/FY405*LN(1+FY405/HB405),FX405/(2*SQRT(2)*FY405)*LN((HB405+(1+SQRT(2))*FY405)/(HB405+(1-SQRT(2))*FY405))),0)</f>
        <v>0</v>
      </c>
      <c r="HF405" s="60" t="n">
        <f aca="false">IF(GV405,HB405-1-LN(HB405-FY405)-HE405,0)</f>
        <v>0</v>
      </c>
      <c r="HG405" s="60" t="n">
        <f aca="false">AND(GV405,HF405&lt;HD405)</f>
        <v>0</v>
      </c>
      <c r="HH405" s="60" t="n">
        <f aca="false">IF(HG405,HB405,HA405)</f>
        <v>0.91158844983184</v>
      </c>
      <c r="HI405" s="60" t="n">
        <f aca="false">IF(HG405,HE405,HC405)</f>
        <v>0.218240791233887</v>
      </c>
      <c r="HJ405" s="60" t="n">
        <f aca="false">LN(HH405-FY405)</f>
        <v>-0.198812070380318</v>
      </c>
      <c r="HK405" s="60" t="n">
        <f aca="false">$E$27/FW405*(HH405-1)-HJ405-HI405*(2*FJ405/FV405-$E$27/FW405)</f>
        <v>-0.107840271021729</v>
      </c>
      <c r="HL405" s="60" t="n">
        <f aca="false">$F$27/FW405*(HH405-1)-HJ405-HI405*(2*FK405/FV405-$F$27/FW405)</f>
        <v>0.198812070380318</v>
      </c>
      <c r="HM405" s="60" t="n">
        <f aca="false">$G$27/FW405*(HH405-1)-HJ405-HI405*(2*FL405/FV405-$G$27/FW405)</f>
        <v>0.198812070380318</v>
      </c>
      <c r="HN405" s="60" t="n">
        <f aca="false">$H$27/FW405*(HH405-1)-HJ405-HI405*(2*FM405/FV405-$H$27/FW405)</f>
        <v>0.198812070380318</v>
      </c>
      <c r="HO405" s="60" t="n">
        <f aca="false">$I$27/FW405*(HH405-1)-HJ405-HI405*(2*FN405/FV405-$I$27/FW405)</f>
        <v>0.198812070380318</v>
      </c>
      <c r="HP405" s="60" t="n">
        <f aca="false">$J$27/FW405*(HH405-1)-HJ405-HI405*(2*FO405/FV405-$J$27/FW405)</f>
        <v>0.198812070380318</v>
      </c>
      <c r="HQ405" s="60" t="n">
        <f aca="false">$K$27/FW405*(HH405-1)-HJ405-HI405*(2*FP405/FV405-$K$27/FW405)</f>
        <v>0.198812070380318</v>
      </c>
      <c r="HR405" s="60" t="n">
        <f aca="false">$L$27/FW405*(HH405-1)-HJ405-HI405*(2*FQ405/FV405-$L$27/FW405)</f>
        <v>0.198812070380318</v>
      </c>
      <c r="HS405" s="60" t="n">
        <f aca="false">$M$27/FW405*(HH405-1)-HJ405-HI405*(2*FR405/FV405-$M$27/FW405)</f>
        <v>0.198812070380318</v>
      </c>
      <c r="HT405" s="60" t="n">
        <f aca="false">$N$27/FW405*(HH405-1)-HJ405-HI405*(2*FS405/FV405-$N$27/FW405)</f>
        <v>0.198812070380318</v>
      </c>
      <c r="HU405" s="60" t="n">
        <f aca="false">$O$27/FW405*(HH405-1)-HJ405-HI405*(2*FT405/FV405-$O$27/FW405)</f>
        <v>0.198812070380318</v>
      </c>
      <c r="HV405" s="60" t="n">
        <f aca="false">$P$27/FW405*(HH405-1)-HJ405-HI405*(2*FU405/FV405-$P$27/FW405)</f>
        <v>0.198812070380318</v>
      </c>
      <c r="HW405" s="60" t="n">
        <f aca="false">FY405/HH405&gt;$C$22</f>
        <v>0</v>
      </c>
      <c r="HX405" s="60" t="n">
        <f aca="false">IF($E$13&gt;0,MAX(-300,MIN(300,EW405-HK405)),0)</f>
        <v>0</v>
      </c>
      <c r="HY405" s="60" t="n">
        <f aca="false">IF($F$13&gt;0,MAX(-300,MIN(300,EX405-HL405)),0)</f>
        <v>0</v>
      </c>
      <c r="HZ405" s="60" t="n">
        <f aca="false">IF($G$13&gt;0,MAX(-300,MIN(300,EY405-HM405)),0)</f>
        <v>0</v>
      </c>
      <c r="IA405" s="60" t="n">
        <f aca="false">IF($H$13&gt;0,MAX(-300,MIN(300,EZ405-HN405)),0)</f>
        <v>0</v>
      </c>
      <c r="IB405" s="60" t="n">
        <f aca="false">IF($I$13&gt;0,MAX(-300,MIN(300,FA405-HO405)),0)</f>
        <v>0</v>
      </c>
      <c r="IC405" s="60" t="n">
        <f aca="false">IF($J$13&gt;0,MAX(-300,MIN(300,FB405-HP405)),0)</f>
        <v>0</v>
      </c>
      <c r="ID405" s="60" t="n">
        <f aca="false">IF($K$13&gt;0,MAX(-300,MIN(300,FC405-HQ405)),0)</f>
        <v>0</v>
      </c>
      <c r="IE405" s="60" t="n">
        <f aca="false">IF($L$13&gt;0,MAX(-300,MIN(300,FD405-HR405)),0)</f>
        <v>0</v>
      </c>
      <c r="IF405" s="60" t="n">
        <f aca="false">IF($M$13&gt;0,MAX(-300,MIN(300,FE405-HS405)),0)</f>
        <v>0</v>
      </c>
      <c r="IG405" s="60" t="n">
        <f aca="false">IF($N$13&gt;0,MAX(-300,MIN(300,FF405-HT405)),0)</f>
        <v>0</v>
      </c>
      <c r="IH405" s="60" t="n">
        <f aca="false">IF($O$13&gt;0,MAX(-300,MIN(300,FG405-HU405)),0)</f>
        <v>0</v>
      </c>
      <c r="II405" s="60" t="n">
        <f aca="false">IF($P$13&gt;0,MAX(-300,MIN(300,FH405-HV405)),0)</f>
        <v>0</v>
      </c>
      <c r="IJ405" s="60" t="n">
        <f aca="false">SUMXMY2(HX405:II405,B405:M405)</f>
        <v>0</v>
      </c>
      <c r="IK405" s="60" t="n">
        <f aca="false">SUMSQ(B405:M405)</f>
        <v>0</v>
      </c>
    </row>
    <row r="406" customFormat="false" ht="15" hidden="false" customHeight="false" outlineLevel="0" collapsed="false">
      <c r="A406" s="59" t="n">
        <v>45</v>
      </c>
      <c r="B406" s="60" t="n">
        <f aca="false">HX405</f>
        <v>0</v>
      </c>
      <c r="C406" s="60" t="n">
        <f aca="false">HY405</f>
        <v>0</v>
      </c>
      <c r="D406" s="60" t="n">
        <f aca="false">HZ405</f>
        <v>0</v>
      </c>
      <c r="E406" s="60" t="n">
        <f aca="false">IA405</f>
        <v>0</v>
      </c>
      <c r="F406" s="60" t="n">
        <f aca="false">IB405</f>
        <v>0</v>
      </c>
      <c r="G406" s="60" t="n">
        <f aca="false">IC405</f>
        <v>0</v>
      </c>
      <c r="H406" s="60" t="n">
        <f aca="false">ID405</f>
        <v>0</v>
      </c>
      <c r="I406" s="60" t="n">
        <f aca="false">IE405</f>
        <v>0</v>
      </c>
      <c r="J406" s="60" t="n">
        <f aca="false">IF405</f>
        <v>0</v>
      </c>
      <c r="K406" s="60" t="n">
        <f aca="false">IG405</f>
        <v>0</v>
      </c>
      <c r="L406" s="60" t="n">
        <f aca="false">IH405</f>
        <v>0</v>
      </c>
      <c r="M406" s="60" t="n">
        <f aca="false">II405</f>
        <v>0</v>
      </c>
      <c r="N406" s="60" t="n">
        <f aca="false">EXP(B406)</f>
        <v>1</v>
      </c>
      <c r="O406" s="60" t="n">
        <f aca="false">EXP(C406)</f>
        <v>1</v>
      </c>
      <c r="P406" s="60" t="n">
        <f aca="false">EXP(D406)</f>
        <v>1</v>
      </c>
      <c r="Q406" s="60" t="n">
        <f aca="false">EXP(E406)</f>
        <v>1</v>
      </c>
      <c r="R406" s="60" t="n">
        <f aca="false">EXP(F406)</f>
        <v>1</v>
      </c>
      <c r="S406" s="60" t="n">
        <f aca="false">EXP(G406)</f>
        <v>1</v>
      </c>
      <c r="T406" s="60" t="n">
        <f aca="false">EXP(H406)</f>
        <v>1</v>
      </c>
      <c r="U406" s="60" t="n">
        <f aca="false">EXP(I406)</f>
        <v>1</v>
      </c>
      <c r="V406" s="60" t="n">
        <f aca="false">EXP(J406)</f>
        <v>1</v>
      </c>
      <c r="W406" s="60" t="n">
        <f aca="false">EXP(K406)</f>
        <v>1</v>
      </c>
      <c r="X406" s="60" t="n">
        <f aca="false">EXP(L406)</f>
        <v>1</v>
      </c>
      <c r="Y406" s="60" t="n">
        <f aca="false">EXP(M406)</f>
        <v>1</v>
      </c>
      <c r="Z406" s="60" t="n">
        <f aca="false">MAX(N406:Y406)</f>
        <v>1</v>
      </c>
      <c r="AA406" s="60" t="n">
        <f aca="false">MIN(N406:Y406)</f>
        <v>1</v>
      </c>
      <c r="AB406" s="60" t="n">
        <f aca="false">AND(Z406&gt;1,AA406&lt;1)</f>
        <v>0</v>
      </c>
      <c r="AC406" s="60" t="n">
        <f aca="false">IF(AB406,1/(1-Z406),0)</f>
        <v>0</v>
      </c>
      <c r="AD406" s="60" t="n">
        <f aca="false">IF(AB406,1/(1-AA406),1)</f>
        <v>1</v>
      </c>
      <c r="AE406" s="60" t="n">
        <f aca="false">IF(AB406,MIN(MAX(BI405,AC406+0.000000001*(AD406-AC406)),AD406-0.000000001*(AD406-AC406)),IF(AA406&gt;=1,1,0))</f>
        <v>1</v>
      </c>
      <c r="AF406" s="60" t="n">
        <f aca="false">SUMPRODUCT($E$13:$P$13*(N406:Y406-1)/(1+AE406*(N406:Y406-1)))</f>
        <v>0</v>
      </c>
      <c r="AG406" s="60" t="n">
        <f aca="false">-SUMPRODUCT($E$13:$P$13*(N406:Y406-1)^2/(1+AE406*(N406:Y406-1))^2)</f>
        <v>-0</v>
      </c>
      <c r="AH406" s="60" t="n">
        <f aca="false">IF(OR(NOT(AB406),AG406=0),AE406,IF(AE406-AF406/AG406&lt;=AC406,(AE406+AC406)/2,IF(AE406-AF406/AG406&gt;=AD406,(AE406+AD406)/2,AE406-AF406/AG406)))</f>
        <v>1</v>
      </c>
      <c r="AI406" s="60" t="n">
        <f aca="false">SUMPRODUCT($E$13:$P$13*(N406:Y406-1)/(1+AH406*(N406:Y406-1)))</f>
        <v>0</v>
      </c>
      <c r="AJ406" s="60" t="n">
        <f aca="false">-SUMPRODUCT($E$13:$P$13*(N406:Y406-1)^2/(1+AH406*(N406:Y406-1))^2)</f>
        <v>-0</v>
      </c>
      <c r="AK406" s="60" t="n">
        <f aca="false">IF(OR(NOT(AB406),AJ406=0),AH406,IF(AH406-AI406/AJ406&lt;=AC406,(AH406+AC406)/2,IF(AH406-AI406/AJ406&gt;=AD406,(AH406+AD406)/2,AH406-AI406/AJ406)))</f>
        <v>1</v>
      </c>
      <c r="AL406" s="60" t="n">
        <f aca="false">SUMPRODUCT($E$13:$P$13*(N406:Y406-1)/(1+AK406*(N406:Y406-1)))</f>
        <v>0</v>
      </c>
      <c r="AM406" s="60" t="n">
        <f aca="false">-SUMPRODUCT($E$13:$P$13*(N406:Y406-1)^2/(1+AK406*(N406:Y406-1))^2)</f>
        <v>-0</v>
      </c>
      <c r="AN406" s="60" t="n">
        <f aca="false">IF(OR(NOT(AB406),AM406=0),AK406,IF(AK406-AL406/AM406&lt;=AC406,(AK406+AC406)/2,IF(AK406-AL406/AM406&gt;=AD406,(AK406+AD406)/2,AK406-AL406/AM406)))</f>
        <v>1</v>
      </c>
      <c r="AO406" s="60" t="n">
        <f aca="false">SUMPRODUCT($E$13:$P$13*(N406:Y406-1)/(1+AN406*(N406:Y406-1)))</f>
        <v>0</v>
      </c>
      <c r="AP406" s="60" t="n">
        <f aca="false">-SUMPRODUCT($E$13:$P$13*(N406:Y406-1)^2/(1+AN406*(N406:Y406-1))^2)</f>
        <v>-0</v>
      </c>
      <c r="AQ406" s="60" t="n">
        <f aca="false">IF(OR(NOT(AB406),AP406=0),AN406,IF(AN406-AO406/AP406&lt;=AC406,(AN406+AC406)/2,IF(AN406-AO406/AP406&gt;=AD406,(AN406+AD406)/2,AN406-AO406/AP406)))</f>
        <v>1</v>
      </c>
      <c r="AR406" s="60" t="n">
        <f aca="false">SUMPRODUCT($E$13:$P$13*(N406:Y406-1)/(1+AQ406*(N406:Y406-1)))</f>
        <v>0</v>
      </c>
      <c r="AS406" s="60" t="n">
        <f aca="false">-SUMPRODUCT($E$13:$P$13*(N406:Y406-1)^2/(1+AQ406*(N406:Y406-1))^2)</f>
        <v>-0</v>
      </c>
      <c r="AT406" s="60" t="n">
        <f aca="false">IF(OR(NOT(AB406),AS406=0),AQ406,IF(AQ406-AR406/AS406&lt;=AC406,(AQ406+AC406)/2,IF(AQ406-AR406/AS406&gt;=AD406,(AQ406+AD406)/2,AQ406-AR406/AS406)))</f>
        <v>1</v>
      </c>
      <c r="AU406" s="60" t="n">
        <f aca="false">SUMPRODUCT($E$13:$P$13*(N406:Y406-1)/(1+AT406*(N406:Y406-1)))</f>
        <v>0</v>
      </c>
      <c r="AV406" s="60" t="n">
        <f aca="false">-SUMPRODUCT($E$13:$P$13*(N406:Y406-1)^2/(1+AT406*(N406:Y406-1))^2)</f>
        <v>-0</v>
      </c>
      <c r="AW406" s="60" t="n">
        <f aca="false">IF(OR(NOT(AB406),AV406=0),AT406,IF(AT406-AU406/AV406&lt;=AC406,(AT406+AC406)/2,IF(AT406-AU406/AV406&gt;=AD406,(AT406+AD406)/2,AT406-AU406/AV406)))</f>
        <v>1</v>
      </c>
      <c r="AX406" s="60" t="n">
        <f aca="false">SUMPRODUCT($E$13:$P$13*(N406:Y406-1)/(1+AW406*(N406:Y406-1)))</f>
        <v>0</v>
      </c>
      <c r="AY406" s="60" t="n">
        <f aca="false">-SUMPRODUCT($E$13:$P$13*(N406:Y406-1)^2/(1+AW406*(N406:Y406-1))^2)</f>
        <v>-0</v>
      </c>
      <c r="AZ406" s="60" t="n">
        <f aca="false">IF(OR(NOT(AB406),AY406=0),AW406,IF(AW406-AX406/AY406&lt;=AC406,(AW406+AC406)/2,IF(AW406-AX406/AY406&gt;=AD406,(AW406+AD406)/2,AW406-AX406/AY406)))</f>
        <v>1</v>
      </c>
      <c r="BA406" s="60" t="n">
        <f aca="false">SUMPRODUCT($E$13:$P$13*(N406:Y406-1)/(1+AZ406*(N406:Y406-1)))</f>
        <v>0</v>
      </c>
      <c r="BB406" s="60" t="n">
        <f aca="false">-SUMPRODUCT($E$13:$P$13*(N406:Y406-1)^2/(1+AZ406*(N406:Y406-1))^2)</f>
        <v>-0</v>
      </c>
      <c r="BC406" s="60" t="n">
        <f aca="false">IF(OR(NOT(AB406),BB406=0),AZ406,IF(AZ406-BA406/BB406&lt;=AC406,(AZ406+AC406)/2,IF(AZ406-BA406/BB406&gt;=AD406,(AZ406+AD406)/2,AZ406-BA406/BB406)))</f>
        <v>1</v>
      </c>
      <c r="BD406" s="60" t="n">
        <f aca="false">SUMPRODUCT($E$13:$P$13*(N406:Y406-1)/(1+BC406*(N406:Y406-1)))</f>
        <v>0</v>
      </c>
      <c r="BE406" s="60" t="n">
        <f aca="false">-SUMPRODUCT($E$13:$P$13*(N406:Y406-1)^2/(1+BC406*(N406:Y406-1))^2)</f>
        <v>-0</v>
      </c>
      <c r="BF406" s="60" t="n">
        <f aca="false">IF(OR(NOT(AB406),BE406=0),BC406,IF(BC406-BD406/BE406&lt;=AC406,(BC406+AC406)/2,IF(BC406-BD406/BE406&gt;=AD406,(BC406+AD406)/2,BC406-BD406/BE406)))</f>
        <v>1</v>
      </c>
      <c r="BG406" s="60" t="n">
        <f aca="false">SUMPRODUCT($E$13:$P$13*(N406:Y406-1)/(1+BF406*(N406:Y406-1)))</f>
        <v>0</v>
      </c>
      <c r="BH406" s="60" t="n">
        <f aca="false">-SUMPRODUCT($E$13:$P$13*(N406:Y406-1)^2/(1+BF406*(N406:Y406-1))^2)</f>
        <v>-0</v>
      </c>
      <c r="BI406" s="60" t="n">
        <f aca="false">IF(OR(NOT(AB406),BH406=0),BF406,IF(BF406-BG406/BH406&lt;=AC406,(BF406+AC406)/2,IF(BF406-BG406/BH406&gt;=AD406,(BF406+AD406)/2,BF406-BG406/BH406)))</f>
        <v>1</v>
      </c>
      <c r="BJ406" s="60" t="n">
        <f aca="false">$E$13/(1+BI406*(N406-1))</f>
        <v>1</v>
      </c>
      <c r="BK406" s="60" t="n">
        <f aca="false">$F$13/(1+BI406*(O406-1))</f>
        <v>0</v>
      </c>
      <c r="BL406" s="60" t="n">
        <f aca="false">$G$13/(1+BI406*(P406-1))</f>
        <v>0</v>
      </c>
      <c r="BM406" s="60" t="n">
        <f aca="false">$H$13/(1+BI406*(Q406-1))</f>
        <v>0</v>
      </c>
      <c r="BN406" s="60" t="n">
        <f aca="false">$I$13/(1+BI406*(R406-1))</f>
        <v>0</v>
      </c>
      <c r="BO406" s="60" t="n">
        <f aca="false">$J$13/(1+BI406*(S406-1))</f>
        <v>0</v>
      </c>
      <c r="BP406" s="60" t="n">
        <f aca="false">$K$13/(1+BI406*(T406-1))</f>
        <v>0</v>
      </c>
      <c r="BQ406" s="60" t="n">
        <f aca="false">$L$13/(1+BI406*(U406-1))</f>
        <v>0</v>
      </c>
      <c r="BR406" s="60" t="n">
        <f aca="false">$M$13/(1+BI406*(V406-1))</f>
        <v>0</v>
      </c>
      <c r="BS406" s="60" t="n">
        <f aca="false">$N$13/(1+BI406*(W406-1))</f>
        <v>0</v>
      </c>
      <c r="BT406" s="60" t="n">
        <f aca="false">$O$13/(1+BI406*(X406-1))</f>
        <v>0</v>
      </c>
      <c r="BU406" s="60" t="n">
        <f aca="false">$P$13/(1+BI406*(Y406-1))</f>
        <v>0</v>
      </c>
      <c r="BV406" s="60" t="n">
        <f aca="false">SUM(BJ406:BU406)</f>
        <v>1</v>
      </c>
      <c r="BW406" s="60" t="n">
        <f aca="false">SUMPRODUCT(N406:Y406,BJ406:BU406)</f>
        <v>1</v>
      </c>
      <c r="BX406" s="60" t="n">
        <f aca="false">BJ406/BV406</f>
        <v>1</v>
      </c>
      <c r="BY406" s="60" t="n">
        <f aca="false">BK406/BV406</f>
        <v>0</v>
      </c>
      <c r="BZ406" s="60" t="n">
        <f aca="false">BL406/BV406</f>
        <v>0</v>
      </c>
      <c r="CA406" s="60" t="n">
        <f aca="false">BM406/BV406</f>
        <v>0</v>
      </c>
      <c r="CB406" s="60" t="n">
        <f aca="false">BN406/BV406</f>
        <v>0</v>
      </c>
      <c r="CC406" s="60" t="n">
        <f aca="false">BO406/BV406</f>
        <v>0</v>
      </c>
      <c r="CD406" s="60" t="n">
        <f aca="false">BP406/BV406</f>
        <v>0</v>
      </c>
      <c r="CE406" s="60" t="n">
        <f aca="false">BQ406/BV406</f>
        <v>0</v>
      </c>
      <c r="CF406" s="60" t="n">
        <f aca="false">BR406/BV406</f>
        <v>0</v>
      </c>
      <c r="CG406" s="60" t="n">
        <f aca="false">BS406/BV406</f>
        <v>0</v>
      </c>
      <c r="CH406" s="60" t="n">
        <f aca="false">BT406/BV406</f>
        <v>0</v>
      </c>
      <c r="CI406" s="60" t="n">
        <f aca="false">BU406/BV406</f>
        <v>0</v>
      </c>
      <c r="CJ406" s="60" t="n">
        <f aca="false">N406*BJ406/BW406</f>
        <v>1</v>
      </c>
      <c r="CK406" s="60" t="n">
        <f aca="false">O406*BK406/BW406</f>
        <v>0</v>
      </c>
      <c r="CL406" s="60" t="n">
        <f aca="false">P406*BL406/BW406</f>
        <v>0</v>
      </c>
      <c r="CM406" s="60" t="n">
        <f aca="false">Q406*BM406/BW406</f>
        <v>0</v>
      </c>
      <c r="CN406" s="60" t="n">
        <f aca="false">R406*BN406/BW406</f>
        <v>0</v>
      </c>
      <c r="CO406" s="60" t="n">
        <f aca="false">S406*BO406/BW406</f>
        <v>0</v>
      </c>
      <c r="CP406" s="60" t="n">
        <f aca="false">T406*BP406/BW406</f>
        <v>0</v>
      </c>
      <c r="CQ406" s="60" t="n">
        <f aca="false">U406*BQ406/BW406</f>
        <v>0</v>
      </c>
      <c r="CR406" s="60" t="n">
        <f aca="false">V406*BR406/BW406</f>
        <v>0</v>
      </c>
      <c r="CS406" s="60" t="n">
        <f aca="false">W406*BS406/BW406</f>
        <v>0</v>
      </c>
      <c r="CT406" s="60" t="n">
        <f aca="false">X406*BT406/BW406</f>
        <v>0</v>
      </c>
      <c r="CU406" s="60" t="n">
        <f aca="false">Y406*BU406/BW406</f>
        <v>0</v>
      </c>
      <c r="CV406" s="60" t="n">
        <f aca="false">$E$28*SUMPRODUCT($E$31:$P$31,BX406:CI406,$E$28:$P$28)</f>
        <v>0.184416866619846</v>
      </c>
      <c r="CW406" s="60" t="n">
        <f aca="false">$F$28*SUMPRODUCT($E$32:$P$32,BX406:CI406,$E$28:$P$28)</f>
        <v>0</v>
      </c>
      <c r="CX406" s="60" t="n">
        <f aca="false">$G$28*SUMPRODUCT($E$33:$P$33,BX406:CI406,$E$28:$P$28)</f>
        <v>0</v>
      </c>
      <c r="CY406" s="60" t="n">
        <f aca="false">$H$28*SUMPRODUCT($E$34:$P$34,BX406:CI406,$E$28:$P$28)</f>
        <v>0</v>
      </c>
      <c r="CZ406" s="60" t="n">
        <f aca="false">$I$28*SUMPRODUCT($E$35:$P$35,BX406:CI406,$E$28:$P$28)</f>
        <v>0</v>
      </c>
      <c r="DA406" s="60" t="n">
        <f aca="false">$J$28*SUMPRODUCT($E$36:$P$36,BX406:CI406,$E$28:$P$28)</f>
        <v>0</v>
      </c>
      <c r="DB406" s="60" t="n">
        <f aca="false">$K$28*SUMPRODUCT($E$37:$P$37,BX406:CI406,$E$28:$P$28)</f>
        <v>0</v>
      </c>
      <c r="DC406" s="60" t="n">
        <f aca="false">$L$28*SUMPRODUCT($E$38:$P$38,BX406:CI406,$E$28:$P$28)</f>
        <v>0</v>
      </c>
      <c r="DD406" s="60" t="n">
        <f aca="false">$M$28*SUMPRODUCT($E$39:$P$39,BX406:CI406,$E$28:$P$28)</f>
        <v>0</v>
      </c>
      <c r="DE406" s="60" t="n">
        <f aca="false">$N$28*SUMPRODUCT($E$40:$P$40,BX406:CI406,$E$28:$P$28)</f>
        <v>0</v>
      </c>
      <c r="DF406" s="60" t="n">
        <f aca="false">$O$28*SUMPRODUCT($E$41:$P$41,BX406:CI406,$E$28:$P$28)</f>
        <v>0</v>
      </c>
      <c r="DG406" s="60" t="n">
        <f aca="false">$P$28*SUMPRODUCT($E$42:$P$42,BX406:CI406,$E$28:$P$28)</f>
        <v>0</v>
      </c>
      <c r="DH406" s="60" t="n">
        <f aca="false">SUMPRODUCT(BX406:CI406,CV406:DG406)</f>
        <v>0.184416866619846</v>
      </c>
      <c r="DI406" s="60" t="n">
        <f aca="false">SUMPRODUCT(BX406:CI406,$E$27:$P$27)</f>
        <v>2.67389635063809E-005</v>
      </c>
      <c r="DJ406" s="60" t="n">
        <f aca="false">DH406*$C$9/($C$10*$C$8)^2</f>
        <v>0.21776909410545</v>
      </c>
      <c r="DK406" s="60" t="n">
        <f aca="false">DI406*$C$9/($C$10*$C$8)</f>
        <v>0.0918845243259994</v>
      </c>
      <c r="DL406" s="60" t="n">
        <f aca="false">CHOOSE($C$7,-(1+DK406),-1,-(1-DK406))</f>
        <v>-0.908115475674001</v>
      </c>
      <c r="DM406" s="60" t="n">
        <f aca="false">CHOOSE($C$7,DJ406,DJ406-DK406-DK406^2,DJ406-3*DK406^2-2*DK406)</f>
        <v>0.00867174802160559</v>
      </c>
      <c r="DN406" s="60" t="n">
        <f aca="false">CHOOSE($C$7,-DJ406*DK406,-DJ406*DK406,-(DJ406*DK406-DK406^2-DK406^3))</f>
        <v>-0.0107910842936637</v>
      </c>
      <c r="DO406" s="60" t="n">
        <f aca="false">DM406-DL406^2/3</f>
        <v>-0.266219491031267</v>
      </c>
      <c r="DP406" s="60" t="n">
        <f aca="false">2*DL406^3/27-DL406*DM406/3+DN406</f>
        <v>-0.0636400988362784</v>
      </c>
      <c r="DQ406" s="60" t="n">
        <f aca="false">DP406^2/4+DO406^3/27</f>
        <v>0.000313710901361829</v>
      </c>
      <c r="DR406" s="60" t="n">
        <f aca="false">-DP406/2-IF(DP406&gt;=0,1,-1)*SQRT(MAX(DQ406,0))</f>
        <v>0.0495319352963236</v>
      </c>
      <c r="DS406" s="60" t="n">
        <f aca="false">SIGN(DR406)*ABS(DR406)^(1/3)</f>
        <v>0.367249967174439</v>
      </c>
      <c r="DT406" s="60" t="n">
        <f aca="false">IF(DS406=0,0,DS406-DO406/(3*DS406))</f>
        <v>0.60888329127384</v>
      </c>
      <c r="DU406" s="60" t="n">
        <f aca="false">2*SQRT(MAX(-DO406,0)/3)</f>
        <v>0.595784626668918</v>
      </c>
      <c r="DV406" s="60" t="n">
        <f aca="false">ACOS(IF(DU406=0,0,MAX(-1,MIN(1,3*DP406/(DO406*DU406)))))</f>
        <v>0</v>
      </c>
      <c r="DW406" s="60" t="n">
        <f aca="false">DU406*COS(DV406/3)</f>
        <v>0.595784626668918</v>
      </c>
      <c r="DX406" s="60" t="n">
        <f aca="false">IF(DQ406&lt;0,DW406,DT406)-DL406/3</f>
        <v>0.91158844983184</v>
      </c>
      <c r="DY406" s="60" t="n">
        <f aca="false">IFERROR((((DX406+DL406)*DX406+DM406)*DX406+DN406)/((3*DX406+2*DL406)*DX406+DM406),0)</f>
        <v>0</v>
      </c>
      <c r="DZ406" s="60" t="n">
        <f aca="false">IF(ABS(DY406)&lt;0.1*ABS(DX406),DX406-DY406,DX406)</f>
        <v>0.91158844983184</v>
      </c>
      <c r="EA406" s="60" t="n">
        <f aca="false">IFERROR((((DZ406+DL406)*DZ406+DM406)*DZ406+DN406)/((3*DZ406+2*DL406)*DZ406+DM406),0)</f>
        <v>0</v>
      </c>
      <c r="EB406" s="60" t="n">
        <f aca="false">IF(ABS(EA406)&lt;0.1*ABS(DZ406),DZ406-EA406,DZ406)</f>
        <v>0.91158844983184</v>
      </c>
      <c r="EC406" s="60" t="n">
        <f aca="false">-DN406/EB406</f>
        <v>0.0118376711504565</v>
      </c>
      <c r="ED406" s="60" t="n">
        <f aca="false">(DM406-EC406)/EB406</f>
        <v>-0.00347297415783941</v>
      </c>
      <c r="EE406" s="60" t="n">
        <f aca="false">ED406^2-4*EC406</f>
        <v>-0.0473386230523248</v>
      </c>
      <c r="EF406" s="60" t="n">
        <f aca="false">IF(EE406&gt;=0,(ED406+IF(ED406&gt;=0,1,-1)*SQRT(EE406))/2,0)</f>
        <v>0</v>
      </c>
      <c r="EG406" s="60" t="n">
        <f aca="false">IF(AND(EE406&gt;=0,EF406&lt;&gt;0),MIN(EF406,EC406/EF406),-1)</f>
        <v>-1</v>
      </c>
      <c r="EH406" s="60" t="n">
        <f aca="false">AND(EE406&gt;=0,EG406&gt;DK406,ABS(EB406-EG406)&gt;=0.00005*MAX(EB406,EG406))</f>
        <v>0</v>
      </c>
      <c r="EI406" s="60" t="n">
        <f aca="false">IF(EH406,IFERROR((((EG406+DL406)*EG406+DM406)*EG406+DN406)/((3*EG406+2*DL406)*EG406+DM406),0),0)</f>
        <v>0</v>
      </c>
      <c r="EJ406" s="60" t="n">
        <f aca="false">IF(ABS(EI406)&lt;0.1*ABS(EG406),EG406-EI406,EG406)</f>
        <v>-1</v>
      </c>
      <c r="EK406" s="60" t="n">
        <f aca="false">IF(EH406,IFERROR((((EJ406+DL406)*EJ406+DM406)*EJ406+DN406)/((3*EJ406+2*DL406)*EJ406+DM406),0),0)</f>
        <v>0</v>
      </c>
      <c r="EL406" s="60" t="n">
        <f aca="false">IF(ABS(EK406)&lt;0.1*ABS(EJ406),EJ406-EK406,EJ406)</f>
        <v>-1</v>
      </c>
      <c r="EM406" s="60" t="n">
        <f aca="false">IF(EH406,MAX(EB406,EL406),EB406)</f>
        <v>0.91158844983184</v>
      </c>
      <c r="EN406" s="60" t="n">
        <f aca="false">IF(EH406,MIN(EB406,EL406),-1)</f>
        <v>-1</v>
      </c>
      <c r="EO406" s="60" t="n">
        <f aca="false">CHOOSE($C$7,DJ406/EM406,DJ406/DK406*LN(1+DK406/EM406),DJ406/(2*SQRT(2)*DK406)*LN((EM406+(1+SQRT(2))*DK406)/(EM406+(1-SQRT(2))*DK406)))</f>
        <v>0.218240791233887</v>
      </c>
      <c r="EP406" s="60" t="n">
        <f aca="false">EM406-1-LN(EM406-DK406)-EO406</f>
        <v>-0.107840271021729</v>
      </c>
      <c r="EQ406" s="60" t="n">
        <f aca="false">IF(EH406,CHOOSE($C$7,DJ406/EN406,DJ406/DK406*LN(1+DK406/EN406),DJ406/(2*SQRT(2)*DK406)*LN((EN406+(1+SQRT(2))*DK406)/(EN406+(1-SQRT(2))*DK406))),0)</f>
        <v>0</v>
      </c>
      <c r="ER406" s="60" t="n">
        <f aca="false">IF(EH406,EN406-1-LN(EN406-DK406)-EQ406,0)</f>
        <v>0</v>
      </c>
      <c r="ES406" s="60" t="n">
        <f aca="false">AND(EH406,ER406&lt;EP406)</f>
        <v>0</v>
      </c>
      <c r="ET406" s="60" t="n">
        <f aca="false">IF(ES406,EN406,EM406)</f>
        <v>0.91158844983184</v>
      </c>
      <c r="EU406" s="60" t="n">
        <f aca="false">IF(ES406,EQ406,EO406)</f>
        <v>0.218240791233887</v>
      </c>
      <c r="EV406" s="60" t="n">
        <f aca="false">LN(ET406-DK406)</f>
        <v>-0.198812070380318</v>
      </c>
      <c r="EW406" s="60" t="n">
        <f aca="false">$E$27/DI406*(ET406-1)-EV406-EU406*(2*CV406/DH406-$E$27/DI406)</f>
        <v>-0.107840271021729</v>
      </c>
      <c r="EX406" s="60" t="n">
        <f aca="false">$F$27/DI406*(ET406-1)-EV406-EU406*(2*CW406/DH406-$F$27/DI406)</f>
        <v>0.198812070380318</v>
      </c>
      <c r="EY406" s="60" t="n">
        <f aca="false">$G$27/DI406*(ET406-1)-EV406-EU406*(2*CX406/DH406-$G$27/DI406)</f>
        <v>0.198812070380318</v>
      </c>
      <c r="EZ406" s="60" t="n">
        <f aca="false">$H$27/DI406*(ET406-1)-EV406-EU406*(2*CY406/DH406-$H$27/DI406)</f>
        <v>0.198812070380318</v>
      </c>
      <c r="FA406" s="60" t="n">
        <f aca="false">$I$27/DI406*(ET406-1)-EV406-EU406*(2*CZ406/DH406-$I$27/DI406)</f>
        <v>0.198812070380318</v>
      </c>
      <c r="FB406" s="60" t="n">
        <f aca="false">$J$27/DI406*(ET406-1)-EV406-EU406*(2*DA406/DH406-$J$27/DI406)</f>
        <v>0.198812070380318</v>
      </c>
      <c r="FC406" s="60" t="n">
        <f aca="false">$K$27/DI406*(ET406-1)-EV406-EU406*(2*DB406/DH406-$K$27/DI406)</f>
        <v>0.198812070380318</v>
      </c>
      <c r="FD406" s="60" t="n">
        <f aca="false">$L$27/DI406*(ET406-1)-EV406-EU406*(2*DC406/DH406-$L$27/DI406)</f>
        <v>0.198812070380318</v>
      </c>
      <c r="FE406" s="60" t="n">
        <f aca="false">$M$27/DI406*(ET406-1)-EV406-EU406*(2*DD406/DH406-$M$27/DI406)</f>
        <v>0.198812070380318</v>
      </c>
      <c r="FF406" s="60" t="n">
        <f aca="false">$N$27/DI406*(ET406-1)-EV406-EU406*(2*DE406/DH406-$N$27/DI406)</f>
        <v>0.198812070380318</v>
      </c>
      <c r="FG406" s="60" t="n">
        <f aca="false">$O$27/DI406*(ET406-1)-EV406-EU406*(2*DF406/DH406-$O$27/DI406)</f>
        <v>0.198812070380318</v>
      </c>
      <c r="FH406" s="60" t="n">
        <f aca="false">$P$27/DI406*(ET406-1)-EV406-EU406*(2*DG406/DH406-$P$27/DI406)</f>
        <v>0.198812070380318</v>
      </c>
      <c r="FI406" s="60" t="n">
        <f aca="false">DK406/ET406&gt;$C$22</f>
        <v>0</v>
      </c>
      <c r="FJ406" s="60" t="n">
        <f aca="false">$E$28*SUMPRODUCT($E$31:$P$31,CJ406:CU406,$E$28:$P$28)</f>
        <v>0.184416866619846</v>
      </c>
      <c r="FK406" s="60" t="n">
        <f aca="false">$F$28*SUMPRODUCT($E$32:$P$32,CJ406:CU406,$E$28:$P$28)</f>
        <v>0</v>
      </c>
      <c r="FL406" s="60" t="n">
        <f aca="false">$G$28*SUMPRODUCT($E$33:$P$33,CJ406:CU406,$E$28:$P$28)</f>
        <v>0</v>
      </c>
      <c r="FM406" s="60" t="n">
        <f aca="false">$H$28*SUMPRODUCT($E$34:$P$34,CJ406:CU406,$E$28:$P$28)</f>
        <v>0</v>
      </c>
      <c r="FN406" s="60" t="n">
        <f aca="false">$I$28*SUMPRODUCT($E$35:$P$35,CJ406:CU406,$E$28:$P$28)</f>
        <v>0</v>
      </c>
      <c r="FO406" s="60" t="n">
        <f aca="false">$J$28*SUMPRODUCT($E$36:$P$36,CJ406:CU406,$E$28:$P$28)</f>
        <v>0</v>
      </c>
      <c r="FP406" s="60" t="n">
        <f aca="false">$K$28*SUMPRODUCT($E$37:$P$37,CJ406:CU406,$E$28:$P$28)</f>
        <v>0</v>
      </c>
      <c r="FQ406" s="60" t="n">
        <f aca="false">$L$28*SUMPRODUCT($E$38:$P$38,CJ406:CU406,$E$28:$P$28)</f>
        <v>0</v>
      </c>
      <c r="FR406" s="60" t="n">
        <f aca="false">$M$28*SUMPRODUCT($E$39:$P$39,CJ406:CU406,$E$28:$P$28)</f>
        <v>0</v>
      </c>
      <c r="FS406" s="60" t="n">
        <f aca="false">$N$28*SUMPRODUCT($E$40:$P$40,CJ406:CU406,$E$28:$P$28)</f>
        <v>0</v>
      </c>
      <c r="FT406" s="60" t="n">
        <f aca="false">$O$28*SUMPRODUCT($E$41:$P$41,CJ406:CU406,$E$28:$P$28)</f>
        <v>0</v>
      </c>
      <c r="FU406" s="60" t="n">
        <f aca="false">$P$28*SUMPRODUCT($E$42:$P$42,CJ406:CU406,$E$28:$P$28)</f>
        <v>0</v>
      </c>
      <c r="FV406" s="60" t="n">
        <f aca="false">SUMPRODUCT(CJ406:CU406,FJ406:FU406)</f>
        <v>0.184416866619846</v>
      </c>
      <c r="FW406" s="60" t="n">
        <f aca="false">SUMPRODUCT(CJ406:CU406,$E$27:$P$27)</f>
        <v>2.67389635063809E-005</v>
      </c>
      <c r="FX406" s="60" t="n">
        <f aca="false">FV406*$C$9/($C$10*$C$8)^2</f>
        <v>0.21776909410545</v>
      </c>
      <c r="FY406" s="60" t="n">
        <f aca="false">FW406*$C$9/($C$10*$C$8)</f>
        <v>0.0918845243259994</v>
      </c>
      <c r="FZ406" s="60" t="n">
        <f aca="false">CHOOSE($C$7,-(1+FY406),-1,-(1-FY406))</f>
        <v>-0.908115475674001</v>
      </c>
      <c r="GA406" s="60" t="n">
        <f aca="false">CHOOSE($C$7,FX406,FX406-FY406-FY406^2,FX406-3*FY406^2-2*FY406)</f>
        <v>0.00867174802160559</v>
      </c>
      <c r="GB406" s="60" t="n">
        <f aca="false">CHOOSE($C$7,-FX406*FY406,-FX406*FY406,-(FX406*FY406-FY406^2-FY406^3))</f>
        <v>-0.0107910842936637</v>
      </c>
      <c r="GC406" s="60" t="n">
        <f aca="false">GA406-FZ406^2/3</f>
        <v>-0.266219491031267</v>
      </c>
      <c r="GD406" s="60" t="n">
        <f aca="false">2*FZ406^3/27-FZ406*GA406/3+GB406</f>
        <v>-0.0636400988362784</v>
      </c>
      <c r="GE406" s="60" t="n">
        <f aca="false">GD406^2/4+GC406^3/27</f>
        <v>0.000313710901361829</v>
      </c>
      <c r="GF406" s="60" t="n">
        <f aca="false">-GD406/2-IF(GD406&gt;=0,1,-1)*SQRT(MAX(GE406,0))</f>
        <v>0.0495319352963236</v>
      </c>
      <c r="GG406" s="60" t="n">
        <f aca="false">SIGN(GF406)*ABS(GF406)^(1/3)</f>
        <v>0.367249967174439</v>
      </c>
      <c r="GH406" s="60" t="n">
        <f aca="false">IF(GG406=0,0,GG406-GC406/(3*GG406))</f>
        <v>0.60888329127384</v>
      </c>
      <c r="GI406" s="60" t="n">
        <f aca="false">2*SQRT(MAX(-GC406,0)/3)</f>
        <v>0.595784626668918</v>
      </c>
      <c r="GJ406" s="60" t="n">
        <f aca="false">ACOS(IF(GI406=0,0,MAX(-1,MIN(1,3*GD406/(GC406*GI406)))))</f>
        <v>0</v>
      </c>
      <c r="GK406" s="60" t="n">
        <f aca="false">GI406*COS(GJ406/3)</f>
        <v>0.595784626668918</v>
      </c>
      <c r="GL406" s="60" t="n">
        <f aca="false">IF(GE406&lt;0,GK406,GH406)-FZ406/3</f>
        <v>0.91158844983184</v>
      </c>
      <c r="GM406" s="60" t="n">
        <f aca="false">IFERROR((((GL406+FZ406)*GL406+GA406)*GL406+GB406)/((3*GL406+2*FZ406)*GL406+GA406),0)</f>
        <v>0</v>
      </c>
      <c r="GN406" s="60" t="n">
        <f aca="false">IF(ABS(GM406)&lt;0.1*ABS(GL406),GL406-GM406,GL406)</f>
        <v>0.91158844983184</v>
      </c>
      <c r="GO406" s="60" t="n">
        <f aca="false">IFERROR((((GN406+FZ406)*GN406+GA406)*GN406+GB406)/((3*GN406+2*FZ406)*GN406+GA406),0)</f>
        <v>0</v>
      </c>
      <c r="GP406" s="60" t="n">
        <f aca="false">IF(ABS(GO406)&lt;0.1*ABS(GN406),GN406-GO406,GN406)</f>
        <v>0.91158844983184</v>
      </c>
      <c r="GQ406" s="60" t="n">
        <f aca="false">-GB406/GP406</f>
        <v>0.0118376711504565</v>
      </c>
      <c r="GR406" s="60" t="n">
        <f aca="false">(GA406-GQ406)/GP406</f>
        <v>-0.00347297415783941</v>
      </c>
      <c r="GS406" s="60" t="n">
        <f aca="false">GR406^2-4*GQ406</f>
        <v>-0.0473386230523248</v>
      </c>
      <c r="GT406" s="60" t="n">
        <f aca="false">IF(GS406&gt;=0,(GR406+IF(GR406&gt;=0,1,-1)*SQRT(GS406))/2,0)</f>
        <v>0</v>
      </c>
      <c r="GU406" s="60" t="n">
        <f aca="false">IF(AND(GS406&gt;=0,GT406&lt;&gt;0),MIN(GT406,GQ406/GT406),-1)</f>
        <v>-1</v>
      </c>
      <c r="GV406" s="60" t="n">
        <f aca="false">AND(GS406&gt;=0,GU406&gt;FY406,ABS(GP406-GU406)&gt;=0.00005*MAX(GP406,GU406))</f>
        <v>0</v>
      </c>
      <c r="GW406" s="60" t="n">
        <f aca="false">IF(GV406,IFERROR((((GU406+FZ406)*GU406+GA406)*GU406+GB406)/((3*GU406+2*FZ406)*GU406+GA406),0),0)</f>
        <v>0</v>
      </c>
      <c r="GX406" s="60" t="n">
        <f aca="false">IF(ABS(GW406)&lt;0.1*ABS(GU406),GU406-GW406,GU406)</f>
        <v>-1</v>
      </c>
      <c r="GY406" s="60" t="n">
        <f aca="false">IF(GV406,IFERROR((((GX406+FZ406)*GX406+GA406)*GX406+GB406)/((3*GX406+2*FZ406)*GX406+GA406),0),0)</f>
        <v>0</v>
      </c>
      <c r="GZ406" s="60" t="n">
        <f aca="false">IF(ABS(GY406)&lt;0.1*ABS(GX406),GX406-GY406,GX406)</f>
        <v>-1</v>
      </c>
      <c r="HA406" s="60" t="n">
        <f aca="false">IF(GV406,MAX(GP406,GZ406),GP406)</f>
        <v>0.91158844983184</v>
      </c>
      <c r="HB406" s="60" t="n">
        <f aca="false">IF(GV406,MIN(GP406,GZ406),-1)</f>
        <v>-1</v>
      </c>
      <c r="HC406" s="60" t="n">
        <f aca="false">CHOOSE($C$7,FX406/HA406,FX406/FY406*LN(1+FY406/HA406),FX406/(2*SQRT(2)*FY406)*LN((HA406+(1+SQRT(2))*FY406)/(HA406+(1-SQRT(2))*FY406)))</f>
        <v>0.218240791233887</v>
      </c>
      <c r="HD406" s="60" t="n">
        <f aca="false">HA406-1-LN(HA406-FY406)-HC406</f>
        <v>-0.107840271021729</v>
      </c>
      <c r="HE406" s="60" t="n">
        <f aca="false">IF(GV406,CHOOSE($C$7,FX406/HB406,FX406/FY406*LN(1+FY406/HB406),FX406/(2*SQRT(2)*FY406)*LN((HB406+(1+SQRT(2))*FY406)/(HB406+(1-SQRT(2))*FY406))),0)</f>
        <v>0</v>
      </c>
      <c r="HF406" s="60" t="n">
        <f aca="false">IF(GV406,HB406-1-LN(HB406-FY406)-HE406,0)</f>
        <v>0</v>
      </c>
      <c r="HG406" s="60" t="n">
        <f aca="false">AND(GV406,HF406&lt;HD406)</f>
        <v>0</v>
      </c>
      <c r="HH406" s="60" t="n">
        <f aca="false">IF(HG406,HB406,HA406)</f>
        <v>0.91158844983184</v>
      </c>
      <c r="HI406" s="60" t="n">
        <f aca="false">IF(HG406,HE406,HC406)</f>
        <v>0.218240791233887</v>
      </c>
      <c r="HJ406" s="60" t="n">
        <f aca="false">LN(HH406-FY406)</f>
        <v>-0.198812070380318</v>
      </c>
      <c r="HK406" s="60" t="n">
        <f aca="false">$E$27/FW406*(HH406-1)-HJ406-HI406*(2*FJ406/FV406-$E$27/FW406)</f>
        <v>-0.107840271021729</v>
      </c>
      <c r="HL406" s="60" t="n">
        <f aca="false">$F$27/FW406*(HH406-1)-HJ406-HI406*(2*FK406/FV406-$F$27/FW406)</f>
        <v>0.198812070380318</v>
      </c>
      <c r="HM406" s="60" t="n">
        <f aca="false">$G$27/FW406*(HH406-1)-HJ406-HI406*(2*FL406/FV406-$G$27/FW406)</f>
        <v>0.198812070380318</v>
      </c>
      <c r="HN406" s="60" t="n">
        <f aca="false">$H$27/FW406*(HH406-1)-HJ406-HI406*(2*FM406/FV406-$H$27/FW406)</f>
        <v>0.198812070380318</v>
      </c>
      <c r="HO406" s="60" t="n">
        <f aca="false">$I$27/FW406*(HH406-1)-HJ406-HI406*(2*FN406/FV406-$I$27/FW406)</f>
        <v>0.198812070380318</v>
      </c>
      <c r="HP406" s="60" t="n">
        <f aca="false">$J$27/FW406*(HH406-1)-HJ406-HI406*(2*FO406/FV406-$J$27/FW406)</f>
        <v>0.198812070380318</v>
      </c>
      <c r="HQ406" s="60" t="n">
        <f aca="false">$K$27/FW406*(HH406-1)-HJ406-HI406*(2*FP406/FV406-$K$27/FW406)</f>
        <v>0.198812070380318</v>
      </c>
      <c r="HR406" s="60" t="n">
        <f aca="false">$L$27/FW406*(HH406-1)-HJ406-HI406*(2*FQ406/FV406-$L$27/FW406)</f>
        <v>0.198812070380318</v>
      </c>
      <c r="HS406" s="60" t="n">
        <f aca="false">$M$27/FW406*(HH406-1)-HJ406-HI406*(2*FR406/FV406-$M$27/FW406)</f>
        <v>0.198812070380318</v>
      </c>
      <c r="HT406" s="60" t="n">
        <f aca="false">$N$27/FW406*(HH406-1)-HJ406-HI406*(2*FS406/FV406-$N$27/FW406)</f>
        <v>0.198812070380318</v>
      </c>
      <c r="HU406" s="60" t="n">
        <f aca="false">$O$27/FW406*(HH406-1)-HJ406-HI406*(2*FT406/FV406-$O$27/FW406)</f>
        <v>0.198812070380318</v>
      </c>
      <c r="HV406" s="60" t="n">
        <f aca="false">$P$27/FW406*(HH406-1)-HJ406-HI406*(2*FU406/FV406-$P$27/FW406)</f>
        <v>0.198812070380318</v>
      </c>
      <c r="HW406" s="60" t="n">
        <f aca="false">FY406/HH406&gt;$C$22</f>
        <v>0</v>
      </c>
      <c r="HX406" s="60" t="n">
        <f aca="false">IF($E$13&gt;0,MAX(-300,MIN(300,EW406-HK406)),0)</f>
        <v>0</v>
      </c>
      <c r="HY406" s="60" t="n">
        <f aca="false">IF($F$13&gt;0,MAX(-300,MIN(300,EX406-HL406)),0)</f>
        <v>0</v>
      </c>
      <c r="HZ406" s="60" t="n">
        <f aca="false">IF($G$13&gt;0,MAX(-300,MIN(300,EY406-HM406)),0)</f>
        <v>0</v>
      </c>
      <c r="IA406" s="60" t="n">
        <f aca="false">IF($H$13&gt;0,MAX(-300,MIN(300,EZ406-HN406)),0)</f>
        <v>0</v>
      </c>
      <c r="IB406" s="60" t="n">
        <f aca="false">IF($I$13&gt;0,MAX(-300,MIN(300,FA406-HO406)),0)</f>
        <v>0</v>
      </c>
      <c r="IC406" s="60" t="n">
        <f aca="false">IF($J$13&gt;0,MAX(-300,MIN(300,FB406-HP406)),0)</f>
        <v>0</v>
      </c>
      <c r="ID406" s="60" t="n">
        <f aca="false">IF($K$13&gt;0,MAX(-300,MIN(300,FC406-HQ406)),0)</f>
        <v>0</v>
      </c>
      <c r="IE406" s="60" t="n">
        <f aca="false">IF($L$13&gt;0,MAX(-300,MIN(300,FD406-HR406)),0)</f>
        <v>0</v>
      </c>
      <c r="IF406" s="60" t="n">
        <f aca="false">IF($M$13&gt;0,MAX(-300,MIN(300,FE406-HS406)),0)</f>
        <v>0</v>
      </c>
      <c r="IG406" s="60" t="n">
        <f aca="false">IF($N$13&gt;0,MAX(-300,MIN(300,FF406-HT406)),0)</f>
        <v>0</v>
      </c>
      <c r="IH406" s="60" t="n">
        <f aca="false">IF($O$13&gt;0,MAX(-300,MIN(300,FG406-HU406)),0)</f>
        <v>0</v>
      </c>
      <c r="II406" s="60" t="n">
        <f aca="false">IF($P$13&gt;0,MAX(-300,MIN(300,FH406-HV406)),0)</f>
        <v>0</v>
      </c>
      <c r="IJ406" s="60" t="n">
        <f aca="false">SUMXMY2(HX406:II406,B406:M406)</f>
        <v>0</v>
      </c>
      <c r="IK406" s="60" t="n">
        <f aca="false">SUMSQ(B406:M406)</f>
        <v>0</v>
      </c>
    </row>
    <row r="407" customFormat="false" ht="15" hidden="false" customHeight="false" outlineLevel="0" collapsed="false">
      <c r="A407" s="59" t="n">
        <v>46</v>
      </c>
      <c r="B407" s="60" t="n">
        <f aca="false">HX406</f>
        <v>0</v>
      </c>
      <c r="C407" s="60" t="n">
        <f aca="false">HY406</f>
        <v>0</v>
      </c>
      <c r="D407" s="60" t="n">
        <f aca="false">HZ406</f>
        <v>0</v>
      </c>
      <c r="E407" s="60" t="n">
        <f aca="false">IA406</f>
        <v>0</v>
      </c>
      <c r="F407" s="60" t="n">
        <f aca="false">IB406</f>
        <v>0</v>
      </c>
      <c r="G407" s="60" t="n">
        <f aca="false">IC406</f>
        <v>0</v>
      </c>
      <c r="H407" s="60" t="n">
        <f aca="false">ID406</f>
        <v>0</v>
      </c>
      <c r="I407" s="60" t="n">
        <f aca="false">IE406</f>
        <v>0</v>
      </c>
      <c r="J407" s="60" t="n">
        <f aca="false">IF406</f>
        <v>0</v>
      </c>
      <c r="K407" s="60" t="n">
        <f aca="false">IG406</f>
        <v>0</v>
      </c>
      <c r="L407" s="60" t="n">
        <f aca="false">IH406</f>
        <v>0</v>
      </c>
      <c r="M407" s="60" t="n">
        <f aca="false">II406</f>
        <v>0</v>
      </c>
      <c r="N407" s="60" t="n">
        <f aca="false">EXP(B407)</f>
        <v>1</v>
      </c>
      <c r="O407" s="60" t="n">
        <f aca="false">EXP(C407)</f>
        <v>1</v>
      </c>
      <c r="P407" s="60" t="n">
        <f aca="false">EXP(D407)</f>
        <v>1</v>
      </c>
      <c r="Q407" s="60" t="n">
        <f aca="false">EXP(E407)</f>
        <v>1</v>
      </c>
      <c r="R407" s="60" t="n">
        <f aca="false">EXP(F407)</f>
        <v>1</v>
      </c>
      <c r="S407" s="60" t="n">
        <f aca="false">EXP(G407)</f>
        <v>1</v>
      </c>
      <c r="T407" s="60" t="n">
        <f aca="false">EXP(H407)</f>
        <v>1</v>
      </c>
      <c r="U407" s="60" t="n">
        <f aca="false">EXP(I407)</f>
        <v>1</v>
      </c>
      <c r="V407" s="60" t="n">
        <f aca="false">EXP(J407)</f>
        <v>1</v>
      </c>
      <c r="W407" s="60" t="n">
        <f aca="false">EXP(K407)</f>
        <v>1</v>
      </c>
      <c r="X407" s="60" t="n">
        <f aca="false">EXP(L407)</f>
        <v>1</v>
      </c>
      <c r="Y407" s="60" t="n">
        <f aca="false">EXP(M407)</f>
        <v>1</v>
      </c>
      <c r="Z407" s="60" t="n">
        <f aca="false">MAX(N407:Y407)</f>
        <v>1</v>
      </c>
      <c r="AA407" s="60" t="n">
        <f aca="false">MIN(N407:Y407)</f>
        <v>1</v>
      </c>
      <c r="AB407" s="60" t="n">
        <f aca="false">AND(Z407&gt;1,AA407&lt;1)</f>
        <v>0</v>
      </c>
      <c r="AC407" s="60" t="n">
        <f aca="false">IF(AB407,1/(1-Z407),0)</f>
        <v>0</v>
      </c>
      <c r="AD407" s="60" t="n">
        <f aca="false">IF(AB407,1/(1-AA407),1)</f>
        <v>1</v>
      </c>
      <c r="AE407" s="60" t="n">
        <f aca="false">IF(AB407,MIN(MAX(BI406,AC407+0.000000001*(AD407-AC407)),AD407-0.000000001*(AD407-AC407)),IF(AA407&gt;=1,1,0))</f>
        <v>1</v>
      </c>
      <c r="AF407" s="60" t="n">
        <f aca="false">SUMPRODUCT($E$13:$P$13*(N407:Y407-1)/(1+AE407*(N407:Y407-1)))</f>
        <v>0</v>
      </c>
      <c r="AG407" s="60" t="n">
        <f aca="false">-SUMPRODUCT($E$13:$P$13*(N407:Y407-1)^2/(1+AE407*(N407:Y407-1))^2)</f>
        <v>-0</v>
      </c>
      <c r="AH407" s="60" t="n">
        <f aca="false">IF(OR(NOT(AB407),AG407=0),AE407,IF(AE407-AF407/AG407&lt;=AC407,(AE407+AC407)/2,IF(AE407-AF407/AG407&gt;=AD407,(AE407+AD407)/2,AE407-AF407/AG407)))</f>
        <v>1</v>
      </c>
      <c r="AI407" s="60" t="n">
        <f aca="false">SUMPRODUCT($E$13:$P$13*(N407:Y407-1)/(1+AH407*(N407:Y407-1)))</f>
        <v>0</v>
      </c>
      <c r="AJ407" s="60" t="n">
        <f aca="false">-SUMPRODUCT($E$13:$P$13*(N407:Y407-1)^2/(1+AH407*(N407:Y407-1))^2)</f>
        <v>-0</v>
      </c>
      <c r="AK407" s="60" t="n">
        <f aca="false">IF(OR(NOT(AB407),AJ407=0),AH407,IF(AH407-AI407/AJ407&lt;=AC407,(AH407+AC407)/2,IF(AH407-AI407/AJ407&gt;=AD407,(AH407+AD407)/2,AH407-AI407/AJ407)))</f>
        <v>1</v>
      </c>
      <c r="AL407" s="60" t="n">
        <f aca="false">SUMPRODUCT($E$13:$P$13*(N407:Y407-1)/(1+AK407*(N407:Y407-1)))</f>
        <v>0</v>
      </c>
      <c r="AM407" s="60" t="n">
        <f aca="false">-SUMPRODUCT($E$13:$P$13*(N407:Y407-1)^2/(1+AK407*(N407:Y407-1))^2)</f>
        <v>-0</v>
      </c>
      <c r="AN407" s="60" t="n">
        <f aca="false">IF(OR(NOT(AB407),AM407=0),AK407,IF(AK407-AL407/AM407&lt;=AC407,(AK407+AC407)/2,IF(AK407-AL407/AM407&gt;=AD407,(AK407+AD407)/2,AK407-AL407/AM407)))</f>
        <v>1</v>
      </c>
      <c r="AO407" s="60" t="n">
        <f aca="false">SUMPRODUCT($E$13:$P$13*(N407:Y407-1)/(1+AN407*(N407:Y407-1)))</f>
        <v>0</v>
      </c>
      <c r="AP407" s="60" t="n">
        <f aca="false">-SUMPRODUCT($E$13:$P$13*(N407:Y407-1)^2/(1+AN407*(N407:Y407-1))^2)</f>
        <v>-0</v>
      </c>
      <c r="AQ407" s="60" t="n">
        <f aca="false">IF(OR(NOT(AB407),AP407=0),AN407,IF(AN407-AO407/AP407&lt;=AC407,(AN407+AC407)/2,IF(AN407-AO407/AP407&gt;=AD407,(AN407+AD407)/2,AN407-AO407/AP407)))</f>
        <v>1</v>
      </c>
      <c r="AR407" s="60" t="n">
        <f aca="false">SUMPRODUCT($E$13:$P$13*(N407:Y407-1)/(1+AQ407*(N407:Y407-1)))</f>
        <v>0</v>
      </c>
      <c r="AS407" s="60" t="n">
        <f aca="false">-SUMPRODUCT($E$13:$P$13*(N407:Y407-1)^2/(1+AQ407*(N407:Y407-1))^2)</f>
        <v>-0</v>
      </c>
      <c r="AT407" s="60" t="n">
        <f aca="false">IF(OR(NOT(AB407),AS407=0),AQ407,IF(AQ407-AR407/AS407&lt;=AC407,(AQ407+AC407)/2,IF(AQ407-AR407/AS407&gt;=AD407,(AQ407+AD407)/2,AQ407-AR407/AS407)))</f>
        <v>1</v>
      </c>
      <c r="AU407" s="60" t="n">
        <f aca="false">SUMPRODUCT($E$13:$P$13*(N407:Y407-1)/(1+AT407*(N407:Y407-1)))</f>
        <v>0</v>
      </c>
      <c r="AV407" s="60" t="n">
        <f aca="false">-SUMPRODUCT($E$13:$P$13*(N407:Y407-1)^2/(1+AT407*(N407:Y407-1))^2)</f>
        <v>-0</v>
      </c>
      <c r="AW407" s="60" t="n">
        <f aca="false">IF(OR(NOT(AB407),AV407=0),AT407,IF(AT407-AU407/AV407&lt;=AC407,(AT407+AC407)/2,IF(AT407-AU407/AV407&gt;=AD407,(AT407+AD407)/2,AT407-AU407/AV407)))</f>
        <v>1</v>
      </c>
      <c r="AX407" s="60" t="n">
        <f aca="false">SUMPRODUCT($E$13:$P$13*(N407:Y407-1)/(1+AW407*(N407:Y407-1)))</f>
        <v>0</v>
      </c>
      <c r="AY407" s="60" t="n">
        <f aca="false">-SUMPRODUCT($E$13:$P$13*(N407:Y407-1)^2/(1+AW407*(N407:Y407-1))^2)</f>
        <v>-0</v>
      </c>
      <c r="AZ407" s="60" t="n">
        <f aca="false">IF(OR(NOT(AB407),AY407=0),AW407,IF(AW407-AX407/AY407&lt;=AC407,(AW407+AC407)/2,IF(AW407-AX407/AY407&gt;=AD407,(AW407+AD407)/2,AW407-AX407/AY407)))</f>
        <v>1</v>
      </c>
      <c r="BA407" s="60" t="n">
        <f aca="false">SUMPRODUCT($E$13:$P$13*(N407:Y407-1)/(1+AZ407*(N407:Y407-1)))</f>
        <v>0</v>
      </c>
      <c r="BB407" s="60" t="n">
        <f aca="false">-SUMPRODUCT($E$13:$P$13*(N407:Y407-1)^2/(1+AZ407*(N407:Y407-1))^2)</f>
        <v>-0</v>
      </c>
      <c r="BC407" s="60" t="n">
        <f aca="false">IF(OR(NOT(AB407),BB407=0),AZ407,IF(AZ407-BA407/BB407&lt;=AC407,(AZ407+AC407)/2,IF(AZ407-BA407/BB407&gt;=AD407,(AZ407+AD407)/2,AZ407-BA407/BB407)))</f>
        <v>1</v>
      </c>
      <c r="BD407" s="60" t="n">
        <f aca="false">SUMPRODUCT($E$13:$P$13*(N407:Y407-1)/(1+BC407*(N407:Y407-1)))</f>
        <v>0</v>
      </c>
      <c r="BE407" s="60" t="n">
        <f aca="false">-SUMPRODUCT($E$13:$P$13*(N407:Y407-1)^2/(1+BC407*(N407:Y407-1))^2)</f>
        <v>-0</v>
      </c>
      <c r="BF407" s="60" t="n">
        <f aca="false">IF(OR(NOT(AB407),BE407=0),BC407,IF(BC407-BD407/BE407&lt;=AC407,(BC407+AC407)/2,IF(BC407-BD407/BE407&gt;=AD407,(BC407+AD407)/2,BC407-BD407/BE407)))</f>
        <v>1</v>
      </c>
      <c r="BG407" s="60" t="n">
        <f aca="false">SUMPRODUCT($E$13:$P$13*(N407:Y407-1)/(1+BF407*(N407:Y407-1)))</f>
        <v>0</v>
      </c>
      <c r="BH407" s="60" t="n">
        <f aca="false">-SUMPRODUCT($E$13:$P$13*(N407:Y407-1)^2/(1+BF407*(N407:Y407-1))^2)</f>
        <v>-0</v>
      </c>
      <c r="BI407" s="60" t="n">
        <f aca="false">IF(OR(NOT(AB407),BH407=0),BF407,IF(BF407-BG407/BH407&lt;=AC407,(BF407+AC407)/2,IF(BF407-BG407/BH407&gt;=AD407,(BF407+AD407)/2,BF407-BG407/BH407)))</f>
        <v>1</v>
      </c>
      <c r="BJ407" s="60" t="n">
        <f aca="false">$E$13/(1+BI407*(N407-1))</f>
        <v>1</v>
      </c>
      <c r="BK407" s="60" t="n">
        <f aca="false">$F$13/(1+BI407*(O407-1))</f>
        <v>0</v>
      </c>
      <c r="BL407" s="60" t="n">
        <f aca="false">$G$13/(1+BI407*(P407-1))</f>
        <v>0</v>
      </c>
      <c r="BM407" s="60" t="n">
        <f aca="false">$H$13/(1+BI407*(Q407-1))</f>
        <v>0</v>
      </c>
      <c r="BN407" s="60" t="n">
        <f aca="false">$I$13/(1+BI407*(R407-1))</f>
        <v>0</v>
      </c>
      <c r="BO407" s="60" t="n">
        <f aca="false">$J$13/(1+BI407*(S407-1))</f>
        <v>0</v>
      </c>
      <c r="BP407" s="60" t="n">
        <f aca="false">$K$13/(1+BI407*(T407-1))</f>
        <v>0</v>
      </c>
      <c r="BQ407" s="60" t="n">
        <f aca="false">$L$13/(1+BI407*(U407-1))</f>
        <v>0</v>
      </c>
      <c r="BR407" s="60" t="n">
        <f aca="false">$M$13/(1+BI407*(V407-1))</f>
        <v>0</v>
      </c>
      <c r="BS407" s="60" t="n">
        <f aca="false">$N$13/(1+BI407*(W407-1))</f>
        <v>0</v>
      </c>
      <c r="BT407" s="60" t="n">
        <f aca="false">$O$13/(1+BI407*(X407-1))</f>
        <v>0</v>
      </c>
      <c r="BU407" s="60" t="n">
        <f aca="false">$P$13/(1+BI407*(Y407-1))</f>
        <v>0</v>
      </c>
      <c r="BV407" s="60" t="n">
        <f aca="false">SUM(BJ407:BU407)</f>
        <v>1</v>
      </c>
      <c r="BW407" s="60" t="n">
        <f aca="false">SUMPRODUCT(N407:Y407,BJ407:BU407)</f>
        <v>1</v>
      </c>
      <c r="BX407" s="60" t="n">
        <f aca="false">BJ407/BV407</f>
        <v>1</v>
      </c>
      <c r="BY407" s="60" t="n">
        <f aca="false">BK407/BV407</f>
        <v>0</v>
      </c>
      <c r="BZ407" s="60" t="n">
        <f aca="false">BL407/BV407</f>
        <v>0</v>
      </c>
      <c r="CA407" s="60" t="n">
        <f aca="false">BM407/BV407</f>
        <v>0</v>
      </c>
      <c r="CB407" s="60" t="n">
        <f aca="false">BN407/BV407</f>
        <v>0</v>
      </c>
      <c r="CC407" s="60" t="n">
        <f aca="false">BO407/BV407</f>
        <v>0</v>
      </c>
      <c r="CD407" s="60" t="n">
        <f aca="false">BP407/BV407</f>
        <v>0</v>
      </c>
      <c r="CE407" s="60" t="n">
        <f aca="false">BQ407/BV407</f>
        <v>0</v>
      </c>
      <c r="CF407" s="60" t="n">
        <f aca="false">BR407/BV407</f>
        <v>0</v>
      </c>
      <c r="CG407" s="60" t="n">
        <f aca="false">BS407/BV407</f>
        <v>0</v>
      </c>
      <c r="CH407" s="60" t="n">
        <f aca="false">BT407/BV407</f>
        <v>0</v>
      </c>
      <c r="CI407" s="60" t="n">
        <f aca="false">BU407/BV407</f>
        <v>0</v>
      </c>
      <c r="CJ407" s="60" t="n">
        <f aca="false">N407*BJ407/BW407</f>
        <v>1</v>
      </c>
      <c r="CK407" s="60" t="n">
        <f aca="false">O407*BK407/BW407</f>
        <v>0</v>
      </c>
      <c r="CL407" s="60" t="n">
        <f aca="false">P407*BL407/BW407</f>
        <v>0</v>
      </c>
      <c r="CM407" s="60" t="n">
        <f aca="false">Q407*BM407/BW407</f>
        <v>0</v>
      </c>
      <c r="CN407" s="60" t="n">
        <f aca="false">R407*BN407/BW407</f>
        <v>0</v>
      </c>
      <c r="CO407" s="60" t="n">
        <f aca="false">S407*BO407/BW407</f>
        <v>0</v>
      </c>
      <c r="CP407" s="60" t="n">
        <f aca="false">T407*BP407/BW407</f>
        <v>0</v>
      </c>
      <c r="CQ407" s="60" t="n">
        <f aca="false">U407*BQ407/BW407</f>
        <v>0</v>
      </c>
      <c r="CR407" s="60" t="n">
        <f aca="false">V407*BR407/BW407</f>
        <v>0</v>
      </c>
      <c r="CS407" s="60" t="n">
        <f aca="false">W407*BS407/BW407</f>
        <v>0</v>
      </c>
      <c r="CT407" s="60" t="n">
        <f aca="false">X407*BT407/BW407</f>
        <v>0</v>
      </c>
      <c r="CU407" s="60" t="n">
        <f aca="false">Y407*BU407/BW407</f>
        <v>0</v>
      </c>
      <c r="CV407" s="60" t="n">
        <f aca="false">$E$28*SUMPRODUCT($E$31:$P$31,BX407:CI407,$E$28:$P$28)</f>
        <v>0.184416866619846</v>
      </c>
      <c r="CW407" s="60" t="n">
        <f aca="false">$F$28*SUMPRODUCT($E$32:$P$32,BX407:CI407,$E$28:$P$28)</f>
        <v>0</v>
      </c>
      <c r="CX407" s="60" t="n">
        <f aca="false">$G$28*SUMPRODUCT($E$33:$P$33,BX407:CI407,$E$28:$P$28)</f>
        <v>0</v>
      </c>
      <c r="CY407" s="60" t="n">
        <f aca="false">$H$28*SUMPRODUCT($E$34:$P$34,BX407:CI407,$E$28:$P$28)</f>
        <v>0</v>
      </c>
      <c r="CZ407" s="60" t="n">
        <f aca="false">$I$28*SUMPRODUCT($E$35:$P$35,BX407:CI407,$E$28:$P$28)</f>
        <v>0</v>
      </c>
      <c r="DA407" s="60" t="n">
        <f aca="false">$J$28*SUMPRODUCT($E$36:$P$36,BX407:CI407,$E$28:$P$28)</f>
        <v>0</v>
      </c>
      <c r="DB407" s="60" t="n">
        <f aca="false">$K$28*SUMPRODUCT($E$37:$P$37,BX407:CI407,$E$28:$P$28)</f>
        <v>0</v>
      </c>
      <c r="DC407" s="60" t="n">
        <f aca="false">$L$28*SUMPRODUCT($E$38:$P$38,BX407:CI407,$E$28:$P$28)</f>
        <v>0</v>
      </c>
      <c r="DD407" s="60" t="n">
        <f aca="false">$M$28*SUMPRODUCT($E$39:$P$39,BX407:CI407,$E$28:$P$28)</f>
        <v>0</v>
      </c>
      <c r="DE407" s="60" t="n">
        <f aca="false">$N$28*SUMPRODUCT($E$40:$P$40,BX407:CI407,$E$28:$P$28)</f>
        <v>0</v>
      </c>
      <c r="DF407" s="60" t="n">
        <f aca="false">$O$28*SUMPRODUCT($E$41:$P$41,BX407:CI407,$E$28:$P$28)</f>
        <v>0</v>
      </c>
      <c r="DG407" s="60" t="n">
        <f aca="false">$P$28*SUMPRODUCT($E$42:$P$42,BX407:CI407,$E$28:$P$28)</f>
        <v>0</v>
      </c>
      <c r="DH407" s="60" t="n">
        <f aca="false">SUMPRODUCT(BX407:CI407,CV407:DG407)</f>
        <v>0.184416866619846</v>
      </c>
      <c r="DI407" s="60" t="n">
        <f aca="false">SUMPRODUCT(BX407:CI407,$E$27:$P$27)</f>
        <v>2.67389635063809E-005</v>
      </c>
      <c r="DJ407" s="60" t="n">
        <f aca="false">DH407*$C$9/($C$10*$C$8)^2</f>
        <v>0.21776909410545</v>
      </c>
      <c r="DK407" s="60" t="n">
        <f aca="false">DI407*$C$9/($C$10*$C$8)</f>
        <v>0.0918845243259994</v>
      </c>
      <c r="DL407" s="60" t="n">
        <f aca="false">CHOOSE($C$7,-(1+DK407),-1,-(1-DK407))</f>
        <v>-0.908115475674001</v>
      </c>
      <c r="DM407" s="60" t="n">
        <f aca="false">CHOOSE($C$7,DJ407,DJ407-DK407-DK407^2,DJ407-3*DK407^2-2*DK407)</f>
        <v>0.00867174802160559</v>
      </c>
      <c r="DN407" s="60" t="n">
        <f aca="false">CHOOSE($C$7,-DJ407*DK407,-DJ407*DK407,-(DJ407*DK407-DK407^2-DK407^3))</f>
        <v>-0.0107910842936637</v>
      </c>
      <c r="DO407" s="60" t="n">
        <f aca="false">DM407-DL407^2/3</f>
        <v>-0.266219491031267</v>
      </c>
      <c r="DP407" s="60" t="n">
        <f aca="false">2*DL407^3/27-DL407*DM407/3+DN407</f>
        <v>-0.0636400988362784</v>
      </c>
      <c r="DQ407" s="60" t="n">
        <f aca="false">DP407^2/4+DO407^3/27</f>
        <v>0.000313710901361829</v>
      </c>
      <c r="DR407" s="60" t="n">
        <f aca="false">-DP407/2-IF(DP407&gt;=0,1,-1)*SQRT(MAX(DQ407,0))</f>
        <v>0.0495319352963236</v>
      </c>
      <c r="DS407" s="60" t="n">
        <f aca="false">SIGN(DR407)*ABS(DR407)^(1/3)</f>
        <v>0.367249967174439</v>
      </c>
      <c r="DT407" s="60" t="n">
        <f aca="false">IF(DS407=0,0,DS407-DO407/(3*DS407))</f>
        <v>0.60888329127384</v>
      </c>
      <c r="DU407" s="60" t="n">
        <f aca="false">2*SQRT(MAX(-DO407,0)/3)</f>
        <v>0.595784626668918</v>
      </c>
      <c r="DV407" s="60" t="n">
        <f aca="false">ACOS(IF(DU407=0,0,MAX(-1,MIN(1,3*DP407/(DO407*DU407)))))</f>
        <v>0</v>
      </c>
      <c r="DW407" s="60" t="n">
        <f aca="false">DU407*COS(DV407/3)</f>
        <v>0.595784626668918</v>
      </c>
      <c r="DX407" s="60" t="n">
        <f aca="false">IF(DQ407&lt;0,DW407,DT407)-DL407/3</f>
        <v>0.91158844983184</v>
      </c>
      <c r="DY407" s="60" t="n">
        <f aca="false">IFERROR((((DX407+DL407)*DX407+DM407)*DX407+DN407)/((3*DX407+2*DL407)*DX407+DM407),0)</f>
        <v>0</v>
      </c>
      <c r="DZ407" s="60" t="n">
        <f aca="false">IF(ABS(DY407)&lt;0.1*ABS(DX407),DX407-DY407,DX407)</f>
        <v>0.91158844983184</v>
      </c>
      <c r="EA407" s="60" t="n">
        <f aca="false">IFERROR((((DZ407+DL407)*DZ407+DM407)*DZ407+DN407)/((3*DZ407+2*DL407)*DZ407+DM407),0)</f>
        <v>0</v>
      </c>
      <c r="EB407" s="60" t="n">
        <f aca="false">IF(ABS(EA407)&lt;0.1*ABS(DZ407),DZ407-EA407,DZ407)</f>
        <v>0.91158844983184</v>
      </c>
      <c r="EC407" s="60" t="n">
        <f aca="false">-DN407/EB407</f>
        <v>0.0118376711504565</v>
      </c>
      <c r="ED407" s="60" t="n">
        <f aca="false">(DM407-EC407)/EB407</f>
        <v>-0.00347297415783941</v>
      </c>
      <c r="EE407" s="60" t="n">
        <f aca="false">ED407^2-4*EC407</f>
        <v>-0.0473386230523248</v>
      </c>
      <c r="EF407" s="60" t="n">
        <f aca="false">IF(EE407&gt;=0,(ED407+IF(ED407&gt;=0,1,-1)*SQRT(EE407))/2,0)</f>
        <v>0</v>
      </c>
      <c r="EG407" s="60" t="n">
        <f aca="false">IF(AND(EE407&gt;=0,EF407&lt;&gt;0),MIN(EF407,EC407/EF407),-1)</f>
        <v>-1</v>
      </c>
      <c r="EH407" s="60" t="n">
        <f aca="false">AND(EE407&gt;=0,EG407&gt;DK407,ABS(EB407-EG407)&gt;=0.00005*MAX(EB407,EG407))</f>
        <v>0</v>
      </c>
      <c r="EI407" s="60" t="n">
        <f aca="false">IF(EH407,IFERROR((((EG407+DL407)*EG407+DM407)*EG407+DN407)/((3*EG407+2*DL407)*EG407+DM407),0),0)</f>
        <v>0</v>
      </c>
      <c r="EJ407" s="60" t="n">
        <f aca="false">IF(ABS(EI407)&lt;0.1*ABS(EG407),EG407-EI407,EG407)</f>
        <v>-1</v>
      </c>
      <c r="EK407" s="60" t="n">
        <f aca="false">IF(EH407,IFERROR((((EJ407+DL407)*EJ407+DM407)*EJ407+DN407)/((3*EJ407+2*DL407)*EJ407+DM407),0),0)</f>
        <v>0</v>
      </c>
      <c r="EL407" s="60" t="n">
        <f aca="false">IF(ABS(EK407)&lt;0.1*ABS(EJ407),EJ407-EK407,EJ407)</f>
        <v>-1</v>
      </c>
      <c r="EM407" s="60" t="n">
        <f aca="false">IF(EH407,MAX(EB407,EL407),EB407)</f>
        <v>0.91158844983184</v>
      </c>
      <c r="EN407" s="60" t="n">
        <f aca="false">IF(EH407,MIN(EB407,EL407),-1)</f>
        <v>-1</v>
      </c>
      <c r="EO407" s="60" t="n">
        <f aca="false">CHOOSE($C$7,DJ407/EM407,DJ407/DK407*LN(1+DK407/EM407),DJ407/(2*SQRT(2)*DK407)*LN((EM407+(1+SQRT(2))*DK407)/(EM407+(1-SQRT(2))*DK407)))</f>
        <v>0.218240791233887</v>
      </c>
      <c r="EP407" s="60" t="n">
        <f aca="false">EM407-1-LN(EM407-DK407)-EO407</f>
        <v>-0.107840271021729</v>
      </c>
      <c r="EQ407" s="60" t="n">
        <f aca="false">IF(EH407,CHOOSE($C$7,DJ407/EN407,DJ407/DK407*LN(1+DK407/EN407),DJ407/(2*SQRT(2)*DK407)*LN((EN407+(1+SQRT(2))*DK407)/(EN407+(1-SQRT(2))*DK407))),0)</f>
        <v>0</v>
      </c>
      <c r="ER407" s="60" t="n">
        <f aca="false">IF(EH407,EN407-1-LN(EN407-DK407)-EQ407,0)</f>
        <v>0</v>
      </c>
      <c r="ES407" s="60" t="n">
        <f aca="false">AND(EH407,ER407&lt;EP407)</f>
        <v>0</v>
      </c>
      <c r="ET407" s="60" t="n">
        <f aca="false">IF(ES407,EN407,EM407)</f>
        <v>0.91158844983184</v>
      </c>
      <c r="EU407" s="60" t="n">
        <f aca="false">IF(ES407,EQ407,EO407)</f>
        <v>0.218240791233887</v>
      </c>
      <c r="EV407" s="60" t="n">
        <f aca="false">LN(ET407-DK407)</f>
        <v>-0.198812070380318</v>
      </c>
      <c r="EW407" s="60" t="n">
        <f aca="false">$E$27/DI407*(ET407-1)-EV407-EU407*(2*CV407/DH407-$E$27/DI407)</f>
        <v>-0.107840271021729</v>
      </c>
      <c r="EX407" s="60" t="n">
        <f aca="false">$F$27/DI407*(ET407-1)-EV407-EU407*(2*CW407/DH407-$F$27/DI407)</f>
        <v>0.198812070380318</v>
      </c>
      <c r="EY407" s="60" t="n">
        <f aca="false">$G$27/DI407*(ET407-1)-EV407-EU407*(2*CX407/DH407-$G$27/DI407)</f>
        <v>0.198812070380318</v>
      </c>
      <c r="EZ407" s="60" t="n">
        <f aca="false">$H$27/DI407*(ET407-1)-EV407-EU407*(2*CY407/DH407-$H$27/DI407)</f>
        <v>0.198812070380318</v>
      </c>
      <c r="FA407" s="60" t="n">
        <f aca="false">$I$27/DI407*(ET407-1)-EV407-EU407*(2*CZ407/DH407-$I$27/DI407)</f>
        <v>0.198812070380318</v>
      </c>
      <c r="FB407" s="60" t="n">
        <f aca="false">$J$27/DI407*(ET407-1)-EV407-EU407*(2*DA407/DH407-$J$27/DI407)</f>
        <v>0.198812070380318</v>
      </c>
      <c r="FC407" s="60" t="n">
        <f aca="false">$K$27/DI407*(ET407-1)-EV407-EU407*(2*DB407/DH407-$K$27/DI407)</f>
        <v>0.198812070380318</v>
      </c>
      <c r="FD407" s="60" t="n">
        <f aca="false">$L$27/DI407*(ET407-1)-EV407-EU407*(2*DC407/DH407-$L$27/DI407)</f>
        <v>0.198812070380318</v>
      </c>
      <c r="FE407" s="60" t="n">
        <f aca="false">$M$27/DI407*(ET407-1)-EV407-EU407*(2*DD407/DH407-$M$27/DI407)</f>
        <v>0.198812070380318</v>
      </c>
      <c r="FF407" s="60" t="n">
        <f aca="false">$N$27/DI407*(ET407-1)-EV407-EU407*(2*DE407/DH407-$N$27/DI407)</f>
        <v>0.198812070380318</v>
      </c>
      <c r="FG407" s="60" t="n">
        <f aca="false">$O$27/DI407*(ET407-1)-EV407-EU407*(2*DF407/DH407-$O$27/DI407)</f>
        <v>0.198812070380318</v>
      </c>
      <c r="FH407" s="60" t="n">
        <f aca="false">$P$27/DI407*(ET407-1)-EV407-EU407*(2*DG407/DH407-$P$27/DI407)</f>
        <v>0.198812070380318</v>
      </c>
      <c r="FI407" s="60" t="n">
        <f aca="false">DK407/ET407&gt;$C$22</f>
        <v>0</v>
      </c>
      <c r="FJ407" s="60" t="n">
        <f aca="false">$E$28*SUMPRODUCT($E$31:$P$31,CJ407:CU407,$E$28:$P$28)</f>
        <v>0.184416866619846</v>
      </c>
      <c r="FK407" s="60" t="n">
        <f aca="false">$F$28*SUMPRODUCT($E$32:$P$32,CJ407:CU407,$E$28:$P$28)</f>
        <v>0</v>
      </c>
      <c r="FL407" s="60" t="n">
        <f aca="false">$G$28*SUMPRODUCT($E$33:$P$33,CJ407:CU407,$E$28:$P$28)</f>
        <v>0</v>
      </c>
      <c r="FM407" s="60" t="n">
        <f aca="false">$H$28*SUMPRODUCT($E$34:$P$34,CJ407:CU407,$E$28:$P$28)</f>
        <v>0</v>
      </c>
      <c r="FN407" s="60" t="n">
        <f aca="false">$I$28*SUMPRODUCT($E$35:$P$35,CJ407:CU407,$E$28:$P$28)</f>
        <v>0</v>
      </c>
      <c r="FO407" s="60" t="n">
        <f aca="false">$J$28*SUMPRODUCT($E$36:$P$36,CJ407:CU407,$E$28:$P$28)</f>
        <v>0</v>
      </c>
      <c r="FP407" s="60" t="n">
        <f aca="false">$K$28*SUMPRODUCT($E$37:$P$37,CJ407:CU407,$E$28:$P$28)</f>
        <v>0</v>
      </c>
      <c r="FQ407" s="60" t="n">
        <f aca="false">$L$28*SUMPRODUCT($E$38:$P$38,CJ407:CU407,$E$28:$P$28)</f>
        <v>0</v>
      </c>
      <c r="FR407" s="60" t="n">
        <f aca="false">$M$28*SUMPRODUCT($E$39:$P$39,CJ407:CU407,$E$28:$P$28)</f>
        <v>0</v>
      </c>
      <c r="FS407" s="60" t="n">
        <f aca="false">$N$28*SUMPRODUCT($E$40:$P$40,CJ407:CU407,$E$28:$P$28)</f>
        <v>0</v>
      </c>
      <c r="FT407" s="60" t="n">
        <f aca="false">$O$28*SUMPRODUCT($E$41:$P$41,CJ407:CU407,$E$28:$P$28)</f>
        <v>0</v>
      </c>
      <c r="FU407" s="60" t="n">
        <f aca="false">$P$28*SUMPRODUCT($E$42:$P$42,CJ407:CU407,$E$28:$P$28)</f>
        <v>0</v>
      </c>
      <c r="FV407" s="60" t="n">
        <f aca="false">SUMPRODUCT(CJ407:CU407,FJ407:FU407)</f>
        <v>0.184416866619846</v>
      </c>
      <c r="FW407" s="60" t="n">
        <f aca="false">SUMPRODUCT(CJ407:CU407,$E$27:$P$27)</f>
        <v>2.67389635063809E-005</v>
      </c>
      <c r="FX407" s="60" t="n">
        <f aca="false">FV407*$C$9/($C$10*$C$8)^2</f>
        <v>0.21776909410545</v>
      </c>
      <c r="FY407" s="60" t="n">
        <f aca="false">FW407*$C$9/($C$10*$C$8)</f>
        <v>0.0918845243259994</v>
      </c>
      <c r="FZ407" s="60" t="n">
        <f aca="false">CHOOSE($C$7,-(1+FY407),-1,-(1-FY407))</f>
        <v>-0.908115475674001</v>
      </c>
      <c r="GA407" s="60" t="n">
        <f aca="false">CHOOSE($C$7,FX407,FX407-FY407-FY407^2,FX407-3*FY407^2-2*FY407)</f>
        <v>0.00867174802160559</v>
      </c>
      <c r="GB407" s="60" t="n">
        <f aca="false">CHOOSE($C$7,-FX407*FY407,-FX407*FY407,-(FX407*FY407-FY407^2-FY407^3))</f>
        <v>-0.0107910842936637</v>
      </c>
      <c r="GC407" s="60" t="n">
        <f aca="false">GA407-FZ407^2/3</f>
        <v>-0.266219491031267</v>
      </c>
      <c r="GD407" s="60" t="n">
        <f aca="false">2*FZ407^3/27-FZ407*GA407/3+GB407</f>
        <v>-0.0636400988362784</v>
      </c>
      <c r="GE407" s="60" t="n">
        <f aca="false">GD407^2/4+GC407^3/27</f>
        <v>0.000313710901361829</v>
      </c>
      <c r="GF407" s="60" t="n">
        <f aca="false">-GD407/2-IF(GD407&gt;=0,1,-1)*SQRT(MAX(GE407,0))</f>
        <v>0.0495319352963236</v>
      </c>
      <c r="GG407" s="60" t="n">
        <f aca="false">SIGN(GF407)*ABS(GF407)^(1/3)</f>
        <v>0.367249967174439</v>
      </c>
      <c r="GH407" s="60" t="n">
        <f aca="false">IF(GG407=0,0,GG407-GC407/(3*GG407))</f>
        <v>0.60888329127384</v>
      </c>
      <c r="GI407" s="60" t="n">
        <f aca="false">2*SQRT(MAX(-GC407,0)/3)</f>
        <v>0.595784626668918</v>
      </c>
      <c r="GJ407" s="60" t="n">
        <f aca="false">ACOS(IF(GI407=0,0,MAX(-1,MIN(1,3*GD407/(GC407*GI407)))))</f>
        <v>0</v>
      </c>
      <c r="GK407" s="60" t="n">
        <f aca="false">GI407*COS(GJ407/3)</f>
        <v>0.595784626668918</v>
      </c>
      <c r="GL407" s="60" t="n">
        <f aca="false">IF(GE407&lt;0,GK407,GH407)-FZ407/3</f>
        <v>0.91158844983184</v>
      </c>
      <c r="GM407" s="60" t="n">
        <f aca="false">IFERROR((((GL407+FZ407)*GL407+GA407)*GL407+GB407)/((3*GL407+2*FZ407)*GL407+GA407),0)</f>
        <v>0</v>
      </c>
      <c r="GN407" s="60" t="n">
        <f aca="false">IF(ABS(GM407)&lt;0.1*ABS(GL407),GL407-GM407,GL407)</f>
        <v>0.91158844983184</v>
      </c>
      <c r="GO407" s="60" t="n">
        <f aca="false">IFERROR((((GN407+FZ407)*GN407+GA407)*GN407+GB407)/((3*GN407+2*FZ407)*GN407+GA407),0)</f>
        <v>0</v>
      </c>
      <c r="GP407" s="60" t="n">
        <f aca="false">IF(ABS(GO407)&lt;0.1*ABS(GN407),GN407-GO407,GN407)</f>
        <v>0.91158844983184</v>
      </c>
      <c r="GQ407" s="60" t="n">
        <f aca="false">-GB407/GP407</f>
        <v>0.0118376711504565</v>
      </c>
      <c r="GR407" s="60" t="n">
        <f aca="false">(GA407-GQ407)/GP407</f>
        <v>-0.00347297415783941</v>
      </c>
      <c r="GS407" s="60" t="n">
        <f aca="false">GR407^2-4*GQ407</f>
        <v>-0.0473386230523248</v>
      </c>
      <c r="GT407" s="60" t="n">
        <f aca="false">IF(GS407&gt;=0,(GR407+IF(GR407&gt;=0,1,-1)*SQRT(GS407))/2,0)</f>
        <v>0</v>
      </c>
      <c r="GU407" s="60" t="n">
        <f aca="false">IF(AND(GS407&gt;=0,GT407&lt;&gt;0),MIN(GT407,GQ407/GT407),-1)</f>
        <v>-1</v>
      </c>
      <c r="GV407" s="60" t="n">
        <f aca="false">AND(GS407&gt;=0,GU407&gt;FY407,ABS(GP407-GU407)&gt;=0.00005*MAX(GP407,GU407))</f>
        <v>0</v>
      </c>
      <c r="GW407" s="60" t="n">
        <f aca="false">IF(GV407,IFERROR((((GU407+FZ407)*GU407+GA407)*GU407+GB407)/((3*GU407+2*FZ407)*GU407+GA407),0),0)</f>
        <v>0</v>
      </c>
      <c r="GX407" s="60" t="n">
        <f aca="false">IF(ABS(GW407)&lt;0.1*ABS(GU407),GU407-GW407,GU407)</f>
        <v>-1</v>
      </c>
      <c r="GY407" s="60" t="n">
        <f aca="false">IF(GV407,IFERROR((((GX407+FZ407)*GX407+GA407)*GX407+GB407)/((3*GX407+2*FZ407)*GX407+GA407),0),0)</f>
        <v>0</v>
      </c>
      <c r="GZ407" s="60" t="n">
        <f aca="false">IF(ABS(GY407)&lt;0.1*ABS(GX407),GX407-GY407,GX407)</f>
        <v>-1</v>
      </c>
      <c r="HA407" s="60" t="n">
        <f aca="false">IF(GV407,MAX(GP407,GZ407),GP407)</f>
        <v>0.91158844983184</v>
      </c>
      <c r="HB407" s="60" t="n">
        <f aca="false">IF(GV407,MIN(GP407,GZ407),-1)</f>
        <v>-1</v>
      </c>
      <c r="HC407" s="60" t="n">
        <f aca="false">CHOOSE($C$7,FX407/HA407,FX407/FY407*LN(1+FY407/HA407),FX407/(2*SQRT(2)*FY407)*LN((HA407+(1+SQRT(2))*FY407)/(HA407+(1-SQRT(2))*FY407)))</f>
        <v>0.218240791233887</v>
      </c>
      <c r="HD407" s="60" t="n">
        <f aca="false">HA407-1-LN(HA407-FY407)-HC407</f>
        <v>-0.107840271021729</v>
      </c>
      <c r="HE407" s="60" t="n">
        <f aca="false">IF(GV407,CHOOSE($C$7,FX407/HB407,FX407/FY407*LN(1+FY407/HB407),FX407/(2*SQRT(2)*FY407)*LN((HB407+(1+SQRT(2))*FY407)/(HB407+(1-SQRT(2))*FY407))),0)</f>
        <v>0</v>
      </c>
      <c r="HF407" s="60" t="n">
        <f aca="false">IF(GV407,HB407-1-LN(HB407-FY407)-HE407,0)</f>
        <v>0</v>
      </c>
      <c r="HG407" s="60" t="n">
        <f aca="false">AND(GV407,HF407&lt;HD407)</f>
        <v>0</v>
      </c>
      <c r="HH407" s="60" t="n">
        <f aca="false">IF(HG407,HB407,HA407)</f>
        <v>0.91158844983184</v>
      </c>
      <c r="HI407" s="60" t="n">
        <f aca="false">IF(HG407,HE407,HC407)</f>
        <v>0.218240791233887</v>
      </c>
      <c r="HJ407" s="60" t="n">
        <f aca="false">LN(HH407-FY407)</f>
        <v>-0.198812070380318</v>
      </c>
      <c r="HK407" s="60" t="n">
        <f aca="false">$E$27/FW407*(HH407-1)-HJ407-HI407*(2*FJ407/FV407-$E$27/FW407)</f>
        <v>-0.107840271021729</v>
      </c>
      <c r="HL407" s="60" t="n">
        <f aca="false">$F$27/FW407*(HH407-1)-HJ407-HI407*(2*FK407/FV407-$F$27/FW407)</f>
        <v>0.198812070380318</v>
      </c>
      <c r="HM407" s="60" t="n">
        <f aca="false">$G$27/FW407*(HH407-1)-HJ407-HI407*(2*FL407/FV407-$G$27/FW407)</f>
        <v>0.198812070380318</v>
      </c>
      <c r="HN407" s="60" t="n">
        <f aca="false">$H$27/FW407*(HH407-1)-HJ407-HI407*(2*FM407/FV407-$H$27/FW407)</f>
        <v>0.198812070380318</v>
      </c>
      <c r="HO407" s="60" t="n">
        <f aca="false">$I$27/FW407*(HH407-1)-HJ407-HI407*(2*FN407/FV407-$I$27/FW407)</f>
        <v>0.198812070380318</v>
      </c>
      <c r="HP407" s="60" t="n">
        <f aca="false">$J$27/FW407*(HH407-1)-HJ407-HI407*(2*FO407/FV407-$J$27/FW407)</f>
        <v>0.198812070380318</v>
      </c>
      <c r="HQ407" s="60" t="n">
        <f aca="false">$K$27/FW407*(HH407-1)-HJ407-HI407*(2*FP407/FV407-$K$27/FW407)</f>
        <v>0.198812070380318</v>
      </c>
      <c r="HR407" s="60" t="n">
        <f aca="false">$L$27/FW407*(HH407-1)-HJ407-HI407*(2*FQ407/FV407-$L$27/FW407)</f>
        <v>0.198812070380318</v>
      </c>
      <c r="HS407" s="60" t="n">
        <f aca="false">$M$27/FW407*(HH407-1)-HJ407-HI407*(2*FR407/FV407-$M$27/FW407)</f>
        <v>0.198812070380318</v>
      </c>
      <c r="HT407" s="60" t="n">
        <f aca="false">$N$27/FW407*(HH407-1)-HJ407-HI407*(2*FS407/FV407-$N$27/FW407)</f>
        <v>0.198812070380318</v>
      </c>
      <c r="HU407" s="60" t="n">
        <f aca="false">$O$27/FW407*(HH407-1)-HJ407-HI407*(2*FT407/FV407-$O$27/FW407)</f>
        <v>0.198812070380318</v>
      </c>
      <c r="HV407" s="60" t="n">
        <f aca="false">$P$27/FW407*(HH407-1)-HJ407-HI407*(2*FU407/FV407-$P$27/FW407)</f>
        <v>0.198812070380318</v>
      </c>
      <c r="HW407" s="60" t="n">
        <f aca="false">FY407/HH407&gt;$C$22</f>
        <v>0</v>
      </c>
      <c r="HX407" s="60" t="n">
        <f aca="false">IF($E$13&gt;0,MAX(-300,MIN(300,EW407-HK407)),0)</f>
        <v>0</v>
      </c>
      <c r="HY407" s="60" t="n">
        <f aca="false">IF($F$13&gt;0,MAX(-300,MIN(300,EX407-HL407)),0)</f>
        <v>0</v>
      </c>
      <c r="HZ407" s="60" t="n">
        <f aca="false">IF($G$13&gt;0,MAX(-300,MIN(300,EY407-HM407)),0)</f>
        <v>0</v>
      </c>
      <c r="IA407" s="60" t="n">
        <f aca="false">IF($H$13&gt;0,MAX(-300,MIN(300,EZ407-HN407)),0)</f>
        <v>0</v>
      </c>
      <c r="IB407" s="60" t="n">
        <f aca="false">IF($I$13&gt;0,MAX(-300,MIN(300,FA407-HO407)),0)</f>
        <v>0</v>
      </c>
      <c r="IC407" s="60" t="n">
        <f aca="false">IF($J$13&gt;0,MAX(-300,MIN(300,FB407-HP407)),0)</f>
        <v>0</v>
      </c>
      <c r="ID407" s="60" t="n">
        <f aca="false">IF($K$13&gt;0,MAX(-300,MIN(300,FC407-HQ407)),0)</f>
        <v>0</v>
      </c>
      <c r="IE407" s="60" t="n">
        <f aca="false">IF($L$13&gt;0,MAX(-300,MIN(300,FD407-HR407)),0)</f>
        <v>0</v>
      </c>
      <c r="IF407" s="60" t="n">
        <f aca="false">IF($M$13&gt;0,MAX(-300,MIN(300,FE407-HS407)),0)</f>
        <v>0</v>
      </c>
      <c r="IG407" s="60" t="n">
        <f aca="false">IF($N$13&gt;0,MAX(-300,MIN(300,FF407-HT407)),0)</f>
        <v>0</v>
      </c>
      <c r="IH407" s="60" t="n">
        <f aca="false">IF($O$13&gt;0,MAX(-300,MIN(300,FG407-HU407)),0)</f>
        <v>0</v>
      </c>
      <c r="II407" s="60" t="n">
        <f aca="false">IF($P$13&gt;0,MAX(-300,MIN(300,FH407-HV407)),0)</f>
        <v>0</v>
      </c>
      <c r="IJ407" s="60" t="n">
        <f aca="false">SUMXMY2(HX407:II407,B407:M407)</f>
        <v>0</v>
      </c>
      <c r="IK407" s="60" t="n">
        <f aca="false">SUMSQ(B407:M407)</f>
        <v>0</v>
      </c>
    </row>
    <row r="408" customFormat="false" ht="15" hidden="false" customHeight="false" outlineLevel="0" collapsed="false">
      <c r="A408" s="59" t="n">
        <v>47</v>
      </c>
      <c r="B408" s="60" t="n">
        <f aca="false">HX407</f>
        <v>0</v>
      </c>
      <c r="C408" s="60" t="n">
        <f aca="false">HY407</f>
        <v>0</v>
      </c>
      <c r="D408" s="60" t="n">
        <f aca="false">HZ407</f>
        <v>0</v>
      </c>
      <c r="E408" s="60" t="n">
        <f aca="false">IA407</f>
        <v>0</v>
      </c>
      <c r="F408" s="60" t="n">
        <f aca="false">IB407</f>
        <v>0</v>
      </c>
      <c r="G408" s="60" t="n">
        <f aca="false">IC407</f>
        <v>0</v>
      </c>
      <c r="H408" s="60" t="n">
        <f aca="false">ID407</f>
        <v>0</v>
      </c>
      <c r="I408" s="60" t="n">
        <f aca="false">IE407</f>
        <v>0</v>
      </c>
      <c r="J408" s="60" t="n">
        <f aca="false">IF407</f>
        <v>0</v>
      </c>
      <c r="K408" s="60" t="n">
        <f aca="false">IG407</f>
        <v>0</v>
      </c>
      <c r="L408" s="60" t="n">
        <f aca="false">IH407</f>
        <v>0</v>
      </c>
      <c r="M408" s="60" t="n">
        <f aca="false">II407</f>
        <v>0</v>
      </c>
      <c r="N408" s="60" t="n">
        <f aca="false">EXP(B408)</f>
        <v>1</v>
      </c>
      <c r="O408" s="60" t="n">
        <f aca="false">EXP(C408)</f>
        <v>1</v>
      </c>
      <c r="P408" s="60" t="n">
        <f aca="false">EXP(D408)</f>
        <v>1</v>
      </c>
      <c r="Q408" s="60" t="n">
        <f aca="false">EXP(E408)</f>
        <v>1</v>
      </c>
      <c r="R408" s="60" t="n">
        <f aca="false">EXP(F408)</f>
        <v>1</v>
      </c>
      <c r="S408" s="60" t="n">
        <f aca="false">EXP(G408)</f>
        <v>1</v>
      </c>
      <c r="T408" s="60" t="n">
        <f aca="false">EXP(H408)</f>
        <v>1</v>
      </c>
      <c r="U408" s="60" t="n">
        <f aca="false">EXP(I408)</f>
        <v>1</v>
      </c>
      <c r="V408" s="60" t="n">
        <f aca="false">EXP(J408)</f>
        <v>1</v>
      </c>
      <c r="W408" s="60" t="n">
        <f aca="false">EXP(K408)</f>
        <v>1</v>
      </c>
      <c r="X408" s="60" t="n">
        <f aca="false">EXP(L408)</f>
        <v>1</v>
      </c>
      <c r="Y408" s="60" t="n">
        <f aca="false">EXP(M408)</f>
        <v>1</v>
      </c>
      <c r="Z408" s="60" t="n">
        <f aca="false">MAX(N408:Y408)</f>
        <v>1</v>
      </c>
      <c r="AA408" s="60" t="n">
        <f aca="false">MIN(N408:Y408)</f>
        <v>1</v>
      </c>
      <c r="AB408" s="60" t="n">
        <f aca="false">AND(Z408&gt;1,AA408&lt;1)</f>
        <v>0</v>
      </c>
      <c r="AC408" s="60" t="n">
        <f aca="false">IF(AB408,1/(1-Z408),0)</f>
        <v>0</v>
      </c>
      <c r="AD408" s="60" t="n">
        <f aca="false">IF(AB408,1/(1-AA408),1)</f>
        <v>1</v>
      </c>
      <c r="AE408" s="60" t="n">
        <f aca="false">IF(AB408,MIN(MAX(BI407,AC408+0.000000001*(AD408-AC408)),AD408-0.000000001*(AD408-AC408)),IF(AA408&gt;=1,1,0))</f>
        <v>1</v>
      </c>
      <c r="AF408" s="60" t="n">
        <f aca="false">SUMPRODUCT($E$13:$P$13*(N408:Y408-1)/(1+AE408*(N408:Y408-1)))</f>
        <v>0</v>
      </c>
      <c r="AG408" s="60" t="n">
        <f aca="false">-SUMPRODUCT($E$13:$P$13*(N408:Y408-1)^2/(1+AE408*(N408:Y408-1))^2)</f>
        <v>-0</v>
      </c>
      <c r="AH408" s="60" t="n">
        <f aca="false">IF(OR(NOT(AB408),AG408=0),AE408,IF(AE408-AF408/AG408&lt;=AC408,(AE408+AC408)/2,IF(AE408-AF408/AG408&gt;=AD408,(AE408+AD408)/2,AE408-AF408/AG408)))</f>
        <v>1</v>
      </c>
      <c r="AI408" s="60" t="n">
        <f aca="false">SUMPRODUCT($E$13:$P$13*(N408:Y408-1)/(1+AH408*(N408:Y408-1)))</f>
        <v>0</v>
      </c>
      <c r="AJ408" s="60" t="n">
        <f aca="false">-SUMPRODUCT($E$13:$P$13*(N408:Y408-1)^2/(1+AH408*(N408:Y408-1))^2)</f>
        <v>-0</v>
      </c>
      <c r="AK408" s="60" t="n">
        <f aca="false">IF(OR(NOT(AB408),AJ408=0),AH408,IF(AH408-AI408/AJ408&lt;=AC408,(AH408+AC408)/2,IF(AH408-AI408/AJ408&gt;=AD408,(AH408+AD408)/2,AH408-AI408/AJ408)))</f>
        <v>1</v>
      </c>
      <c r="AL408" s="60" t="n">
        <f aca="false">SUMPRODUCT($E$13:$P$13*(N408:Y408-1)/(1+AK408*(N408:Y408-1)))</f>
        <v>0</v>
      </c>
      <c r="AM408" s="60" t="n">
        <f aca="false">-SUMPRODUCT($E$13:$P$13*(N408:Y408-1)^2/(1+AK408*(N408:Y408-1))^2)</f>
        <v>-0</v>
      </c>
      <c r="AN408" s="60" t="n">
        <f aca="false">IF(OR(NOT(AB408),AM408=0),AK408,IF(AK408-AL408/AM408&lt;=AC408,(AK408+AC408)/2,IF(AK408-AL408/AM408&gt;=AD408,(AK408+AD408)/2,AK408-AL408/AM408)))</f>
        <v>1</v>
      </c>
      <c r="AO408" s="60" t="n">
        <f aca="false">SUMPRODUCT($E$13:$P$13*(N408:Y408-1)/(1+AN408*(N408:Y408-1)))</f>
        <v>0</v>
      </c>
      <c r="AP408" s="60" t="n">
        <f aca="false">-SUMPRODUCT($E$13:$P$13*(N408:Y408-1)^2/(1+AN408*(N408:Y408-1))^2)</f>
        <v>-0</v>
      </c>
      <c r="AQ408" s="60" t="n">
        <f aca="false">IF(OR(NOT(AB408),AP408=0),AN408,IF(AN408-AO408/AP408&lt;=AC408,(AN408+AC408)/2,IF(AN408-AO408/AP408&gt;=AD408,(AN408+AD408)/2,AN408-AO408/AP408)))</f>
        <v>1</v>
      </c>
      <c r="AR408" s="60" t="n">
        <f aca="false">SUMPRODUCT($E$13:$P$13*(N408:Y408-1)/(1+AQ408*(N408:Y408-1)))</f>
        <v>0</v>
      </c>
      <c r="AS408" s="60" t="n">
        <f aca="false">-SUMPRODUCT($E$13:$P$13*(N408:Y408-1)^2/(1+AQ408*(N408:Y408-1))^2)</f>
        <v>-0</v>
      </c>
      <c r="AT408" s="60" t="n">
        <f aca="false">IF(OR(NOT(AB408),AS408=0),AQ408,IF(AQ408-AR408/AS408&lt;=AC408,(AQ408+AC408)/2,IF(AQ408-AR408/AS408&gt;=AD408,(AQ408+AD408)/2,AQ408-AR408/AS408)))</f>
        <v>1</v>
      </c>
      <c r="AU408" s="60" t="n">
        <f aca="false">SUMPRODUCT($E$13:$P$13*(N408:Y408-1)/(1+AT408*(N408:Y408-1)))</f>
        <v>0</v>
      </c>
      <c r="AV408" s="60" t="n">
        <f aca="false">-SUMPRODUCT($E$13:$P$13*(N408:Y408-1)^2/(1+AT408*(N408:Y408-1))^2)</f>
        <v>-0</v>
      </c>
      <c r="AW408" s="60" t="n">
        <f aca="false">IF(OR(NOT(AB408),AV408=0),AT408,IF(AT408-AU408/AV408&lt;=AC408,(AT408+AC408)/2,IF(AT408-AU408/AV408&gt;=AD408,(AT408+AD408)/2,AT408-AU408/AV408)))</f>
        <v>1</v>
      </c>
      <c r="AX408" s="60" t="n">
        <f aca="false">SUMPRODUCT($E$13:$P$13*(N408:Y408-1)/(1+AW408*(N408:Y408-1)))</f>
        <v>0</v>
      </c>
      <c r="AY408" s="60" t="n">
        <f aca="false">-SUMPRODUCT($E$13:$P$13*(N408:Y408-1)^2/(1+AW408*(N408:Y408-1))^2)</f>
        <v>-0</v>
      </c>
      <c r="AZ408" s="60" t="n">
        <f aca="false">IF(OR(NOT(AB408),AY408=0),AW408,IF(AW408-AX408/AY408&lt;=AC408,(AW408+AC408)/2,IF(AW408-AX408/AY408&gt;=AD408,(AW408+AD408)/2,AW408-AX408/AY408)))</f>
        <v>1</v>
      </c>
      <c r="BA408" s="60" t="n">
        <f aca="false">SUMPRODUCT($E$13:$P$13*(N408:Y408-1)/(1+AZ408*(N408:Y408-1)))</f>
        <v>0</v>
      </c>
      <c r="BB408" s="60" t="n">
        <f aca="false">-SUMPRODUCT($E$13:$P$13*(N408:Y408-1)^2/(1+AZ408*(N408:Y408-1))^2)</f>
        <v>-0</v>
      </c>
      <c r="BC408" s="60" t="n">
        <f aca="false">IF(OR(NOT(AB408),BB408=0),AZ408,IF(AZ408-BA408/BB408&lt;=AC408,(AZ408+AC408)/2,IF(AZ408-BA408/BB408&gt;=AD408,(AZ408+AD408)/2,AZ408-BA408/BB408)))</f>
        <v>1</v>
      </c>
      <c r="BD408" s="60" t="n">
        <f aca="false">SUMPRODUCT($E$13:$P$13*(N408:Y408-1)/(1+BC408*(N408:Y408-1)))</f>
        <v>0</v>
      </c>
      <c r="BE408" s="60" t="n">
        <f aca="false">-SUMPRODUCT($E$13:$P$13*(N408:Y408-1)^2/(1+BC408*(N408:Y408-1))^2)</f>
        <v>-0</v>
      </c>
      <c r="BF408" s="60" t="n">
        <f aca="false">IF(OR(NOT(AB408),BE408=0),BC408,IF(BC408-BD408/BE408&lt;=AC408,(BC408+AC408)/2,IF(BC408-BD408/BE408&gt;=AD408,(BC408+AD408)/2,BC408-BD408/BE408)))</f>
        <v>1</v>
      </c>
      <c r="BG408" s="60" t="n">
        <f aca="false">SUMPRODUCT($E$13:$P$13*(N408:Y408-1)/(1+BF408*(N408:Y408-1)))</f>
        <v>0</v>
      </c>
      <c r="BH408" s="60" t="n">
        <f aca="false">-SUMPRODUCT($E$13:$P$13*(N408:Y408-1)^2/(1+BF408*(N408:Y408-1))^2)</f>
        <v>-0</v>
      </c>
      <c r="BI408" s="60" t="n">
        <f aca="false">IF(OR(NOT(AB408),BH408=0),BF408,IF(BF408-BG408/BH408&lt;=AC408,(BF408+AC408)/2,IF(BF408-BG408/BH408&gt;=AD408,(BF408+AD408)/2,BF408-BG408/BH408)))</f>
        <v>1</v>
      </c>
      <c r="BJ408" s="60" t="n">
        <f aca="false">$E$13/(1+BI408*(N408-1))</f>
        <v>1</v>
      </c>
      <c r="BK408" s="60" t="n">
        <f aca="false">$F$13/(1+BI408*(O408-1))</f>
        <v>0</v>
      </c>
      <c r="BL408" s="60" t="n">
        <f aca="false">$G$13/(1+BI408*(P408-1))</f>
        <v>0</v>
      </c>
      <c r="BM408" s="60" t="n">
        <f aca="false">$H$13/(1+BI408*(Q408-1))</f>
        <v>0</v>
      </c>
      <c r="BN408" s="60" t="n">
        <f aca="false">$I$13/(1+BI408*(R408-1))</f>
        <v>0</v>
      </c>
      <c r="BO408" s="60" t="n">
        <f aca="false">$J$13/(1+BI408*(S408-1))</f>
        <v>0</v>
      </c>
      <c r="BP408" s="60" t="n">
        <f aca="false">$K$13/(1+BI408*(T408-1))</f>
        <v>0</v>
      </c>
      <c r="BQ408" s="60" t="n">
        <f aca="false">$L$13/(1+BI408*(U408-1))</f>
        <v>0</v>
      </c>
      <c r="BR408" s="60" t="n">
        <f aca="false">$M$13/(1+BI408*(V408-1))</f>
        <v>0</v>
      </c>
      <c r="BS408" s="60" t="n">
        <f aca="false">$N$13/(1+BI408*(W408-1))</f>
        <v>0</v>
      </c>
      <c r="BT408" s="60" t="n">
        <f aca="false">$O$13/(1+BI408*(X408-1))</f>
        <v>0</v>
      </c>
      <c r="BU408" s="60" t="n">
        <f aca="false">$P$13/(1+BI408*(Y408-1))</f>
        <v>0</v>
      </c>
      <c r="BV408" s="60" t="n">
        <f aca="false">SUM(BJ408:BU408)</f>
        <v>1</v>
      </c>
      <c r="BW408" s="60" t="n">
        <f aca="false">SUMPRODUCT(N408:Y408,BJ408:BU408)</f>
        <v>1</v>
      </c>
      <c r="BX408" s="60" t="n">
        <f aca="false">BJ408/BV408</f>
        <v>1</v>
      </c>
      <c r="BY408" s="60" t="n">
        <f aca="false">BK408/BV408</f>
        <v>0</v>
      </c>
      <c r="BZ408" s="60" t="n">
        <f aca="false">BL408/BV408</f>
        <v>0</v>
      </c>
      <c r="CA408" s="60" t="n">
        <f aca="false">BM408/BV408</f>
        <v>0</v>
      </c>
      <c r="CB408" s="60" t="n">
        <f aca="false">BN408/BV408</f>
        <v>0</v>
      </c>
      <c r="CC408" s="60" t="n">
        <f aca="false">BO408/BV408</f>
        <v>0</v>
      </c>
      <c r="CD408" s="60" t="n">
        <f aca="false">BP408/BV408</f>
        <v>0</v>
      </c>
      <c r="CE408" s="60" t="n">
        <f aca="false">BQ408/BV408</f>
        <v>0</v>
      </c>
      <c r="CF408" s="60" t="n">
        <f aca="false">BR408/BV408</f>
        <v>0</v>
      </c>
      <c r="CG408" s="60" t="n">
        <f aca="false">BS408/BV408</f>
        <v>0</v>
      </c>
      <c r="CH408" s="60" t="n">
        <f aca="false">BT408/BV408</f>
        <v>0</v>
      </c>
      <c r="CI408" s="60" t="n">
        <f aca="false">BU408/BV408</f>
        <v>0</v>
      </c>
      <c r="CJ408" s="60" t="n">
        <f aca="false">N408*BJ408/BW408</f>
        <v>1</v>
      </c>
      <c r="CK408" s="60" t="n">
        <f aca="false">O408*BK408/BW408</f>
        <v>0</v>
      </c>
      <c r="CL408" s="60" t="n">
        <f aca="false">P408*BL408/BW408</f>
        <v>0</v>
      </c>
      <c r="CM408" s="60" t="n">
        <f aca="false">Q408*BM408/BW408</f>
        <v>0</v>
      </c>
      <c r="CN408" s="60" t="n">
        <f aca="false">R408*BN408/BW408</f>
        <v>0</v>
      </c>
      <c r="CO408" s="60" t="n">
        <f aca="false">S408*BO408/BW408</f>
        <v>0</v>
      </c>
      <c r="CP408" s="60" t="n">
        <f aca="false">T408*BP408/BW408</f>
        <v>0</v>
      </c>
      <c r="CQ408" s="60" t="n">
        <f aca="false">U408*BQ408/BW408</f>
        <v>0</v>
      </c>
      <c r="CR408" s="60" t="n">
        <f aca="false">V408*BR408/BW408</f>
        <v>0</v>
      </c>
      <c r="CS408" s="60" t="n">
        <f aca="false">W408*BS408/BW408</f>
        <v>0</v>
      </c>
      <c r="CT408" s="60" t="n">
        <f aca="false">X408*BT408/BW408</f>
        <v>0</v>
      </c>
      <c r="CU408" s="60" t="n">
        <f aca="false">Y408*BU408/BW408</f>
        <v>0</v>
      </c>
      <c r="CV408" s="60" t="n">
        <f aca="false">$E$28*SUMPRODUCT($E$31:$P$31,BX408:CI408,$E$28:$P$28)</f>
        <v>0.184416866619846</v>
      </c>
      <c r="CW408" s="60" t="n">
        <f aca="false">$F$28*SUMPRODUCT($E$32:$P$32,BX408:CI408,$E$28:$P$28)</f>
        <v>0</v>
      </c>
      <c r="CX408" s="60" t="n">
        <f aca="false">$G$28*SUMPRODUCT($E$33:$P$33,BX408:CI408,$E$28:$P$28)</f>
        <v>0</v>
      </c>
      <c r="CY408" s="60" t="n">
        <f aca="false">$H$28*SUMPRODUCT($E$34:$P$34,BX408:CI408,$E$28:$P$28)</f>
        <v>0</v>
      </c>
      <c r="CZ408" s="60" t="n">
        <f aca="false">$I$28*SUMPRODUCT($E$35:$P$35,BX408:CI408,$E$28:$P$28)</f>
        <v>0</v>
      </c>
      <c r="DA408" s="60" t="n">
        <f aca="false">$J$28*SUMPRODUCT($E$36:$P$36,BX408:CI408,$E$28:$P$28)</f>
        <v>0</v>
      </c>
      <c r="DB408" s="60" t="n">
        <f aca="false">$K$28*SUMPRODUCT($E$37:$P$37,BX408:CI408,$E$28:$P$28)</f>
        <v>0</v>
      </c>
      <c r="DC408" s="60" t="n">
        <f aca="false">$L$28*SUMPRODUCT($E$38:$P$38,BX408:CI408,$E$28:$P$28)</f>
        <v>0</v>
      </c>
      <c r="DD408" s="60" t="n">
        <f aca="false">$M$28*SUMPRODUCT($E$39:$P$39,BX408:CI408,$E$28:$P$28)</f>
        <v>0</v>
      </c>
      <c r="DE408" s="60" t="n">
        <f aca="false">$N$28*SUMPRODUCT($E$40:$P$40,BX408:CI408,$E$28:$P$28)</f>
        <v>0</v>
      </c>
      <c r="DF408" s="60" t="n">
        <f aca="false">$O$28*SUMPRODUCT($E$41:$P$41,BX408:CI408,$E$28:$P$28)</f>
        <v>0</v>
      </c>
      <c r="DG408" s="60" t="n">
        <f aca="false">$P$28*SUMPRODUCT($E$42:$P$42,BX408:CI408,$E$28:$P$28)</f>
        <v>0</v>
      </c>
      <c r="DH408" s="60" t="n">
        <f aca="false">SUMPRODUCT(BX408:CI408,CV408:DG408)</f>
        <v>0.184416866619846</v>
      </c>
      <c r="DI408" s="60" t="n">
        <f aca="false">SUMPRODUCT(BX408:CI408,$E$27:$P$27)</f>
        <v>2.67389635063809E-005</v>
      </c>
      <c r="DJ408" s="60" t="n">
        <f aca="false">DH408*$C$9/($C$10*$C$8)^2</f>
        <v>0.21776909410545</v>
      </c>
      <c r="DK408" s="60" t="n">
        <f aca="false">DI408*$C$9/($C$10*$C$8)</f>
        <v>0.0918845243259994</v>
      </c>
      <c r="DL408" s="60" t="n">
        <f aca="false">CHOOSE($C$7,-(1+DK408),-1,-(1-DK408))</f>
        <v>-0.908115475674001</v>
      </c>
      <c r="DM408" s="60" t="n">
        <f aca="false">CHOOSE($C$7,DJ408,DJ408-DK408-DK408^2,DJ408-3*DK408^2-2*DK408)</f>
        <v>0.00867174802160559</v>
      </c>
      <c r="DN408" s="60" t="n">
        <f aca="false">CHOOSE($C$7,-DJ408*DK408,-DJ408*DK408,-(DJ408*DK408-DK408^2-DK408^3))</f>
        <v>-0.0107910842936637</v>
      </c>
      <c r="DO408" s="60" t="n">
        <f aca="false">DM408-DL408^2/3</f>
        <v>-0.266219491031267</v>
      </c>
      <c r="DP408" s="60" t="n">
        <f aca="false">2*DL408^3/27-DL408*DM408/3+DN408</f>
        <v>-0.0636400988362784</v>
      </c>
      <c r="DQ408" s="60" t="n">
        <f aca="false">DP408^2/4+DO408^3/27</f>
        <v>0.000313710901361829</v>
      </c>
      <c r="DR408" s="60" t="n">
        <f aca="false">-DP408/2-IF(DP408&gt;=0,1,-1)*SQRT(MAX(DQ408,0))</f>
        <v>0.0495319352963236</v>
      </c>
      <c r="DS408" s="60" t="n">
        <f aca="false">SIGN(DR408)*ABS(DR408)^(1/3)</f>
        <v>0.367249967174439</v>
      </c>
      <c r="DT408" s="60" t="n">
        <f aca="false">IF(DS408=0,0,DS408-DO408/(3*DS408))</f>
        <v>0.60888329127384</v>
      </c>
      <c r="DU408" s="60" t="n">
        <f aca="false">2*SQRT(MAX(-DO408,0)/3)</f>
        <v>0.595784626668918</v>
      </c>
      <c r="DV408" s="60" t="n">
        <f aca="false">ACOS(IF(DU408=0,0,MAX(-1,MIN(1,3*DP408/(DO408*DU408)))))</f>
        <v>0</v>
      </c>
      <c r="DW408" s="60" t="n">
        <f aca="false">DU408*COS(DV408/3)</f>
        <v>0.595784626668918</v>
      </c>
      <c r="DX408" s="60" t="n">
        <f aca="false">IF(DQ408&lt;0,DW408,DT408)-DL408/3</f>
        <v>0.91158844983184</v>
      </c>
      <c r="DY408" s="60" t="n">
        <f aca="false">IFERROR((((DX408+DL408)*DX408+DM408)*DX408+DN408)/((3*DX408+2*DL408)*DX408+DM408),0)</f>
        <v>0</v>
      </c>
      <c r="DZ408" s="60" t="n">
        <f aca="false">IF(ABS(DY408)&lt;0.1*ABS(DX408),DX408-DY408,DX408)</f>
        <v>0.91158844983184</v>
      </c>
      <c r="EA408" s="60" t="n">
        <f aca="false">IFERROR((((DZ408+DL408)*DZ408+DM408)*DZ408+DN408)/((3*DZ408+2*DL408)*DZ408+DM408),0)</f>
        <v>0</v>
      </c>
      <c r="EB408" s="60" t="n">
        <f aca="false">IF(ABS(EA408)&lt;0.1*ABS(DZ408),DZ408-EA408,DZ408)</f>
        <v>0.91158844983184</v>
      </c>
      <c r="EC408" s="60" t="n">
        <f aca="false">-DN408/EB408</f>
        <v>0.0118376711504565</v>
      </c>
      <c r="ED408" s="60" t="n">
        <f aca="false">(DM408-EC408)/EB408</f>
        <v>-0.00347297415783941</v>
      </c>
      <c r="EE408" s="60" t="n">
        <f aca="false">ED408^2-4*EC408</f>
        <v>-0.0473386230523248</v>
      </c>
      <c r="EF408" s="60" t="n">
        <f aca="false">IF(EE408&gt;=0,(ED408+IF(ED408&gt;=0,1,-1)*SQRT(EE408))/2,0)</f>
        <v>0</v>
      </c>
      <c r="EG408" s="60" t="n">
        <f aca="false">IF(AND(EE408&gt;=0,EF408&lt;&gt;0),MIN(EF408,EC408/EF408),-1)</f>
        <v>-1</v>
      </c>
      <c r="EH408" s="60" t="n">
        <f aca="false">AND(EE408&gt;=0,EG408&gt;DK408,ABS(EB408-EG408)&gt;=0.00005*MAX(EB408,EG408))</f>
        <v>0</v>
      </c>
      <c r="EI408" s="60" t="n">
        <f aca="false">IF(EH408,IFERROR((((EG408+DL408)*EG408+DM408)*EG408+DN408)/((3*EG408+2*DL408)*EG408+DM408),0),0)</f>
        <v>0</v>
      </c>
      <c r="EJ408" s="60" t="n">
        <f aca="false">IF(ABS(EI408)&lt;0.1*ABS(EG408),EG408-EI408,EG408)</f>
        <v>-1</v>
      </c>
      <c r="EK408" s="60" t="n">
        <f aca="false">IF(EH408,IFERROR((((EJ408+DL408)*EJ408+DM408)*EJ408+DN408)/((3*EJ408+2*DL408)*EJ408+DM408),0),0)</f>
        <v>0</v>
      </c>
      <c r="EL408" s="60" t="n">
        <f aca="false">IF(ABS(EK408)&lt;0.1*ABS(EJ408),EJ408-EK408,EJ408)</f>
        <v>-1</v>
      </c>
      <c r="EM408" s="60" t="n">
        <f aca="false">IF(EH408,MAX(EB408,EL408),EB408)</f>
        <v>0.91158844983184</v>
      </c>
      <c r="EN408" s="60" t="n">
        <f aca="false">IF(EH408,MIN(EB408,EL408),-1)</f>
        <v>-1</v>
      </c>
      <c r="EO408" s="60" t="n">
        <f aca="false">CHOOSE($C$7,DJ408/EM408,DJ408/DK408*LN(1+DK408/EM408),DJ408/(2*SQRT(2)*DK408)*LN((EM408+(1+SQRT(2))*DK408)/(EM408+(1-SQRT(2))*DK408)))</f>
        <v>0.218240791233887</v>
      </c>
      <c r="EP408" s="60" t="n">
        <f aca="false">EM408-1-LN(EM408-DK408)-EO408</f>
        <v>-0.107840271021729</v>
      </c>
      <c r="EQ408" s="60" t="n">
        <f aca="false">IF(EH408,CHOOSE($C$7,DJ408/EN408,DJ408/DK408*LN(1+DK408/EN408),DJ408/(2*SQRT(2)*DK408)*LN((EN408+(1+SQRT(2))*DK408)/(EN408+(1-SQRT(2))*DK408))),0)</f>
        <v>0</v>
      </c>
      <c r="ER408" s="60" t="n">
        <f aca="false">IF(EH408,EN408-1-LN(EN408-DK408)-EQ408,0)</f>
        <v>0</v>
      </c>
      <c r="ES408" s="60" t="n">
        <f aca="false">AND(EH408,ER408&lt;EP408)</f>
        <v>0</v>
      </c>
      <c r="ET408" s="60" t="n">
        <f aca="false">IF(ES408,EN408,EM408)</f>
        <v>0.91158844983184</v>
      </c>
      <c r="EU408" s="60" t="n">
        <f aca="false">IF(ES408,EQ408,EO408)</f>
        <v>0.218240791233887</v>
      </c>
      <c r="EV408" s="60" t="n">
        <f aca="false">LN(ET408-DK408)</f>
        <v>-0.198812070380318</v>
      </c>
      <c r="EW408" s="60" t="n">
        <f aca="false">$E$27/DI408*(ET408-1)-EV408-EU408*(2*CV408/DH408-$E$27/DI408)</f>
        <v>-0.107840271021729</v>
      </c>
      <c r="EX408" s="60" t="n">
        <f aca="false">$F$27/DI408*(ET408-1)-EV408-EU408*(2*CW408/DH408-$F$27/DI408)</f>
        <v>0.198812070380318</v>
      </c>
      <c r="EY408" s="60" t="n">
        <f aca="false">$G$27/DI408*(ET408-1)-EV408-EU408*(2*CX408/DH408-$G$27/DI408)</f>
        <v>0.198812070380318</v>
      </c>
      <c r="EZ408" s="60" t="n">
        <f aca="false">$H$27/DI408*(ET408-1)-EV408-EU408*(2*CY408/DH408-$H$27/DI408)</f>
        <v>0.198812070380318</v>
      </c>
      <c r="FA408" s="60" t="n">
        <f aca="false">$I$27/DI408*(ET408-1)-EV408-EU408*(2*CZ408/DH408-$I$27/DI408)</f>
        <v>0.198812070380318</v>
      </c>
      <c r="FB408" s="60" t="n">
        <f aca="false">$J$27/DI408*(ET408-1)-EV408-EU408*(2*DA408/DH408-$J$27/DI408)</f>
        <v>0.198812070380318</v>
      </c>
      <c r="FC408" s="60" t="n">
        <f aca="false">$K$27/DI408*(ET408-1)-EV408-EU408*(2*DB408/DH408-$K$27/DI408)</f>
        <v>0.198812070380318</v>
      </c>
      <c r="FD408" s="60" t="n">
        <f aca="false">$L$27/DI408*(ET408-1)-EV408-EU408*(2*DC408/DH408-$L$27/DI408)</f>
        <v>0.198812070380318</v>
      </c>
      <c r="FE408" s="60" t="n">
        <f aca="false">$M$27/DI408*(ET408-1)-EV408-EU408*(2*DD408/DH408-$M$27/DI408)</f>
        <v>0.198812070380318</v>
      </c>
      <c r="FF408" s="60" t="n">
        <f aca="false">$N$27/DI408*(ET408-1)-EV408-EU408*(2*DE408/DH408-$N$27/DI408)</f>
        <v>0.198812070380318</v>
      </c>
      <c r="FG408" s="60" t="n">
        <f aca="false">$O$27/DI408*(ET408-1)-EV408-EU408*(2*DF408/DH408-$O$27/DI408)</f>
        <v>0.198812070380318</v>
      </c>
      <c r="FH408" s="60" t="n">
        <f aca="false">$P$27/DI408*(ET408-1)-EV408-EU408*(2*DG408/DH408-$P$27/DI408)</f>
        <v>0.198812070380318</v>
      </c>
      <c r="FI408" s="60" t="n">
        <f aca="false">DK408/ET408&gt;$C$22</f>
        <v>0</v>
      </c>
      <c r="FJ408" s="60" t="n">
        <f aca="false">$E$28*SUMPRODUCT($E$31:$P$31,CJ408:CU408,$E$28:$P$28)</f>
        <v>0.184416866619846</v>
      </c>
      <c r="FK408" s="60" t="n">
        <f aca="false">$F$28*SUMPRODUCT($E$32:$P$32,CJ408:CU408,$E$28:$P$28)</f>
        <v>0</v>
      </c>
      <c r="FL408" s="60" t="n">
        <f aca="false">$G$28*SUMPRODUCT($E$33:$P$33,CJ408:CU408,$E$28:$P$28)</f>
        <v>0</v>
      </c>
      <c r="FM408" s="60" t="n">
        <f aca="false">$H$28*SUMPRODUCT($E$34:$P$34,CJ408:CU408,$E$28:$P$28)</f>
        <v>0</v>
      </c>
      <c r="FN408" s="60" t="n">
        <f aca="false">$I$28*SUMPRODUCT($E$35:$P$35,CJ408:CU408,$E$28:$P$28)</f>
        <v>0</v>
      </c>
      <c r="FO408" s="60" t="n">
        <f aca="false">$J$28*SUMPRODUCT($E$36:$P$36,CJ408:CU408,$E$28:$P$28)</f>
        <v>0</v>
      </c>
      <c r="FP408" s="60" t="n">
        <f aca="false">$K$28*SUMPRODUCT($E$37:$P$37,CJ408:CU408,$E$28:$P$28)</f>
        <v>0</v>
      </c>
      <c r="FQ408" s="60" t="n">
        <f aca="false">$L$28*SUMPRODUCT($E$38:$P$38,CJ408:CU408,$E$28:$P$28)</f>
        <v>0</v>
      </c>
      <c r="FR408" s="60" t="n">
        <f aca="false">$M$28*SUMPRODUCT($E$39:$P$39,CJ408:CU408,$E$28:$P$28)</f>
        <v>0</v>
      </c>
      <c r="FS408" s="60" t="n">
        <f aca="false">$N$28*SUMPRODUCT($E$40:$P$40,CJ408:CU408,$E$28:$P$28)</f>
        <v>0</v>
      </c>
      <c r="FT408" s="60" t="n">
        <f aca="false">$O$28*SUMPRODUCT($E$41:$P$41,CJ408:CU408,$E$28:$P$28)</f>
        <v>0</v>
      </c>
      <c r="FU408" s="60" t="n">
        <f aca="false">$P$28*SUMPRODUCT($E$42:$P$42,CJ408:CU408,$E$28:$P$28)</f>
        <v>0</v>
      </c>
      <c r="FV408" s="60" t="n">
        <f aca="false">SUMPRODUCT(CJ408:CU408,FJ408:FU408)</f>
        <v>0.184416866619846</v>
      </c>
      <c r="FW408" s="60" t="n">
        <f aca="false">SUMPRODUCT(CJ408:CU408,$E$27:$P$27)</f>
        <v>2.67389635063809E-005</v>
      </c>
      <c r="FX408" s="60" t="n">
        <f aca="false">FV408*$C$9/($C$10*$C$8)^2</f>
        <v>0.21776909410545</v>
      </c>
      <c r="FY408" s="60" t="n">
        <f aca="false">FW408*$C$9/($C$10*$C$8)</f>
        <v>0.0918845243259994</v>
      </c>
      <c r="FZ408" s="60" t="n">
        <f aca="false">CHOOSE($C$7,-(1+FY408),-1,-(1-FY408))</f>
        <v>-0.908115475674001</v>
      </c>
      <c r="GA408" s="60" t="n">
        <f aca="false">CHOOSE($C$7,FX408,FX408-FY408-FY408^2,FX408-3*FY408^2-2*FY408)</f>
        <v>0.00867174802160559</v>
      </c>
      <c r="GB408" s="60" t="n">
        <f aca="false">CHOOSE($C$7,-FX408*FY408,-FX408*FY408,-(FX408*FY408-FY408^2-FY408^3))</f>
        <v>-0.0107910842936637</v>
      </c>
      <c r="GC408" s="60" t="n">
        <f aca="false">GA408-FZ408^2/3</f>
        <v>-0.266219491031267</v>
      </c>
      <c r="GD408" s="60" t="n">
        <f aca="false">2*FZ408^3/27-FZ408*GA408/3+GB408</f>
        <v>-0.0636400988362784</v>
      </c>
      <c r="GE408" s="60" t="n">
        <f aca="false">GD408^2/4+GC408^3/27</f>
        <v>0.000313710901361829</v>
      </c>
      <c r="GF408" s="60" t="n">
        <f aca="false">-GD408/2-IF(GD408&gt;=0,1,-1)*SQRT(MAX(GE408,0))</f>
        <v>0.0495319352963236</v>
      </c>
      <c r="GG408" s="60" t="n">
        <f aca="false">SIGN(GF408)*ABS(GF408)^(1/3)</f>
        <v>0.367249967174439</v>
      </c>
      <c r="GH408" s="60" t="n">
        <f aca="false">IF(GG408=0,0,GG408-GC408/(3*GG408))</f>
        <v>0.60888329127384</v>
      </c>
      <c r="GI408" s="60" t="n">
        <f aca="false">2*SQRT(MAX(-GC408,0)/3)</f>
        <v>0.595784626668918</v>
      </c>
      <c r="GJ408" s="60" t="n">
        <f aca="false">ACOS(IF(GI408=0,0,MAX(-1,MIN(1,3*GD408/(GC408*GI408)))))</f>
        <v>0</v>
      </c>
      <c r="GK408" s="60" t="n">
        <f aca="false">GI408*COS(GJ408/3)</f>
        <v>0.595784626668918</v>
      </c>
      <c r="GL408" s="60" t="n">
        <f aca="false">IF(GE408&lt;0,GK408,GH408)-FZ408/3</f>
        <v>0.91158844983184</v>
      </c>
      <c r="GM408" s="60" t="n">
        <f aca="false">IFERROR((((GL408+FZ408)*GL408+GA408)*GL408+GB408)/((3*GL408+2*FZ408)*GL408+GA408),0)</f>
        <v>0</v>
      </c>
      <c r="GN408" s="60" t="n">
        <f aca="false">IF(ABS(GM408)&lt;0.1*ABS(GL408),GL408-GM408,GL408)</f>
        <v>0.91158844983184</v>
      </c>
      <c r="GO408" s="60" t="n">
        <f aca="false">IFERROR((((GN408+FZ408)*GN408+GA408)*GN408+GB408)/((3*GN408+2*FZ408)*GN408+GA408),0)</f>
        <v>0</v>
      </c>
      <c r="GP408" s="60" t="n">
        <f aca="false">IF(ABS(GO408)&lt;0.1*ABS(GN408),GN408-GO408,GN408)</f>
        <v>0.91158844983184</v>
      </c>
      <c r="GQ408" s="60" t="n">
        <f aca="false">-GB408/GP408</f>
        <v>0.0118376711504565</v>
      </c>
      <c r="GR408" s="60" t="n">
        <f aca="false">(GA408-GQ408)/GP408</f>
        <v>-0.00347297415783941</v>
      </c>
      <c r="GS408" s="60" t="n">
        <f aca="false">GR408^2-4*GQ408</f>
        <v>-0.0473386230523248</v>
      </c>
      <c r="GT408" s="60" t="n">
        <f aca="false">IF(GS408&gt;=0,(GR408+IF(GR408&gt;=0,1,-1)*SQRT(GS408))/2,0)</f>
        <v>0</v>
      </c>
      <c r="GU408" s="60" t="n">
        <f aca="false">IF(AND(GS408&gt;=0,GT408&lt;&gt;0),MIN(GT408,GQ408/GT408),-1)</f>
        <v>-1</v>
      </c>
      <c r="GV408" s="60" t="n">
        <f aca="false">AND(GS408&gt;=0,GU408&gt;FY408,ABS(GP408-GU408)&gt;=0.00005*MAX(GP408,GU408))</f>
        <v>0</v>
      </c>
      <c r="GW408" s="60" t="n">
        <f aca="false">IF(GV408,IFERROR((((GU408+FZ408)*GU408+GA408)*GU408+GB408)/((3*GU408+2*FZ408)*GU408+GA408),0),0)</f>
        <v>0</v>
      </c>
      <c r="GX408" s="60" t="n">
        <f aca="false">IF(ABS(GW408)&lt;0.1*ABS(GU408),GU408-GW408,GU408)</f>
        <v>-1</v>
      </c>
      <c r="GY408" s="60" t="n">
        <f aca="false">IF(GV408,IFERROR((((GX408+FZ408)*GX408+GA408)*GX408+GB408)/((3*GX408+2*FZ408)*GX408+GA408),0),0)</f>
        <v>0</v>
      </c>
      <c r="GZ408" s="60" t="n">
        <f aca="false">IF(ABS(GY408)&lt;0.1*ABS(GX408),GX408-GY408,GX408)</f>
        <v>-1</v>
      </c>
      <c r="HA408" s="60" t="n">
        <f aca="false">IF(GV408,MAX(GP408,GZ408),GP408)</f>
        <v>0.91158844983184</v>
      </c>
      <c r="HB408" s="60" t="n">
        <f aca="false">IF(GV408,MIN(GP408,GZ408),-1)</f>
        <v>-1</v>
      </c>
      <c r="HC408" s="60" t="n">
        <f aca="false">CHOOSE($C$7,FX408/HA408,FX408/FY408*LN(1+FY408/HA408),FX408/(2*SQRT(2)*FY408)*LN((HA408+(1+SQRT(2))*FY408)/(HA408+(1-SQRT(2))*FY408)))</f>
        <v>0.218240791233887</v>
      </c>
      <c r="HD408" s="60" t="n">
        <f aca="false">HA408-1-LN(HA408-FY408)-HC408</f>
        <v>-0.107840271021729</v>
      </c>
      <c r="HE408" s="60" t="n">
        <f aca="false">IF(GV408,CHOOSE($C$7,FX408/HB408,FX408/FY408*LN(1+FY408/HB408),FX408/(2*SQRT(2)*FY408)*LN((HB408+(1+SQRT(2))*FY408)/(HB408+(1-SQRT(2))*FY408))),0)</f>
        <v>0</v>
      </c>
      <c r="HF408" s="60" t="n">
        <f aca="false">IF(GV408,HB408-1-LN(HB408-FY408)-HE408,0)</f>
        <v>0</v>
      </c>
      <c r="HG408" s="60" t="n">
        <f aca="false">AND(GV408,HF408&lt;HD408)</f>
        <v>0</v>
      </c>
      <c r="HH408" s="60" t="n">
        <f aca="false">IF(HG408,HB408,HA408)</f>
        <v>0.91158844983184</v>
      </c>
      <c r="HI408" s="60" t="n">
        <f aca="false">IF(HG408,HE408,HC408)</f>
        <v>0.218240791233887</v>
      </c>
      <c r="HJ408" s="60" t="n">
        <f aca="false">LN(HH408-FY408)</f>
        <v>-0.198812070380318</v>
      </c>
      <c r="HK408" s="60" t="n">
        <f aca="false">$E$27/FW408*(HH408-1)-HJ408-HI408*(2*FJ408/FV408-$E$27/FW408)</f>
        <v>-0.107840271021729</v>
      </c>
      <c r="HL408" s="60" t="n">
        <f aca="false">$F$27/FW408*(HH408-1)-HJ408-HI408*(2*FK408/FV408-$F$27/FW408)</f>
        <v>0.198812070380318</v>
      </c>
      <c r="HM408" s="60" t="n">
        <f aca="false">$G$27/FW408*(HH408-1)-HJ408-HI408*(2*FL408/FV408-$G$27/FW408)</f>
        <v>0.198812070380318</v>
      </c>
      <c r="HN408" s="60" t="n">
        <f aca="false">$H$27/FW408*(HH408-1)-HJ408-HI408*(2*FM408/FV408-$H$27/FW408)</f>
        <v>0.198812070380318</v>
      </c>
      <c r="HO408" s="60" t="n">
        <f aca="false">$I$27/FW408*(HH408-1)-HJ408-HI408*(2*FN408/FV408-$I$27/FW408)</f>
        <v>0.198812070380318</v>
      </c>
      <c r="HP408" s="60" t="n">
        <f aca="false">$J$27/FW408*(HH408-1)-HJ408-HI408*(2*FO408/FV408-$J$27/FW408)</f>
        <v>0.198812070380318</v>
      </c>
      <c r="HQ408" s="60" t="n">
        <f aca="false">$K$27/FW408*(HH408-1)-HJ408-HI408*(2*FP408/FV408-$K$27/FW408)</f>
        <v>0.198812070380318</v>
      </c>
      <c r="HR408" s="60" t="n">
        <f aca="false">$L$27/FW408*(HH408-1)-HJ408-HI408*(2*FQ408/FV408-$L$27/FW408)</f>
        <v>0.198812070380318</v>
      </c>
      <c r="HS408" s="60" t="n">
        <f aca="false">$M$27/FW408*(HH408-1)-HJ408-HI408*(2*FR408/FV408-$M$27/FW408)</f>
        <v>0.198812070380318</v>
      </c>
      <c r="HT408" s="60" t="n">
        <f aca="false">$N$27/FW408*(HH408-1)-HJ408-HI408*(2*FS408/FV408-$N$27/FW408)</f>
        <v>0.198812070380318</v>
      </c>
      <c r="HU408" s="60" t="n">
        <f aca="false">$O$27/FW408*(HH408-1)-HJ408-HI408*(2*FT408/FV408-$O$27/FW408)</f>
        <v>0.198812070380318</v>
      </c>
      <c r="HV408" s="60" t="n">
        <f aca="false">$P$27/FW408*(HH408-1)-HJ408-HI408*(2*FU408/FV408-$P$27/FW408)</f>
        <v>0.198812070380318</v>
      </c>
      <c r="HW408" s="60" t="n">
        <f aca="false">FY408/HH408&gt;$C$22</f>
        <v>0</v>
      </c>
      <c r="HX408" s="60" t="n">
        <f aca="false">IF($E$13&gt;0,MAX(-300,MIN(300,EW408-HK408)),0)</f>
        <v>0</v>
      </c>
      <c r="HY408" s="60" t="n">
        <f aca="false">IF($F$13&gt;0,MAX(-300,MIN(300,EX408-HL408)),0)</f>
        <v>0</v>
      </c>
      <c r="HZ408" s="60" t="n">
        <f aca="false">IF($G$13&gt;0,MAX(-300,MIN(300,EY408-HM408)),0)</f>
        <v>0</v>
      </c>
      <c r="IA408" s="60" t="n">
        <f aca="false">IF($H$13&gt;0,MAX(-300,MIN(300,EZ408-HN408)),0)</f>
        <v>0</v>
      </c>
      <c r="IB408" s="60" t="n">
        <f aca="false">IF($I$13&gt;0,MAX(-300,MIN(300,FA408-HO408)),0)</f>
        <v>0</v>
      </c>
      <c r="IC408" s="60" t="n">
        <f aca="false">IF($J$13&gt;0,MAX(-300,MIN(300,FB408-HP408)),0)</f>
        <v>0</v>
      </c>
      <c r="ID408" s="60" t="n">
        <f aca="false">IF($K$13&gt;0,MAX(-300,MIN(300,FC408-HQ408)),0)</f>
        <v>0</v>
      </c>
      <c r="IE408" s="60" t="n">
        <f aca="false">IF($L$13&gt;0,MAX(-300,MIN(300,FD408-HR408)),0)</f>
        <v>0</v>
      </c>
      <c r="IF408" s="60" t="n">
        <f aca="false">IF($M$13&gt;0,MAX(-300,MIN(300,FE408-HS408)),0)</f>
        <v>0</v>
      </c>
      <c r="IG408" s="60" t="n">
        <f aca="false">IF($N$13&gt;0,MAX(-300,MIN(300,FF408-HT408)),0)</f>
        <v>0</v>
      </c>
      <c r="IH408" s="60" t="n">
        <f aca="false">IF($O$13&gt;0,MAX(-300,MIN(300,FG408-HU408)),0)</f>
        <v>0</v>
      </c>
      <c r="II408" s="60" t="n">
        <f aca="false">IF($P$13&gt;0,MAX(-300,MIN(300,FH408-HV408)),0)</f>
        <v>0</v>
      </c>
      <c r="IJ408" s="60" t="n">
        <f aca="false">SUMXMY2(HX408:II408,B408:M408)</f>
        <v>0</v>
      </c>
      <c r="IK408" s="60" t="n">
        <f aca="false">SUMSQ(B408:M408)</f>
        <v>0</v>
      </c>
    </row>
    <row r="409" customFormat="false" ht="15" hidden="false" customHeight="false" outlineLevel="0" collapsed="false">
      <c r="A409" s="59" t="n">
        <v>48</v>
      </c>
      <c r="B409" s="60" t="n">
        <f aca="false">HX408</f>
        <v>0</v>
      </c>
      <c r="C409" s="60" t="n">
        <f aca="false">HY408</f>
        <v>0</v>
      </c>
      <c r="D409" s="60" t="n">
        <f aca="false">HZ408</f>
        <v>0</v>
      </c>
      <c r="E409" s="60" t="n">
        <f aca="false">IA408</f>
        <v>0</v>
      </c>
      <c r="F409" s="60" t="n">
        <f aca="false">IB408</f>
        <v>0</v>
      </c>
      <c r="G409" s="60" t="n">
        <f aca="false">IC408</f>
        <v>0</v>
      </c>
      <c r="H409" s="60" t="n">
        <f aca="false">ID408</f>
        <v>0</v>
      </c>
      <c r="I409" s="60" t="n">
        <f aca="false">IE408</f>
        <v>0</v>
      </c>
      <c r="J409" s="60" t="n">
        <f aca="false">IF408</f>
        <v>0</v>
      </c>
      <c r="K409" s="60" t="n">
        <f aca="false">IG408</f>
        <v>0</v>
      </c>
      <c r="L409" s="60" t="n">
        <f aca="false">IH408</f>
        <v>0</v>
      </c>
      <c r="M409" s="60" t="n">
        <f aca="false">II408</f>
        <v>0</v>
      </c>
      <c r="N409" s="60" t="n">
        <f aca="false">EXP(B409)</f>
        <v>1</v>
      </c>
      <c r="O409" s="60" t="n">
        <f aca="false">EXP(C409)</f>
        <v>1</v>
      </c>
      <c r="P409" s="60" t="n">
        <f aca="false">EXP(D409)</f>
        <v>1</v>
      </c>
      <c r="Q409" s="60" t="n">
        <f aca="false">EXP(E409)</f>
        <v>1</v>
      </c>
      <c r="R409" s="60" t="n">
        <f aca="false">EXP(F409)</f>
        <v>1</v>
      </c>
      <c r="S409" s="60" t="n">
        <f aca="false">EXP(G409)</f>
        <v>1</v>
      </c>
      <c r="T409" s="60" t="n">
        <f aca="false">EXP(H409)</f>
        <v>1</v>
      </c>
      <c r="U409" s="60" t="n">
        <f aca="false">EXP(I409)</f>
        <v>1</v>
      </c>
      <c r="V409" s="60" t="n">
        <f aca="false">EXP(J409)</f>
        <v>1</v>
      </c>
      <c r="W409" s="60" t="n">
        <f aca="false">EXP(K409)</f>
        <v>1</v>
      </c>
      <c r="X409" s="60" t="n">
        <f aca="false">EXP(L409)</f>
        <v>1</v>
      </c>
      <c r="Y409" s="60" t="n">
        <f aca="false">EXP(M409)</f>
        <v>1</v>
      </c>
      <c r="Z409" s="60" t="n">
        <f aca="false">MAX(N409:Y409)</f>
        <v>1</v>
      </c>
      <c r="AA409" s="60" t="n">
        <f aca="false">MIN(N409:Y409)</f>
        <v>1</v>
      </c>
      <c r="AB409" s="60" t="n">
        <f aca="false">AND(Z409&gt;1,AA409&lt;1)</f>
        <v>0</v>
      </c>
      <c r="AC409" s="60" t="n">
        <f aca="false">IF(AB409,1/(1-Z409),0)</f>
        <v>0</v>
      </c>
      <c r="AD409" s="60" t="n">
        <f aca="false">IF(AB409,1/(1-AA409),1)</f>
        <v>1</v>
      </c>
      <c r="AE409" s="60" t="n">
        <f aca="false">IF(AB409,MIN(MAX(BI408,AC409+0.000000001*(AD409-AC409)),AD409-0.000000001*(AD409-AC409)),IF(AA409&gt;=1,1,0))</f>
        <v>1</v>
      </c>
      <c r="AF409" s="60" t="n">
        <f aca="false">SUMPRODUCT($E$13:$P$13*(N409:Y409-1)/(1+AE409*(N409:Y409-1)))</f>
        <v>0</v>
      </c>
      <c r="AG409" s="60" t="n">
        <f aca="false">-SUMPRODUCT($E$13:$P$13*(N409:Y409-1)^2/(1+AE409*(N409:Y409-1))^2)</f>
        <v>-0</v>
      </c>
      <c r="AH409" s="60" t="n">
        <f aca="false">IF(OR(NOT(AB409),AG409=0),AE409,IF(AE409-AF409/AG409&lt;=AC409,(AE409+AC409)/2,IF(AE409-AF409/AG409&gt;=AD409,(AE409+AD409)/2,AE409-AF409/AG409)))</f>
        <v>1</v>
      </c>
      <c r="AI409" s="60" t="n">
        <f aca="false">SUMPRODUCT($E$13:$P$13*(N409:Y409-1)/(1+AH409*(N409:Y409-1)))</f>
        <v>0</v>
      </c>
      <c r="AJ409" s="60" t="n">
        <f aca="false">-SUMPRODUCT($E$13:$P$13*(N409:Y409-1)^2/(1+AH409*(N409:Y409-1))^2)</f>
        <v>-0</v>
      </c>
      <c r="AK409" s="60" t="n">
        <f aca="false">IF(OR(NOT(AB409),AJ409=0),AH409,IF(AH409-AI409/AJ409&lt;=AC409,(AH409+AC409)/2,IF(AH409-AI409/AJ409&gt;=AD409,(AH409+AD409)/2,AH409-AI409/AJ409)))</f>
        <v>1</v>
      </c>
      <c r="AL409" s="60" t="n">
        <f aca="false">SUMPRODUCT($E$13:$P$13*(N409:Y409-1)/(1+AK409*(N409:Y409-1)))</f>
        <v>0</v>
      </c>
      <c r="AM409" s="60" t="n">
        <f aca="false">-SUMPRODUCT($E$13:$P$13*(N409:Y409-1)^2/(1+AK409*(N409:Y409-1))^2)</f>
        <v>-0</v>
      </c>
      <c r="AN409" s="60" t="n">
        <f aca="false">IF(OR(NOT(AB409),AM409=0),AK409,IF(AK409-AL409/AM409&lt;=AC409,(AK409+AC409)/2,IF(AK409-AL409/AM409&gt;=AD409,(AK409+AD409)/2,AK409-AL409/AM409)))</f>
        <v>1</v>
      </c>
      <c r="AO409" s="60" t="n">
        <f aca="false">SUMPRODUCT($E$13:$P$13*(N409:Y409-1)/(1+AN409*(N409:Y409-1)))</f>
        <v>0</v>
      </c>
      <c r="AP409" s="60" t="n">
        <f aca="false">-SUMPRODUCT($E$13:$P$13*(N409:Y409-1)^2/(1+AN409*(N409:Y409-1))^2)</f>
        <v>-0</v>
      </c>
      <c r="AQ409" s="60" t="n">
        <f aca="false">IF(OR(NOT(AB409),AP409=0),AN409,IF(AN409-AO409/AP409&lt;=AC409,(AN409+AC409)/2,IF(AN409-AO409/AP409&gt;=AD409,(AN409+AD409)/2,AN409-AO409/AP409)))</f>
        <v>1</v>
      </c>
      <c r="AR409" s="60" t="n">
        <f aca="false">SUMPRODUCT($E$13:$P$13*(N409:Y409-1)/(1+AQ409*(N409:Y409-1)))</f>
        <v>0</v>
      </c>
      <c r="AS409" s="60" t="n">
        <f aca="false">-SUMPRODUCT($E$13:$P$13*(N409:Y409-1)^2/(1+AQ409*(N409:Y409-1))^2)</f>
        <v>-0</v>
      </c>
      <c r="AT409" s="60" t="n">
        <f aca="false">IF(OR(NOT(AB409),AS409=0),AQ409,IF(AQ409-AR409/AS409&lt;=AC409,(AQ409+AC409)/2,IF(AQ409-AR409/AS409&gt;=AD409,(AQ409+AD409)/2,AQ409-AR409/AS409)))</f>
        <v>1</v>
      </c>
      <c r="AU409" s="60" t="n">
        <f aca="false">SUMPRODUCT($E$13:$P$13*(N409:Y409-1)/(1+AT409*(N409:Y409-1)))</f>
        <v>0</v>
      </c>
      <c r="AV409" s="60" t="n">
        <f aca="false">-SUMPRODUCT($E$13:$P$13*(N409:Y409-1)^2/(1+AT409*(N409:Y409-1))^2)</f>
        <v>-0</v>
      </c>
      <c r="AW409" s="60" t="n">
        <f aca="false">IF(OR(NOT(AB409),AV409=0),AT409,IF(AT409-AU409/AV409&lt;=AC409,(AT409+AC409)/2,IF(AT409-AU409/AV409&gt;=AD409,(AT409+AD409)/2,AT409-AU409/AV409)))</f>
        <v>1</v>
      </c>
      <c r="AX409" s="60" t="n">
        <f aca="false">SUMPRODUCT($E$13:$P$13*(N409:Y409-1)/(1+AW409*(N409:Y409-1)))</f>
        <v>0</v>
      </c>
      <c r="AY409" s="60" t="n">
        <f aca="false">-SUMPRODUCT($E$13:$P$13*(N409:Y409-1)^2/(1+AW409*(N409:Y409-1))^2)</f>
        <v>-0</v>
      </c>
      <c r="AZ409" s="60" t="n">
        <f aca="false">IF(OR(NOT(AB409),AY409=0),AW409,IF(AW409-AX409/AY409&lt;=AC409,(AW409+AC409)/2,IF(AW409-AX409/AY409&gt;=AD409,(AW409+AD409)/2,AW409-AX409/AY409)))</f>
        <v>1</v>
      </c>
      <c r="BA409" s="60" t="n">
        <f aca="false">SUMPRODUCT($E$13:$P$13*(N409:Y409-1)/(1+AZ409*(N409:Y409-1)))</f>
        <v>0</v>
      </c>
      <c r="BB409" s="60" t="n">
        <f aca="false">-SUMPRODUCT($E$13:$P$13*(N409:Y409-1)^2/(1+AZ409*(N409:Y409-1))^2)</f>
        <v>-0</v>
      </c>
      <c r="BC409" s="60" t="n">
        <f aca="false">IF(OR(NOT(AB409),BB409=0),AZ409,IF(AZ409-BA409/BB409&lt;=AC409,(AZ409+AC409)/2,IF(AZ409-BA409/BB409&gt;=AD409,(AZ409+AD409)/2,AZ409-BA409/BB409)))</f>
        <v>1</v>
      </c>
      <c r="BD409" s="60" t="n">
        <f aca="false">SUMPRODUCT($E$13:$P$13*(N409:Y409-1)/(1+BC409*(N409:Y409-1)))</f>
        <v>0</v>
      </c>
      <c r="BE409" s="60" t="n">
        <f aca="false">-SUMPRODUCT($E$13:$P$13*(N409:Y409-1)^2/(1+BC409*(N409:Y409-1))^2)</f>
        <v>-0</v>
      </c>
      <c r="BF409" s="60" t="n">
        <f aca="false">IF(OR(NOT(AB409),BE409=0),BC409,IF(BC409-BD409/BE409&lt;=AC409,(BC409+AC409)/2,IF(BC409-BD409/BE409&gt;=AD409,(BC409+AD409)/2,BC409-BD409/BE409)))</f>
        <v>1</v>
      </c>
      <c r="BG409" s="60" t="n">
        <f aca="false">SUMPRODUCT($E$13:$P$13*(N409:Y409-1)/(1+BF409*(N409:Y409-1)))</f>
        <v>0</v>
      </c>
      <c r="BH409" s="60" t="n">
        <f aca="false">-SUMPRODUCT($E$13:$P$13*(N409:Y409-1)^2/(1+BF409*(N409:Y409-1))^2)</f>
        <v>-0</v>
      </c>
      <c r="BI409" s="60" t="n">
        <f aca="false">IF(OR(NOT(AB409),BH409=0),BF409,IF(BF409-BG409/BH409&lt;=AC409,(BF409+AC409)/2,IF(BF409-BG409/BH409&gt;=AD409,(BF409+AD409)/2,BF409-BG409/BH409)))</f>
        <v>1</v>
      </c>
      <c r="BJ409" s="60" t="n">
        <f aca="false">$E$13/(1+BI409*(N409-1))</f>
        <v>1</v>
      </c>
      <c r="BK409" s="60" t="n">
        <f aca="false">$F$13/(1+BI409*(O409-1))</f>
        <v>0</v>
      </c>
      <c r="BL409" s="60" t="n">
        <f aca="false">$G$13/(1+BI409*(P409-1))</f>
        <v>0</v>
      </c>
      <c r="BM409" s="60" t="n">
        <f aca="false">$H$13/(1+BI409*(Q409-1))</f>
        <v>0</v>
      </c>
      <c r="BN409" s="60" t="n">
        <f aca="false">$I$13/(1+BI409*(R409-1))</f>
        <v>0</v>
      </c>
      <c r="BO409" s="60" t="n">
        <f aca="false">$J$13/(1+BI409*(S409-1))</f>
        <v>0</v>
      </c>
      <c r="BP409" s="60" t="n">
        <f aca="false">$K$13/(1+BI409*(T409-1))</f>
        <v>0</v>
      </c>
      <c r="BQ409" s="60" t="n">
        <f aca="false">$L$13/(1+BI409*(U409-1))</f>
        <v>0</v>
      </c>
      <c r="BR409" s="60" t="n">
        <f aca="false">$M$13/(1+BI409*(V409-1))</f>
        <v>0</v>
      </c>
      <c r="BS409" s="60" t="n">
        <f aca="false">$N$13/(1+BI409*(W409-1))</f>
        <v>0</v>
      </c>
      <c r="BT409" s="60" t="n">
        <f aca="false">$O$13/(1+BI409*(X409-1))</f>
        <v>0</v>
      </c>
      <c r="BU409" s="60" t="n">
        <f aca="false">$P$13/(1+BI409*(Y409-1))</f>
        <v>0</v>
      </c>
      <c r="BV409" s="60" t="n">
        <f aca="false">SUM(BJ409:BU409)</f>
        <v>1</v>
      </c>
      <c r="BW409" s="60" t="n">
        <f aca="false">SUMPRODUCT(N409:Y409,BJ409:BU409)</f>
        <v>1</v>
      </c>
      <c r="BX409" s="60" t="n">
        <f aca="false">BJ409/BV409</f>
        <v>1</v>
      </c>
      <c r="BY409" s="60" t="n">
        <f aca="false">BK409/BV409</f>
        <v>0</v>
      </c>
      <c r="BZ409" s="60" t="n">
        <f aca="false">BL409/BV409</f>
        <v>0</v>
      </c>
      <c r="CA409" s="60" t="n">
        <f aca="false">BM409/BV409</f>
        <v>0</v>
      </c>
      <c r="CB409" s="60" t="n">
        <f aca="false">BN409/BV409</f>
        <v>0</v>
      </c>
      <c r="CC409" s="60" t="n">
        <f aca="false">BO409/BV409</f>
        <v>0</v>
      </c>
      <c r="CD409" s="60" t="n">
        <f aca="false">BP409/BV409</f>
        <v>0</v>
      </c>
      <c r="CE409" s="60" t="n">
        <f aca="false">BQ409/BV409</f>
        <v>0</v>
      </c>
      <c r="CF409" s="60" t="n">
        <f aca="false">BR409/BV409</f>
        <v>0</v>
      </c>
      <c r="CG409" s="60" t="n">
        <f aca="false">BS409/BV409</f>
        <v>0</v>
      </c>
      <c r="CH409" s="60" t="n">
        <f aca="false">BT409/BV409</f>
        <v>0</v>
      </c>
      <c r="CI409" s="60" t="n">
        <f aca="false">BU409/BV409</f>
        <v>0</v>
      </c>
      <c r="CJ409" s="60" t="n">
        <f aca="false">N409*BJ409/BW409</f>
        <v>1</v>
      </c>
      <c r="CK409" s="60" t="n">
        <f aca="false">O409*BK409/BW409</f>
        <v>0</v>
      </c>
      <c r="CL409" s="60" t="n">
        <f aca="false">P409*BL409/BW409</f>
        <v>0</v>
      </c>
      <c r="CM409" s="60" t="n">
        <f aca="false">Q409*BM409/BW409</f>
        <v>0</v>
      </c>
      <c r="CN409" s="60" t="n">
        <f aca="false">R409*BN409/BW409</f>
        <v>0</v>
      </c>
      <c r="CO409" s="60" t="n">
        <f aca="false">S409*BO409/BW409</f>
        <v>0</v>
      </c>
      <c r="CP409" s="60" t="n">
        <f aca="false">T409*BP409/BW409</f>
        <v>0</v>
      </c>
      <c r="CQ409" s="60" t="n">
        <f aca="false">U409*BQ409/BW409</f>
        <v>0</v>
      </c>
      <c r="CR409" s="60" t="n">
        <f aca="false">V409*BR409/BW409</f>
        <v>0</v>
      </c>
      <c r="CS409" s="60" t="n">
        <f aca="false">W409*BS409/BW409</f>
        <v>0</v>
      </c>
      <c r="CT409" s="60" t="n">
        <f aca="false">X409*BT409/BW409</f>
        <v>0</v>
      </c>
      <c r="CU409" s="60" t="n">
        <f aca="false">Y409*BU409/BW409</f>
        <v>0</v>
      </c>
      <c r="CV409" s="60" t="n">
        <f aca="false">$E$28*SUMPRODUCT($E$31:$P$31,BX409:CI409,$E$28:$P$28)</f>
        <v>0.184416866619846</v>
      </c>
      <c r="CW409" s="60" t="n">
        <f aca="false">$F$28*SUMPRODUCT($E$32:$P$32,BX409:CI409,$E$28:$P$28)</f>
        <v>0</v>
      </c>
      <c r="CX409" s="60" t="n">
        <f aca="false">$G$28*SUMPRODUCT($E$33:$P$33,BX409:CI409,$E$28:$P$28)</f>
        <v>0</v>
      </c>
      <c r="CY409" s="60" t="n">
        <f aca="false">$H$28*SUMPRODUCT($E$34:$P$34,BX409:CI409,$E$28:$P$28)</f>
        <v>0</v>
      </c>
      <c r="CZ409" s="60" t="n">
        <f aca="false">$I$28*SUMPRODUCT($E$35:$P$35,BX409:CI409,$E$28:$P$28)</f>
        <v>0</v>
      </c>
      <c r="DA409" s="60" t="n">
        <f aca="false">$J$28*SUMPRODUCT($E$36:$P$36,BX409:CI409,$E$28:$P$28)</f>
        <v>0</v>
      </c>
      <c r="DB409" s="60" t="n">
        <f aca="false">$K$28*SUMPRODUCT($E$37:$P$37,BX409:CI409,$E$28:$P$28)</f>
        <v>0</v>
      </c>
      <c r="DC409" s="60" t="n">
        <f aca="false">$L$28*SUMPRODUCT($E$38:$P$38,BX409:CI409,$E$28:$P$28)</f>
        <v>0</v>
      </c>
      <c r="DD409" s="60" t="n">
        <f aca="false">$M$28*SUMPRODUCT($E$39:$P$39,BX409:CI409,$E$28:$P$28)</f>
        <v>0</v>
      </c>
      <c r="DE409" s="60" t="n">
        <f aca="false">$N$28*SUMPRODUCT($E$40:$P$40,BX409:CI409,$E$28:$P$28)</f>
        <v>0</v>
      </c>
      <c r="DF409" s="60" t="n">
        <f aca="false">$O$28*SUMPRODUCT($E$41:$P$41,BX409:CI409,$E$28:$P$28)</f>
        <v>0</v>
      </c>
      <c r="DG409" s="60" t="n">
        <f aca="false">$P$28*SUMPRODUCT($E$42:$P$42,BX409:CI409,$E$28:$P$28)</f>
        <v>0</v>
      </c>
      <c r="DH409" s="60" t="n">
        <f aca="false">SUMPRODUCT(BX409:CI409,CV409:DG409)</f>
        <v>0.184416866619846</v>
      </c>
      <c r="DI409" s="60" t="n">
        <f aca="false">SUMPRODUCT(BX409:CI409,$E$27:$P$27)</f>
        <v>2.67389635063809E-005</v>
      </c>
      <c r="DJ409" s="60" t="n">
        <f aca="false">DH409*$C$9/($C$10*$C$8)^2</f>
        <v>0.21776909410545</v>
      </c>
      <c r="DK409" s="60" t="n">
        <f aca="false">DI409*$C$9/($C$10*$C$8)</f>
        <v>0.0918845243259994</v>
      </c>
      <c r="DL409" s="60" t="n">
        <f aca="false">CHOOSE($C$7,-(1+DK409),-1,-(1-DK409))</f>
        <v>-0.908115475674001</v>
      </c>
      <c r="DM409" s="60" t="n">
        <f aca="false">CHOOSE($C$7,DJ409,DJ409-DK409-DK409^2,DJ409-3*DK409^2-2*DK409)</f>
        <v>0.00867174802160559</v>
      </c>
      <c r="DN409" s="60" t="n">
        <f aca="false">CHOOSE($C$7,-DJ409*DK409,-DJ409*DK409,-(DJ409*DK409-DK409^2-DK409^3))</f>
        <v>-0.0107910842936637</v>
      </c>
      <c r="DO409" s="60" t="n">
        <f aca="false">DM409-DL409^2/3</f>
        <v>-0.266219491031267</v>
      </c>
      <c r="DP409" s="60" t="n">
        <f aca="false">2*DL409^3/27-DL409*DM409/3+DN409</f>
        <v>-0.0636400988362784</v>
      </c>
      <c r="DQ409" s="60" t="n">
        <f aca="false">DP409^2/4+DO409^3/27</f>
        <v>0.000313710901361829</v>
      </c>
      <c r="DR409" s="60" t="n">
        <f aca="false">-DP409/2-IF(DP409&gt;=0,1,-1)*SQRT(MAX(DQ409,0))</f>
        <v>0.0495319352963236</v>
      </c>
      <c r="DS409" s="60" t="n">
        <f aca="false">SIGN(DR409)*ABS(DR409)^(1/3)</f>
        <v>0.367249967174439</v>
      </c>
      <c r="DT409" s="60" t="n">
        <f aca="false">IF(DS409=0,0,DS409-DO409/(3*DS409))</f>
        <v>0.60888329127384</v>
      </c>
      <c r="DU409" s="60" t="n">
        <f aca="false">2*SQRT(MAX(-DO409,0)/3)</f>
        <v>0.595784626668918</v>
      </c>
      <c r="DV409" s="60" t="n">
        <f aca="false">ACOS(IF(DU409=0,0,MAX(-1,MIN(1,3*DP409/(DO409*DU409)))))</f>
        <v>0</v>
      </c>
      <c r="DW409" s="60" t="n">
        <f aca="false">DU409*COS(DV409/3)</f>
        <v>0.595784626668918</v>
      </c>
      <c r="DX409" s="60" t="n">
        <f aca="false">IF(DQ409&lt;0,DW409,DT409)-DL409/3</f>
        <v>0.91158844983184</v>
      </c>
      <c r="DY409" s="60" t="n">
        <f aca="false">IFERROR((((DX409+DL409)*DX409+DM409)*DX409+DN409)/((3*DX409+2*DL409)*DX409+DM409),0)</f>
        <v>0</v>
      </c>
      <c r="DZ409" s="60" t="n">
        <f aca="false">IF(ABS(DY409)&lt;0.1*ABS(DX409),DX409-DY409,DX409)</f>
        <v>0.91158844983184</v>
      </c>
      <c r="EA409" s="60" t="n">
        <f aca="false">IFERROR((((DZ409+DL409)*DZ409+DM409)*DZ409+DN409)/((3*DZ409+2*DL409)*DZ409+DM409),0)</f>
        <v>0</v>
      </c>
      <c r="EB409" s="60" t="n">
        <f aca="false">IF(ABS(EA409)&lt;0.1*ABS(DZ409),DZ409-EA409,DZ409)</f>
        <v>0.91158844983184</v>
      </c>
      <c r="EC409" s="60" t="n">
        <f aca="false">-DN409/EB409</f>
        <v>0.0118376711504565</v>
      </c>
      <c r="ED409" s="60" t="n">
        <f aca="false">(DM409-EC409)/EB409</f>
        <v>-0.00347297415783941</v>
      </c>
      <c r="EE409" s="60" t="n">
        <f aca="false">ED409^2-4*EC409</f>
        <v>-0.0473386230523248</v>
      </c>
      <c r="EF409" s="60" t="n">
        <f aca="false">IF(EE409&gt;=0,(ED409+IF(ED409&gt;=0,1,-1)*SQRT(EE409))/2,0)</f>
        <v>0</v>
      </c>
      <c r="EG409" s="60" t="n">
        <f aca="false">IF(AND(EE409&gt;=0,EF409&lt;&gt;0),MIN(EF409,EC409/EF409),-1)</f>
        <v>-1</v>
      </c>
      <c r="EH409" s="60" t="n">
        <f aca="false">AND(EE409&gt;=0,EG409&gt;DK409,ABS(EB409-EG409)&gt;=0.00005*MAX(EB409,EG409))</f>
        <v>0</v>
      </c>
      <c r="EI409" s="60" t="n">
        <f aca="false">IF(EH409,IFERROR((((EG409+DL409)*EG409+DM409)*EG409+DN409)/((3*EG409+2*DL409)*EG409+DM409),0),0)</f>
        <v>0</v>
      </c>
      <c r="EJ409" s="60" t="n">
        <f aca="false">IF(ABS(EI409)&lt;0.1*ABS(EG409),EG409-EI409,EG409)</f>
        <v>-1</v>
      </c>
      <c r="EK409" s="60" t="n">
        <f aca="false">IF(EH409,IFERROR((((EJ409+DL409)*EJ409+DM409)*EJ409+DN409)/((3*EJ409+2*DL409)*EJ409+DM409),0),0)</f>
        <v>0</v>
      </c>
      <c r="EL409" s="60" t="n">
        <f aca="false">IF(ABS(EK409)&lt;0.1*ABS(EJ409),EJ409-EK409,EJ409)</f>
        <v>-1</v>
      </c>
      <c r="EM409" s="60" t="n">
        <f aca="false">IF(EH409,MAX(EB409,EL409),EB409)</f>
        <v>0.91158844983184</v>
      </c>
      <c r="EN409" s="60" t="n">
        <f aca="false">IF(EH409,MIN(EB409,EL409),-1)</f>
        <v>-1</v>
      </c>
      <c r="EO409" s="60" t="n">
        <f aca="false">CHOOSE($C$7,DJ409/EM409,DJ409/DK409*LN(1+DK409/EM409),DJ409/(2*SQRT(2)*DK409)*LN((EM409+(1+SQRT(2))*DK409)/(EM409+(1-SQRT(2))*DK409)))</f>
        <v>0.218240791233887</v>
      </c>
      <c r="EP409" s="60" t="n">
        <f aca="false">EM409-1-LN(EM409-DK409)-EO409</f>
        <v>-0.107840271021729</v>
      </c>
      <c r="EQ409" s="60" t="n">
        <f aca="false">IF(EH409,CHOOSE($C$7,DJ409/EN409,DJ409/DK409*LN(1+DK409/EN409),DJ409/(2*SQRT(2)*DK409)*LN((EN409+(1+SQRT(2))*DK409)/(EN409+(1-SQRT(2))*DK409))),0)</f>
        <v>0</v>
      </c>
      <c r="ER409" s="60" t="n">
        <f aca="false">IF(EH409,EN409-1-LN(EN409-DK409)-EQ409,0)</f>
        <v>0</v>
      </c>
      <c r="ES409" s="60" t="n">
        <f aca="false">AND(EH409,ER409&lt;EP409)</f>
        <v>0</v>
      </c>
      <c r="ET409" s="60" t="n">
        <f aca="false">IF(ES409,EN409,EM409)</f>
        <v>0.91158844983184</v>
      </c>
      <c r="EU409" s="60" t="n">
        <f aca="false">IF(ES409,EQ409,EO409)</f>
        <v>0.218240791233887</v>
      </c>
      <c r="EV409" s="60" t="n">
        <f aca="false">LN(ET409-DK409)</f>
        <v>-0.198812070380318</v>
      </c>
      <c r="EW409" s="60" t="n">
        <f aca="false">$E$27/DI409*(ET409-1)-EV409-EU409*(2*CV409/DH409-$E$27/DI409)</f>
        <v>-0.107840271021729</v>
      </c>
      <c r="EX409" s="60" t="n">
        <f aca="false">$F$27/DI409*(ET409-1)-EV409-EU409*(2*CW409/DH409-$F$27/DI409)</f>
        <v>0.198812070380318</v>
      </c>
      <c r="EY409" s="60" t="n">
        <f aca="false">$G$27/DI409*(ET409-1)-EV409-EU409*(2*CX409/DH409-$G$27/DI409)</f>
        <v>0.198812070380318</v>
      </c>
      <c r="EZ409" s="60" t="n">
        <f aca="false">$H$27/DI409*(ET409-1)-EV409-EU409*(2*CY409/DH409-$H$27/DI409)</f>
        <v>0.198812070380318</v>
      </c>
      <c r="FA409" s="60" t="n">
        <f aca="false">$I$27/DI409*(ET409-1)-EV409-EU409*(2*CZ409/DH409-$I$27/DI409)</f>
        <v>0.198812070380318</v>
      </c>
      <c r="FB409" s="60" t="n">
        <f aca="false">$J$27/DI409*(ET409-1)-EV409-EU409*(2*DA409/DH409-$J$27/DI409)</f>
        <v>0.198812070380318</v>
      </c>
      <c r="FC409" s="60" t="n">
        <f aca="false">$K$27/DI409*(ET409-1)-EV409-EU409*(2*DB409/DH409-$K$27/DI409)</f>
        <v>0.198812070380318</v>
      </c>
      <c r="FD409" s="60" t="n">
        <f aca="false">$L$27/DI409*(ET409-1)-EV409-EU409*(2*DC409/DH409-$L$27/DI409)</f>
        <v>0.198812070380318</v>
      </c>
      <c r="FE409" s="60" t="n">
        <f aca="false">$M$27/DI409*(ET409-1)-EV409-EU409*(2*DD409/DH409-$M$27/DI409)</f>
        <v>0.198812070380318</v>
      </c>
      <c r="FF409" s="60" t="n">
        <f aca="false">$N$27/DI409*(ET409-1)-EV409-EU409*(2*DE409/DH409-$N$27/DI409)</f>
        <v>0.198812070380318</v>
      </c>
      <c r="FG409" s="60" t="n">
        <f aca="false">$O$27/DI409*(ET409-1)-EV409-EU409*(2*DF409/DH409-$O$27/DI409)</f>
        <v>0.198812070380318</v>
      </c>
      <c r="FH409" s="60" t="n">
        <f aca="false">$P$27/DI409*(ET409-1)-EV409-EU409*(2*DG409/DH409-$P$27/DI409)</f>
        <v>0.198812070380318</v>
      </c>
      <c r="FI409" s="60" t="n">
        <f aca="false">DK409/ET409&gt;$C$22</f>
        <v>0</v>
      </c>
      <c r="FJ409" s="60" t="n">
        <f aca="false">$E$28*SUMPRODUCT($E$31:$P$31,CJ409:CU409,$E$28:$P$28)</f>
        <v>0.184416866619846</v>
      </c>
      <c r="FK409" s="60" t="n">
        <f aca="false">$F$28*SUMPRODUCT($E$32:$P$32,CJ409:CU409,$E$28:$P$28)</f>
        <v>0</v>
      </c>
      <c r="FL409" s="60" t="n">
        <f aca="false">$G$28*SUMPRODUCT($E$33:$P$33,CJ409:CU409,$E$28:$P$28)</f>
        <v>0</v>
      </c>
      <c r="FM409" s="60" t="n">
        <f aca="false">$H$28*SUMPRODUCT($E$34:$P$34,CJ409:CU409,$E$28:$P$28)</f>
        <v>0</v>
      </c>
      <c r="FN409" s="60" t="n">
        <f aca="false">$I$28*SUMPRODUCT($E$35:$P$35,CJ409:CU409,$E$28:$P$28)</f>
        <v>0</v>
      </c>
      <c r="FO409" s="60" t="n">
        <f aca="false">$J$28*SUMPRODUCT($E$36:$P$36,CJ409:CU409,$E$28:$P$28)</f>
        <v>0</v>
      </c>
      <c r="FP409" s="60" t="n">
        <f aca="false">$K$28*SUMPRODUCT($E$37:$P$37,CJ409:CU409,$E$28:$P$28)</f>
        <v>0</v>
      </c>
      <c r="FQ409" s="60" t="n">
        <f aca="false">$L$28*SUMPRODUCT($E$38:$P$38,CJ409:CU409,$E$28:$P$28)</f>
        <v>0</v>
      </c>
      <c r="FR409" s="60" t="n">
        <f aca="false">$M$28*SUMPRODUCT($E$39:$P$39,CJ409:CU409,$E$28:$P$28)</f>
        <v>0</v>
      </c>
      <c r="FS409" s="60" t="n">
        <f aca="false">$N$28*SUMPRODUCT($E$40:$P$40,CJ409:CU409,$E$28:$P$28)</f>
        <v>0</v>
      </c>
      <c r="FT409" s="60" t="n">
        <f aca="false">$O$28*SUMPRODUCT($E$41:$P$41,CJ409:CU409,$E$28:$P$28)</f>
        <v>0</v>
      </c>
      <c r="FU409" s="60" t="n">
        <f aca="false">$P$28*SUMPRODUCT($E$42:$P$42,CJ409:CU409,$E$28:$P$28)</f>
        <v>0</v>
      </c>
      <c r="FV409" s="60" t="n">
        <f aca="false">SUMPRODUCT(CJ409:CU409,FJ409:FU409)</f>
        <v>0.184416866619846</v>
      </c>
      <c r="FW409" s="60" t="n">
        <f aca="false">SUMPRODUCT(CJ409:CU409,$E$27:$P$27)</f>
        <v>2.67389635063809E-005</v>
      </c>
      <c r="FX409" s="60" t="n">
        <f aca="false">FV409*$C$9/($C$10*$C$8)^2</f>
        <v>0.21776909410545</v>
      </c>
      <c r="FY409" s="60" t="n">
        <f aca="false">FW409*$C$9/($C$10*$C$8)</f>
        <v>0.0918845243259994</v>
      </c>
      <c r="FZ409" s="60" t="n">
        <f aca="false">CHOOSE($C$7,-(1+FY409),-1,-(1-FY409))</f>
        <v>-0.908115475674001</v>
      </c>
      <c r="GA409" s="60" t="n">
        <f aca="false">CHOOSE($C$7,FX409,FX409-FY409-FY409^2,FX409-3*FY409^2-2*FY409)</f>
        <v>0.00867174802160559</v>
      </c>
      <c r="GB409" s="60" t="n">
        <f aca="false">CHOOSE($C$7,-FX409*FY409,-FX409*FY409,-(FX409*FY409-FY409^2-FY409^3))</f>
        <v>-0.0107910842936637</v>
      </c>
      <c r="GC409" s="60" t="n">
        <f aca="false">GA409-FZ409^2/3</f>
        <v>-0.266219491031267</v>
      </c>
      <c r="GD409" s="60" t="n">
        <f aca="false">2*FZ409^3/27-FZ409*GA409/3+GB409</f>
        <v>-0.0636400988362784</v>
      </c>
      <c r="GE409" s="60" t="n">
        <f aca="false">GD409^2/4+GC409^3/27</f>
        <v>0.000313710901361829</v>
      </c>
      <c r="GF409" s="60" t="n">
        <f aca="false">-GD409/2-IF(GD409&gt;=0,1,-1)*SQRT(MAX(GE409,0))</f>
        <v>0.0495319352963236</v>
      </c>
      <c r="GG409" s="60" t="n">
        <f aca="false">SIGN(GF409)*ABS(GF409)^(1/3)</f>
        <v>0.367249967174439</v>
      </c>
      <c r="GH409" s="60" t="n">
        <f aca="false">IF(GG409=0,0,GG409-GC409/(3*GG409))</f>
        <v>0.60888329127384</v>
      </c>
      <c r="GI409" s="60" t="n">
        <f aca="false">2*SQRT(MAX(-GC409,0)/3)</f>
        <v>0.595784626668918</v>
      </c>
      <c r="GJ409" s="60" t="n">
        <f aca="false">ACOS(IF(GI409=0,0,MAX(-1,MIN(1,3*GD409/(GC409*GI409)))))</f>
        <v>0</v>
      </c>
      <c r="GK409" s="60" t="n">
        <f aca="false">GI409*COS(GJ409/3)</f>
        <v>0.595784626668918</v>
      </c>
      <c r="GL409" s="60" t="n">
        <f aca="false">IF(GE409&lt;0,GK409,GH409)-FZ409/3</f>
        <v>0.91158844983184</v>
      </c>
      <c r="GM409" s="60" t="n">
        <f aca="false">IFERROR((((GL409+FZ409)*GL409+GA409)*GL409+GB409)/((3*GL409+2*FZ409)*GL409+GA409),0)</f>
        <v>0</v>
      </c>
      <c r="GN409" s="60" t="n">
        <f aca="false">IF(ABS(GM409)&lt;0.1*ABS(GL409),GL409-GM409,GL409)</f>
        <v>0.91158844983184</v>
      </c>
      <c r="GO409" s="60" t="n">
        <f aca="false">IFERROR((((GN409+FZ409)*GN409+GA409)*GN409+GB409)/((3*GN409+2*FZ409)*GN409+GA409),0)</f>
        <v>0</v>
      </c>
      <c r="GP409" s="60" t="n">
        <f aca="false">IF(ABS(GO409)&lt;0.1*ABS(GN409),GN409-GO409,GN409)</f>
        <v>0.91158844983184</v>
      </c>
      <c r="GQ409" s="60" t="n">
        <f aca="false">-GB409/GP409</f>
        <v>0.0118376711504565</v>
      </c>
      <c r="GR409" s="60" t="n">
        <f aca="false">(GA409-GQ409)/GP409</f>
        <v>-0.00347297415783941</v>
      </c>
      <c r="GS409" s="60" t="n">
        <f aca="false">GR409^2-4*GQ409</f>
        <v>-0.0473386230523248</v>
      </c>
      <c r="GT409" s="60" t="n">
        <f aca="false">IF(GS409&gt;=0,(GR409+IF(GR409&gt;=0,1,-1)*SQRT(GS409))/2,0)</f>
        <v>0</v>
      </c>
      <c r="GU409" s="60" t="n">
        <f aca="false">IF(AND(GS409&gt;=0,GT409&lt;&gt;0),MIN(GT409,GQ409/GT409),-1)</f>
        <v>-1</v>
      </c>
      <c r="GV409" s="60" t="n">
        <f aca="false">AND(GS409&gt;=0,GU409&gt;FY409,ABS(GP409-GU409)&gt;=0.00005*MAX(GP409,GU409))</f>
        <v>0</v>
      </c>
      <c r="GW409" s="60" t="n">
        <f aca="false">IF(GV409,IFERROR((((GU409+FZ409)*GU409+GA409)*GU409+GB409)/((3*GU409+2*FZ409)*GU409+GA409),0),0)</f>
        <v>0</v>
      </c>
      <c r="GX409" s="60" t="n">
        <f aca="false">IF(ABS(GW409)&lt;0.1*ABS(GU409),GU409-GW409,GU409)</f>
        <v>-1</v>
      </c>
      <c r="GY409" s="60" t="n">
        <f aca="false">IF(GV409,IFERROR((((GX409+FZ409)*GX409+GA409)*GX409+GB409)/((3*GX409+2*FZ409)*GX409+GA409),0),0)</f>
        <v>0</v>
      </c>
      <c r="GZ409" s="60" t="n">
        <f aca="false">IF(ABS(GY409)&lt;0.1*ABS(GX409),GX409-GY409,GX409)</f>
        <v>-1</v>
      </c>
      <c r="HA409" s="60" t="n">
        <f aca="false">IF(GV409,MAX(GP409,GZ409),GP409)</f>
        <v>0.91158844983184</v>
      </c>
      <c r="HB409" s="60" t="n">
        <f aca="false">IF(GV409,MIN(GP409,GZ409),-1)</f>
        <v>-1</v>
      </c>
      <c r="HC409" s="60" t="n">
        <f aca="false">CHOOSE($C$7,FX409/HA409,FX409/FY409*LN(1+FY409/HA409),FX409/(2*SQRT(2)*FY409)*LN((HA409+(1+SQRT(2))*FY409)/(HA409+(1-SQRT(2))*FY409)))</f>
        <v>0.218240791233887</v>
      </c>
      <c r="HD409" s="60" t="n">
        <f aca="false">HA409-1-LN(HA409-FY409)-HC409</f>
        <v>-0.107840271021729</v>
      </c>
      <c r="HE409" s="60" t="n">
        <f aca="false">IF(GV409,CHOOSE($C$7,FX409/HB409,FX409/FY409*LN(1+FY409/HB409),FX409/(2*SQRT(2)*FY409)*LN((HB409+(1+SQRT(2))*FY409)/(HB409+(1-SQRT(2))*FY409))),0)</f>
        <v>0</v>
      </c>
      <c r="HF409" s="60" t="n">
        <f aca="false">IF(GV409,HB409-1-LN(HB409-FY409)-HE409,0)</f>
        <v>0</v>
      </c>
      <c r="HG409" s="60" t="n">
        <f aca="false">AND(GV409,HF409&lt;HD409)</f>
        <v>0</v>
      </c>
      <c r="HH409" s="60" t="n">
        <f aca="false">IF(HG409,HB409,HA409)</f>
        <v>0.91158844983184</v>
      </c>
      <c r="HI409" s="60" t="n">
        <f aca="false">IF(HG409,HE409,HC409)</f>
        <v>0.218240791233887</v>
      </c>
      <c r="HJ409" s="60" t="n">
        <f aca="false">LN(HH409-FY409)</f>
        <v>-0.198812070380318</v>
      </c>
      <c r="HK409" s="60" t="n">
        <f aca="false">$E$27/FW409*(HH409-1)-HJ409-HI409*(2*FJ409/FV409-$E$27/FW409)</f>
        <v>-0.107840271021729</v>
      </c>
      <c r="HL409" s="60" t="n">
        <f aca="false">$F$27/FW409*(HH409-1)-HJ409-HI409*(2*FK409/FV409-$F$27/FW409)</f>
        <v>0.198812070380318</v>
      </c>
      <c r="HM409" s="60" t="n">
        <f aca="false">$G$27/FW409*(HH409-1)-HJ409-HI409*(2*FL409/FV409-$G$27/FW409)</f>
        <v>0.198812070380318</v>
      </c>
      <c r="HN409" s="60" t="n">
        <f aca="false">$H$27/FW409*(HH409-1)-HJ409-HI409*(2*FM409/FV409-$H$27/FW409)</f>
        <v>0.198812070380318</v>
      </c>
      <c r="HO409" s="60" t="n">
        <f aca="false">$I$27/FW409*(HH409-1)-HJ409-HI409*(2*FN409/FV409-$I$27/FW409)</f>
        <v>0.198812070380318</v>
      </c>
      <c r="HP409" s="60" t="n">
        <f aca="false">$J$27/FW409*(HH409-1)-HJ409-HI409*(2*FO409/FV409-$J$27/FW409)</f>
        <v>0.198812070380318</v>
      </c>
      <c r="HQ409" s="60" t="n">
        <f aca="false">$K$27/FW409*(HH409-1)-HJ409-HI409*(2*FP409/FV409-$K$27/FW409)</f>
        <v>0.198812070380318</v>
      </c>
      <c r="HR409" s="60" t="n">
        <f aca="false">$L$27/FW409*(HH409-1)-HJ409-HI409*(2*FQ409/FV409-$L$27/FW409)</f>
        <v>0.198812070380318</v>
      </c>
      <c r="HS409" s="60" t="n">
        <f aca="false">$M$27/FW409*(HH409-1)-HJ409-HI409*(2*FR409/FV409-$M$27/FW409)</f>
        <v>0.198812070380318</v>
      </c>
      <c r="HT409" s="60" t="n">
        <f aca="false">$N$27/FW409*(HH409-1)-HJ409-HI409*(2*FS409/FV409-$N$27/FW409)</f>
        <v>0.198812070380318</v>
      </c>
      <c r="HU409" s="60" t="n">
        <f aca="false">$O$27/FW409*(HH409-1)-HJ409-HI409*(2*FT409/FV409-$O$27/FW409)</f>
        <v>0.198812070380318</v>
      </c>
      <c r="HV409" s="60" t="n">
        <f aca="false">$P$27/FW409*(HH409-1)-HJ409-HI409*(2*FU409/FV409-$P$27/FW409)</f>
        <v>0.198812070380318</v>
      </c>
      <c r="HW409" s="60" t="n">
        <f aca="false">FY409/HH409&gt;$C$22</f>
        <v>0</v>
      </c>
      <c r="HX409" s="60" t="n">
        <f aca="false">IF($E$13&gt;0,MAX(-300,MIN(300,EW409-HK409)),0)</f>
        <v>0</v>
      </c>
      <c r="HY409" s="60" t="n">
        <f aca="false">IF($F$13&gt;0,MAX(-300,MIN(300,EX409-HL409)),0)</f>
        <v>0</v>
      </c>
      <c r="HZ409" s="60" t="n">
        <f aca="false">IF($G$13&gt;0,MAX(-300,MIN(300,EY409-HM409)),0)</f>
        <v>0</v>
      </c>
      <c r="IA409" s="60" t="n">
        <f aca="false">IF($H$13&gt;0,MAX(-300,MIN(300,EZ409-HN409)),0)</f>
        <v>0</v>
      </c>
      <c r="IB409" s="60" t="n">
        <f aca="false">IF($I$13&gt;0,MAX(-300,MIN(300,FA409-HO409)),0)</f>
        <v>0</v>
      </c>
      <c r="IC409" s="60" t="n">
        <f aca="false">IF($J$13&gt;0,MAX(-300,MIN(300,FB409-HP409)),0)</f>
        <v>0</v>
      </c>
      <c r="ID409" s="60" t="n">
        <f aca="false">IF($K$13&gt;0,MAX(-300,MIN(300,FC409-HQ409)),0)</f>
        <v>0</v>
      </c>
      <c r="IE409" s="60" t="n">
        <f aca="false">IF($L$13&gt;0,MAX(-300,MIN(300,FD409-HR409)),0)</f>
        <v>0</v>
      </c>
      <c r="IF409" s="60" t="n">
        <f aca="false">IF($M$13&gt;0,MAX(-300,MIN(300,FE409-HS409)),0)</f>
        <v>0</v>
      </c>
      <c r="IG409" s="60" t="n">
        <f aca="false">IF($N$13&gt;0,MAX(-300,MIN(300,FF409-HT409)),0)</f>
        <v>0</v>
      </c>
      <c r="IH409" s="60" t="n">
        <f aca="false">IF($O$13&gt;0,MAX(-300,MIN(300,FG409-HU409)),0)</f>
        <v>0</v>
      </c>
      <c r="II409" s="60" t="n">
        <f aca="false">IF($P$13&gt;0,MAX(-300,MIN(300,FH409-HV409)),0)</f>
        <v>0</v>
      </c>
      <c r="IJ409" s="60" t="n">
        <f aca="false">SUMXMY2(HX409:II409,B409:M409)</f>
        <v>0</v>
      </c>
      <c r="IK409" s="60" t="n">
        <f aca="false">SUMSQ(B409:M409)</f>
        <v>0</v>
      </c>
    </row>
    <row r="410" customFormat="false" ht="15" hidden="false" customHeight="false" outlineLevel="0" collapsed="false">
      <c r="A410" s="59" t="n">
        <v>49</v>
      </c>
      <c r="B410" s="60" t="n">
        <f aca="false">HX409</f>
        <v>0</v>
      </c>
      <c r="C410" s="60" t="n">
        <f aca="false">HY409</f>
        <v>0</v>
      </c>
      <c r="D410" s="60" t="n">
        <f aca="false">HZ409</f>
        <v>0</v>
      </c>
      <c r="E410" s="60" t="n">
        <f aca="false">IA409</f>
        <v>0</v>
      </c>
      <c r="F410" s="60" t="n">
        <f aca="false">IB409</f>
        <v>0</v>
      </c>
      <c r="G410" s="60" t="n">
        <f aca="false">IC409</f>
        <v>0</v>
      </c>
      <c r="H410" s="60" t="n">
        <f aca="false">ID409</f>
        <v>0</v>
      </c>
      <c r="I410" s="60" t="n">
        <f aca="false">IE409</f>
        <v>0</v>
      </c>
      <c r="J410" s="60" t="n">
        <f aca="false">IF409</f>
        <v>0</v>
      </c>
      <c r="K410" s="60" t="n">
        <f aca="false">IG409</f>
        <v>0</v>
      </c>
      <c r="L410" s="60" t="n">
        <f aca="false">IH409</f>
        <v>0</v>
      </c>
      <c r="M410" s="60" t="n">
        <f aca="false">II409</f>
        <v>0</v>
      </c>
      <c r="N410" s="60" t="n">
        <f aca="false">EXP(B410)</f>
        <v>1</v>
      </c>
      <c r="O410" s="60" t="n">
        <f aca="false">EXP(C410)</f>
        <v>1</v>
      </c>
      <c r="P410" s="60" t="n">
        <f aca="false">EXP(D410)</f>
        <v>1</v>
      </c>
      <c r="Q410" s="60" t="n">
        <f aca="false">EXP(E410)</f>
        <v>1</v>
      </c>
      <c r="R410" s="60" t="n">
        <f aca="false">EXP(F410)</f>
        <v>1</v>
      </c>
      <c r="S410" s="60" t="n">
        <f aca="false">EXP(G410)</f>
        <v>1</v>
      </c>
      <c r="T410" s="60" t="n">
        <f aca="false">EXP(H410)</f>
        <v>1</v>
      </c>
      <c r="U410" s="60" t="n">
        <f aca="false">EXP(I410)</f>
        <v>1</v>
      </c>
      <c r="V410" s="60" t="n">
        <f aca="false">EXP(J410)</f>
        <v>1</v>
      </c>
      <c r="W410" s="60" t="n">
        <f aca="false">EXP(K410)</f>
        <v>1</v>
      </c>
      <c r="X410" s="60" t="n">
        <f aca="false">EXP(L410)</f>
        <v>1</v>
      </c>
      <c r="Y410" s="60" t="n">
        <f aca="false">EXP(M410)</f>
        <v>1</v>
      </c>
      <c r="Z410" s="60" t="n">
        <f aca="false">MAX(N410:Y410)</f>
        <v>1</v>
      </c>
      <c r="AA410" s="60" t="n">
        <f aca="false">MIN(N410:Y410)</f>
        <v>1</v>
      </c>
      <c r="AB410" s="60" t="n">
        <f aca="false">AND(Z410&gt;1,AA410&lt;1)</f>
        <v>0</v>
      </c>
      <c r="AC410" s="60" t="n">
        <f aca="false">IF(AB410,1/(1-Z410),0)</f>
        <v>0</v>
      </c>
      <c r="AD410" s="60" t="n">
        <f aca="false">IF(AB410,1/(1-AA410),1)</f>
        <v>1</v>
      </c>
      <c r="AE410" s="60" t="n">
        <f aca="false">IF(AB410,MIN(MAX(BI409,AC410+0.000000001*(AD410-AC410)),AD410-0.000000001*(AD410-AC410)),IF(AA410&gt;=1,1,0))</f>
        <v>1</v>
      </c>
      <c r="AF410" s="60" t="n">
        <f aca="false">SUMPRODUCT($E$13:$P$13*(N410:Y410-1)/(1+AE410*(N410:Y410-1)))</f>
        <v>0</v>
      </c>
      <c r="AG410" s="60" t="n">
        <f aca="false">-SUMPRODUCT($E$13:$P$13*(N410:Y410-1)^2/(1+AE410*(N410:Y410-1))^2)</f>
        <v>-0</v>
      </c>
      <c r="AH410" s="60" t="n">
        <f aca="false">IF(OR(NOT(AB410),AG410=0),AE410,IF(AE410-AF410/AG410&lt;=AC410,(AE410+AC410)/2,IF(AE410-AF410/AG410&gt;=AD410,(AE410+AD410)/2,AE410-AF410/AG410)))</f>
        <v>1</v>
      </c>
      <c r="AI410" s="60" t="n">
        <f aca="false">SUMPRODUCT($E$13:$P$13*(N410:Y410-1)/(1+AH410*(N410:Y410-1)))</f>
        <v>0</v>
      </c>
      <c r="AJ410" s="60" t="n">
        <f aca="false">-SUMPRODUCT($E$13:$P$13*(N410:Y410-1)^2/(1+AH410*(N410:Y410-1))^2)</f>
        <v>-0</v>
      </c>
      <c r="AK410" s="60" t="n">
        <f aca="false">IF(OR(NOT(AB410),AJ410=0),AH410,IF(AH410-AI410/AJ410&lt;=AC410,(AH410+AC410)/2,IF(AH410-AI410/AJ410&gt;=AD410,(AH410+AD410)/2,AH410-AI410/AJ410)))</f>
        <v>1</v>
      </c>
      <c r="AL410" s="60" t="n">
        <f aca="false">SUMPRODUCT($E$13:$P$13*(N410:Y410-1)/(1+AK410*(N410:Y410-1)))</f>
        <v>0</v>
      </c>
      <c r="AM410" s="60" t="n">
        <f aca="false">-SUMPRODUCT($E$13:$P$13*(N410:Y410-1)^2/(1+AK410*(N410:Y410-1))^2)</f>
        <v>-0</v>
      </c>
      <c r="AN410" s="60" t="n">
        <f aca="false">IF(OR(NOT(AB410),AM410=0),AK410,IF(AK410-AL410/AM410&lt;=AC410,(AK410+AC410)/2,IF(AK410-AL410/AM410&gt;=AD410,(AK410+AD410)/2,AK410-AL410/AM410)))</f>
        <v>1</v>
      </c>
      <c r="AO410" s="60" t="n">
        <f aca="false">SUMPRODUCT($E$13:$P$13*(N410:Y410-1)/(1+AN410*(N410:Y410-1)))</f>
        <v>0</v>
      </c>
      <c r="AP410" s="60" t="n">
        <f aca="false">-SUMPRODUCT($E$13:$P$13*(N410:Y410-1)^2/(1+AN410*(N410:Y410-1))^2)</f>
        <v>-0</v>
      </c>
      <c r="AQ410" s="60" t="n">
        <f aca="false">IF(OR(NOT(AB410),AP410=0),AN410,IF(AN410-AO410/AP410&lt;=AC410,(AN410+AC410)/2,IF(AN410-AO410/AP410&gt;=AD410,(AN410+AD410)/2,AN410-AO410/AP410)))</f>
        <v>1</v>
      </c>
      <c r="AR410" s="60" t="n">
        <f aca="false">SUMPRODUCT($E$13:$P$13*(N410:Y410-1)/(1+AQ410*(N410:Y410-1)))</f>
        <v>0</v>
      </c>
      <c r="AS410" s="60" t="n">
        <f aca="false">-SUMPRODUCT($E$13:$P$13*(N410:Y410-1)^2/(1+AQ410*(N410:Y410-1))^2)</f>
        <v>-0</v>
      </c>
      <c r="AT410" s="60" t="n">
        <f aca="false">IF(OR(NOT(AB410),AS410=0),AQ410,IF(AQ410-AR410/AS410&lt;=AC410,(AQ410+AC410)/2,IF(AQ410-AR410/AS410&gt;=AD410,(AQ410+AD410)/2,AQ410-AR410/AS410)))</f>
        <v>1</v>
      </c>
      <c r="AU410" s="60" t="n">
        <f aca="false">SUMPRODUCT($E$13:$P$13*(N410:Y410-1)/(1+AT410*(N410:Y410-1)))</f>
        <v>0</v>
      </c>
      <c r="AV410" s="60" t="n">
        <f aca="false">-SUMPRODUCT($E$13:$P$13*(N410:Y410-1)^2/(1+AT410*(N410:Y410-1))^2)</f>
        <v>-0</v>
      </c>
      <c r="AW410" s="60" t="n">
        <f aca="false">IF(OR(NOT(AB410),AV410=0),AT410,IF(AT410-AU410/AV410&lt;=AC410,(AT410+AC410)/2,IF(AT410-AU410/AV410&gt;=AD410,(AT410+AD410)/2,AT410-AU410/AV410)))</f>
        <v>1</v>
      </c>
      <c r="AX410" s="60" t="n">
        <f aca="false">SUMPRODUCT($E$13:$P$13*(N410:Y410-1)/(1+AW410*(N410:Y410-1)))</f>
        <v>0</v>
      </c>
      <c r="AY410" s="60" t="n">
        <f aca="false">-SUMPRODUCT($E$13:$P$13*(N410:Y410-1)^2/(1+AW410*(N410:Y410-1))^2)</f>
        <v>-0</v>
      </c>
      <c r="AZ410" s="60" t="n">
        <f aca="false">IF(OR(NOT(AB410),AY410=0),AW410,IF(AW410-AX410/AY410&lt;=AC410,(AW410+AC410)/2,IF(AW410-AX410/AY410&gt;=AD410,(AW410+AD410)/2,AW410-AX410/AY410)))</f>
        <v>1</v>
      </c>
      <c r="BA410" s="60" t="n">
        <f aca="false">SUMPRODUCT($E$13:$P$13*(N410:Y410-1)/(1+AZ410*(N410:Y410-1)))</f>
        <v>0</v>
      </c>
      <c r="BB410" s="60" t="n">
        <f aca="false">-SUMPRODUCT($E$13:$P$13*(N410:Y410-1)^2/(1+AZ410*(N410:Y410-1))^2)</f>
        <v>-0</v>
      </c>
      <c r="BC410" s="60" t="n">
        <f aca="false">IF(OR(NOT(AB410),BB410=0),AZ410,IF(AZ410-BA410/BB410&lt;=AC410,(AZ410+AC410)/2,IF(AZ410-BA410/BB410&gt;=AD410,(AZ410+AD410)/2,AZ410-BA410/BB410)))</f>
        <v>1</v>
      </c>
      <c r="BD410" s="60" t="n">
        <f aca="false">SUMPRODUCT($E$13:$P$13*(N410:Y410-1)/(1+BC410*(N410:Y410-1)))</f>
        <v>0</v>
      </c>
      <c r="BE410" s="60" t="n">
        <f aca="false">-SUMPRODUCT($E$13:$P$13*(N410:Y410-1)^2/(1+BC410*(N410:Y410-1))^2)</f>
        <v>-0</v>
      </c>
      <c r="BF410" s="60" t="n">
        <f aca="false">IF(OR(NOT(AB410),BE410=0),BC410,IF(BC410-BD410/BE410&lt;=AC410,(BC410+AC410)/2,IF(BC410-BD410/BE410&gt;=AD410,(BC410+AD410)/2,BC410-BD410/BE410)))</f>
        <v>1</v>
      </c>
      <c r="BG410" s="60" t="n">
        <f aca="false">SUMPRODUCT($E$13:$P$13*(N410:Y410-1)/(1+BF410*(N410:Y410-1)))</f>
        <v>0</v>
      </c>
      <c r="BH410" s="60" t="n">
        <f aca="false">-SUMPRODUCT($E$13:$P$13*(N410:Y410-1)^2/(1+BF410*(N410:Y410-1))^2)</f>
        <v>-0</v>
      </c>
      <c r="BI410" s="60" t="n">
        <f aca="false">IF(OR(NOT(AB410),BH410=0),BF410,IF(BF410-BG410/BH410&lt;=AC410,(BF410+AC410)/2,IF(BF410-BG410/BH410&gt;=AD410,(BF410+AD410)/2,BF410-BG410/BH410)))</f>
        <v>1</v>
      </c>
      <c r="BJ410" s="60" t="n">
        <f aca="false">$E$13/(1+BI410*(N410-1))</f>
        <v>1</v>
      </c>
      <c r="BK410" s="60" t="n">
        <f aca="false">$F$13/(1+BI410*(O410-1))</f>
        <v>0</v>
      </c>
      <c r="BL410" s="60" t="n">
        <f aca="false">$G$13/(1+BI410*(P410-1))</f>
        <v>0</v>
      </c>
      <c r="BM410" s="60" t="n">
        <f aca="false">$H$13/(1+BI410*(Q410-1))</f>
        <v>0</v>
      </c>
      <c r="BN410" s="60" t="n">
        <f aca="false">$I$13/(1+BI410*(R410-1))</f>
        <v>0</v>
      </c>
      <c r="BO410" s="60" t="n">
        <f aca="false">$J$13/(1+BI410*(S410-1))</f>
        <v>0</v>
      </c>
      <c r="BP410" s="60" t="n">
        <f aca="false">$K$13/(1+BI410*(T410-1))</f>
        <v>0</v>
      </c>
      <c r="BQ410" s="60" t="n">
        <f aca="false">$L$13/(1+BI410*(U410-1))</f>
        <v>0</v>
      </c>
      <c r="BR410" s="60" t="n">
        <f aca="false">$M$13/(1+BI410*(V410-1))</f>
        <v>0</v>
      </c>
      <c r="BS410" s="60" t="n">
        <f aca="false">$N$13/(1+BI410*(W410-1))</f>
        <v>0</v>
      </c>
      <c r="BT410" s="60" t="n">
        <f aca="false">$O$13/(1+BI410*(X410-1))</f>
        <v>0</v>
      </c>
      <c r="BU410" s="60" t="n">
        <f aca="false">$P$13/(1+BI410*(Y410-1))</f>
        <v>0</v>
      </c>
      <c r="BV410" s="60" t="n">
        <f aca="false">SUM(BJ410:BU410)</f>
        <v>1</v>
      </c>
      <c r="BW410" s="60" t="n">
        <f aca="false">SUMPRODUCT(N410:Y410,BJ410:BU410)</f>
        <v>1</v>
      </c>
      <c r="BX410" s="60" t="n">
        <f aca="false">BJ410/BV410</f>
        <v>1</v>
      </c>
      <c r="BY410" s="60" t="n">
        <f aca="false">BK410/BV410</f>
        <v>0</v>
      </c>
      <c r="BZ410" s="60" t="n">
        <f aca="false">BL410/BV410</f>
        <v>0</v>
      </c>
      <c r="CA410" s="60" t="n">
        <f aca="false">BM410/BV410</f>
        <v>0</v>
      </c>
      <c r="CB410" s="60" t="n">
        <f aca="false">BN410/BV410</f>
        <v>0</v>
      </c>
      <c r="CC410" s="60" t="n">
        <f aca="false">BO410/BV410</f>
        <v>0</v>
      </c>
      <c r="CD410" s="60" t="n">
        <f aca="false">BP410/BV410</f>
        <v>0</v>
      </c>
      <c r="CE410" s="60" t="n">
        <f aca="false">BQ410/BV410</f>
        <v>0</v>
      </c>
      <c r="CF410" s="60" t="n">
        <f aca="false">BR410/BV410</f>
        <v>0</v>
      </c>
      <c r="CG410" s="60" t="n">
        <f aca="false">BS410/BV410</f>
        <v>0</v>
      </c>
      <c r="CH410" s="60" t="n">
        <f aca="false">BT410/BV410</f>
        <v>0</v>
      </c>
      <c r="CI410" s="60" t="n">
        <f aca="false">BU410/BV410</f>
        <v>0</v>
      </c>
      <c r="CJ410" s="60" t="n">
        <f aca="false">N410*BJ410/BW410</f>
        <v>1</v>
      </c>
      <c r="CK410" s="60" t="n">
        <f aca="false">O410*BK410/BW410</f>
        <v>0</v>
      </c>
      <c r="CL410" s="60" t="n">
        <f aca="false">P410*BL410/BW410</f>
        <v>0</v>
      </c>
      <c r="CM410" s="60" t="n">
        <f aca="false">Q410*BM410/BW410</f>
        <v>0</v>
      </c>
      <c r="CN410" s="60" t="n">
        <f aca="false">R410*BN410/BW410</f>
        <v>0</v>
      </c>
      <c r="CO410" s="60" t="n">
        <f aca="false">S410*BO410/BW410</f>
        <v>0</v>
      </c>
      <c r="CP410" s="60" t="n">
        <f aca="false">T410*BP410/BW410</f>
        <v>0</v>
      </c>
      <c r="CQ410" s="60" t="n">
        <f aca="false">U410*BQ410/BW410</f>
        <v>0</v>
      </c>
      <c r="CR410" s="60" t="n">
        <f aca="false">V410*BR410/BW410</f>
        <v>0</v>
      </c>
      <c r="CS410" s="60" t="n">
        <f aca="false">W410*BS410/BW410</f>
        <v>0</v>
      </c>
      <c r="CT410" s="60" t="n">
        <f aca="false">X410*BT410/BW410</f>
        <v>0</v>
      </c>
      <c r="CU410" s="60" t="n">
        <f aca="false">Y410*BU410/BW410</f>
        <v>0</v>
      </c>
      <c r="CV410" s="60" t="n">
        <f aca="false">$E$28*SUMPRODUCT($E$31:$P$31,BX410:CI410,$E$28:$P$28)</f>
        <v>0.184416866619846</v>
      </c>
      <c r="CW410" s="60" t="n">
        <f aca="false">$F$28*SUMPRODUCT($E$32:$P$32,BX410:CI410,$E$28:$P$28)</f>
        <v>0</v>
      </c>
      <c r="CX410" s="60" t="n">
        <f aca="false">$G$28*SUMPRODUCT($E$33:$P$33,BX410:CI410,$E$28:$P$28)</f>
        <v>0</v>
      </c>
      <c r="CY410" s="60" t="n">
        <f aca="false">$H$28*SUMPRODUCT($E$34:$P$34,BX410:CI410,$E$28:$P$28)</f>
        <v>0</v>
      </c>
      <c r="CZ410" s="60" t="n">
        <f aca="false">$I$28*SUMPRODUCT($E$35:$P$35,BX410:CI410,$E$28:$P$28)</f>
        <v>0</v>
      </c>
      <c r="DA410" s="60" t="n">
        <f aca="false">$J$28*SUMPRODUCT($E$36:$P$36,BX410:CI410,$E$28:$P$28)</f>
        <v>0</v>
      </c>
      <c r="DB410" s="60" t="n">
        <f aca="false">$K$28*SUMPRODUCT($E$37:$P$37,BX410:CI410,$E$28:$P$28)</f>
        <v>0</v>
      </c>
      <c r="DC410" s="60" t="n">
        <f aca="false">$L$28*SUMPRODUCT($E$38:$P$38,BX410:CI410,$E$28:$P$28)</f>
        <v>0</v>
      </c>
      <c r="DD410" s="60" t="n">
        <f aca="false">$M$28*SUMPRODUCT($E$39:$P$39,BX410:CI410,$E$28:$P$28)</f>
        <v>0</v>
      </c>
      <c r="DE410" s="60" t="n">
        <f aca="false">$N$28*SUMPRODUCT($E$40:$P$40,BX410:CI410,$E$28:$P$28)</f>
        <v>0</v>
      </c>
      <c r="DF410" s="60" t="n">
        <f aca="false">$O$28*SUMPRODUCT($E$41:$P$41,BX410:CI410,$E$28:$P$28)</f>
        <v>0</v>
      </c>
      <c r="DG410" s="60" t="n">
        <f aca="false">$P$28*SUMPRODUCT($E$42:$P$42,BX410:CI410,$E$28:$P$28)</f>
        <v>0</v>
      </c>
      <c r="DH410" s="60" t="n">
        <f aca="false">SUMPRODUCT(BX410:CI410,CV410:DG410)</f>
        <v>0.184416866619846</v>
      </c>
      <c r="DI410" s="60" t="n">
        <f aca="false">SUMPRODUCT(BX410:CI410,$E$27:$P$27)</f>
        <v>2.67389635063809E-005</v>
      </c>
      <c r="DJ410" s="60" t="n">
        <f aca="false">DH410*$C$9/($C$10*$C$8)^2</f>
        <v>0.21776909410545</v>
      </c>
      <c r="DK410" s="60" t="n">
        <f aca="false">DI410*$C$9/($C$10*$C$8)</f>
        <v>0.0918845243259994</v>
      </c>
      <c r="DL410" s="60" t="n">
        <f aca="false">CHOOSE($C$7,-(1+DK410),-1,-(1-DK410))</f>
        <v>-0.908115475674001</v>
      </c>
      <c r="DM410" s="60" t="n">
        <f aca="false">CHOOSE($C$7,DJ410,DJ410-DK410-DK410^2,DJ410-3*DK410^2-2*DK410)</f>
        <v>0.00867174802160559</v>
      </c>
      <c r="DN410" s="60" t="n">
        <f aca="false">CHOOSE($C$7,-DJ410*DK410,-DJ410*DK410,-(DJ410*DK410-DK410^2-DK410^3))</f>
        <v>-0.0107910842936637</v>
      </c>
      <c r="DO410" s="60" t="n">
        <f aca="false">DM410-DL410^2/3</f>
        <v>-0.266219491031267</v>
      </c>
      <c r="DP410" s="60" t="n">
        <f aca="false">2*DL410^3/27-DL410*DM410/3+DN410</f>
        <v>-0.0636400988362784</v>
      </c>
      <c r="DQ410" s="60" t="n">
        <f aca="false">DP410^2/4+DO410^3/27</f>
        <v>0.000313710901361829</v>
      </c>
      <c r="DR410" s="60" t="n">
        <f aca="false">-DP410/2-IF(DP410&gt;=0,1,-1)*SQRT(MAX(DQ410,0))</f>
        <v>0.0495319352963236</v>
      </c>
      <c r="DS410" s="60" t="n">
        <f aca="false">SIGN(DR410)*ABS(DR410)^(1/3)</f>
        <v>0.367249967174439</v>
      </c>
      <c r="DT410" s="60" t="n">
        <f aca="false">IF(DS410=0,0,DS410-DO410/(3*DS410))</f>
        <v>0.60888329127384</v>
      </c>
      <c r="DU410" s="60" t="n">
        <f aca="false">2*SQRT(MAX(-DO410,0)/3)</f>
        <v>0.595784626668918</v>
      </c>
      <c r="DV410" s="60" t="n">
        <f aca="false">ACOS(IF(DU410=0,0,MAX(-1,MIN(1,3*DP410/(DO410*DU410)))))</f>
        <v>0</v>
      </c>
      <c r="DW410" s="60" t="n">
        <f aca="false">DU410*COS(DV410/3)</f>
        <v>0.595784626668918</v>
      </c>
      <c r="DX410" s="60" t="n">
        <f aca="false">IF(DQ410&lt;0,DW410,DT410)-DL410/3</f>
        <v>0.91158844983184</v>
      </c>
      <c r="DY410" s="60" t="n">
        <f aca="false">IFERROR((((DX410+DL410)*DX410+DM410)*DX410+DN410)/((3*DX410+2*DL410)*DX410+DM410),0)</f>
        <v>0</v>
      </c>
      <c r="DZ410" s="60" t="n">
        <f aca="false">IF(ABS(DY410)&lt;0.1*ABS(DX410),DX410-DY410,DX410)</f>
        <v>0.91158844983184</v>
      </c>
      <c r="EA410" s="60" t="n">
        <f aca="false">IFERROR((((DZ410+DL410)*DZ410+DM410)*DZ410+DN410)/((3*DZ410+2*DL410)*DZ410+DM410),0)</f>
        <v>0</v>
      </c>
      <c r="EB410" s="60" t="n">
        <f aca="false">IF(ABS(EA410)&lt;0.1*ABS(DZ410),DZ410-EA410,DZ410)</f>
        <v>0.91158844983184</v>
      </c>
      <c r="EC410" s="60" t="n">
        <f aca="false">-DN410/EB410</f>
        <v>0.0118376711504565</v>
      </c>
      <c r="ED410" s="60" t="n">
        <f aca="false">(DM410-EC410)/EB410</f>
        <v>-0.00347297415783941</v>
      </c>
      <c r="EE410" s="60" t="n">
        <f aca="false">ED410^2-4*EC410</f>
        <v>-0.0473386230523248</v>
      </c>
      <c r="EF410" s="60" t="n">
        <f aca="false">IF(EE410&gt;=0,(ED410+IF(ED410&gt;=0,1,-1)*SQRT(EE410))/2,0)</f>
        <v>0</v>
      </c>
      <c r="EG410" s="60" t="n">
        <f aca="false">IF(AND(EE410&gt;=0,EF410&lt;&gt;0),MIN(EF410,EC410/EF410),-1)</f>
        <v>-1</v>
      </c>
      <c r="EH410" s="60" t="n">
        <f aca="false">AND(EE410&gt;=0,EG410&gt;DK410,ABS(EB410-EG410)&gt;=0.00005*MAX(EB410,EG410))</f>
        <v>0</v>
      </c>
      <c r="EI410" s="60" t="n">
        <f aca="false">IF(EH410,IFERROR((((EG410+DL410)*EG410+DM410)*EG410+DN410)/((3*EG410+2*DL410)*EG410+DM410),0),0)</f>
        <v>0</v>
      </c>
      <c r="EJ410" s="60" t="n">
        <f aca="false">IF(ABS(EI410)&lt;0.1*ABS(EG410),EG410-EI410,EG410)</f>
        <v>-1</v>
      </c>
      <c r="EK410" s="60" t="n">
        <f aca="false">IF(EH410,IFERROR((((EJ410+DL410)*EJ410+DM410)*EJ410+DN410)/((3*EJ410+2*DL410)*EJ410+DM410),0),0)</f>
        <v>0</v>
      </c>
      <c r="EL410" s="60" t="n">
        <f aca="false">IF(ABS(EK410)&lt;0.1*ABS(EJ410),EJ410-EK410,EJ410)</f>
        <v>-1</v>
      </c>
      <c r="EM410" s="60" t="n">
        <f aca="false">IF(EH410,MAX(EB410,EL410),EB410)</f>
        <v>0.91158844983184</v>
      </c>
      <c r="EN410" s="60" t="n">
        <f aca="false">IF(EH410,MIN(EB410,EL410),-1)</f>
        <v>-1</v>
      </c>
      <c r="EO410" s="60" t="n">
        <f aca="false">CHOOSE($C$7,DJ410/EM410,DJ410/DK410*LN(1+DK410/EM410),DJ410/(2*SQRT(2)*DK410)*LN((EM410+(1+SQRT(2))*DK410)/(EM410+(1-SQRT(2))*DK410)))</f>
        <v>0.218240791233887</v>
      </c>
      <c r="EP410" s="60" t="n">
        <f aca="false">EM410-1-LN(EM410-DK410)-EO410</f>
        <v>-0.107840271021729</v>
      </c>
      <c r="EQ410" s="60" t="n">
        <f aca="false">IF(EH410,CHOOSE($C$7,DJ410/EN410,DJ410/DK410*LN(1+DK410/EN410),DJ410/(2*SQRT(2)*DK410)*LN((EN410+(1+SQRT(2))*DK410)/(EN410+(1-SQRT(2))*DK410))),0)</f>
        <v>0</v>
      </c>
      <c r="ER410" s="60" t="n">
        <f aca="false">IF(EH410,EN410-1-LN(EN410-DK410)-EQ410,0)</f>
        <v>0</v>
      </c>
      <c r="ES410" s="60" t="n">
        <f aca="false">AND(EH410,ER410&lt;EP410)</f>
        <v>0</v>
      </c>
      <c r="ET410" s="60" t="n">
        <f aca="false">IF(ES410,EN410,EM410)</f>
        <v>0.91158844983184</v>
      </c>
      <c r="EU410" s="60" t="n">
        <f aca="false">IF(ES410,EQ410,EO410)</f>
        <v>0.218240791233887</v>
      </c>
      <c r="EV410" s="60" t="n">
        <f aca="false">LN(ET410-DK410)</f>
        <v>-0.198812070380318</v>
      </c>
      <c r="EW410" s="60" t="n">
        <f aca="false">$E$27/DI410*(ET410-1)-EV410-EU410*(2*CV410/DH410-$E$27/DI410)</f>
        <v>-0.107840271021729</v>
      </c>
      <c r="EX410" s="60" t="n">
        <f aca="false">$F$27/DI410*(ET410-1)-EV410-EU410*(2*CW410/DH410-$F$27/DI410)</f>
        <v>0.198812070380318</v>
      </c>
      <c r="EY410" s="60" t="n">
        <f aca="false">$G$27/DI410*(ET410-1)-EV410-EU410*(2*CX410/DH410-$G$27/DI410)</f>
        <v>0.198812070380318</v>
      </c>
      <c r="EZ410" s="60" t="n">
        <f aca="false">$H$27/DI410*(ET410-1)-EV410-EU410*(2*CY410/DH410-$H$27/DI410)</f>
        <v>0.198812070380318</v>
      </c>
      <c r="FA410" s="60" t="n">
        <f aca="false">$I$27/DI410*(ET410-1)-EV410-EU410*(2*CZ410/DH410-$I$27/DI410)</f>
        <v>0.198812070380318</v>
      </c>
      <c r="FB410" s="60" t="n">
        <f aca="false">$J$27/DI410*(ET410-1)-EV410-EU410*(2*DA410/DH410-$J$27/DI410)</f>
        <v>0.198812070380318</v>
      </c>
      <c r="FC410" s="60" t="n">
        <f aca="false">$K$27/DI410*(ET410-1)-EV410-EU410*(2*DB410/DH410-$K$27/DI410)</f>
        <v>0.198812070380318</v>
      </c>
      <c r="FD410" s="60" t="n">
        <f aca="false">$L$27/DI410*(ET410-1)-EV410-EU410*(2*DC410/DH410-$L$27/DI410)</f>
        <v>0.198812070380318</v>
      </c>
      <c r="FE410" s="60" t="n">
        <f aca="false">$M$27/DI410*(ET410-1)-EV410-EU410*(2*DD410/DH410-$M$27/DI410)</f>
        <v>0.198812070380318</v>
      </c>
      <c r="FF410" s="60" t="n">
        <f aca="false">$N$27/DI410*(ET410-1)-EV410-EU410*(2*DE410/DH410-$N$27/DI410)</f>
        <v>0.198812070380318</v>
      </c>
      <c r="FG410" s="60" t="n">
        <f aca="false">$O$27/DI410*(ET410-1)-EV410-EU410*(2*DF410/DH410-$O$27/DI410)</f>
        <v>0.198812070380318</v>
      </c>
      <c r="FH410" s="60" t="n">
        <f aca="false">$P$27/DI410*(ET410-1)-EV410-EU410*(2*DG410/DH410-$P$27/DI410)</f>
        <v>0.198812070380318</v>
      </c>
      <c r="FI410" s="60" t="n">
        <f aca="false">DK410/ET410&gt;$C$22</f>
        <v>0</v>
      </c>
      <c r="FJ410" s="60" t="n">
        <f aca="false">$E$28*SUMPRODUCT($E$31:$P$31,CJ410:CU410,$E$28:$P$28)</f>
        <v>0.184416866619846</v>
      </c>
      <c r="FK410" s="60" t="n">
        <f aca="false">$F$28*SUMPRODUCT($E$32:$P$32,CJ410:CU410,$E$28:$P$28)</f>
        <v>0</v>
      </c>
      <c r="FL410" s="60" t="n">
        <f aca="false">$G$28*SUMPRODUCT($E$33:$P$33,CJ410:CU410,$E$28:$P$28)</f>
        <v>0</v>
      </c>
      <c r="FM410" s="60" t="n">
        <f aca="false">$H$28*SUMPRODUCT($E$34:$P$34,CJ410:CU410,$E$28:$P$28)</f>
        <v>0</v>
      </c>
      <c r="FN410" s="60" t="n">
        <f aca="false">$I$28*SUMPRODUCT($E$35:$P$35,CJ410:CU410,$E$28:$P$28)</f>
        <v>0</v>
      </c>
      <c r="FO410" s="60" t="n">
        <f aca="false">$J$28*SUMPRODUCT($E$36:$P$36,CJ410:CU410,$E$28:$P$28)</f>
        <v>0</v>
      </c>
      <c r="FP410" s="60" t="n">
        <f aca="false">$K$28*SUMPRODUCT($E$37:$P$37,CJ410:CU410,$E$28:$P$28)</f>
        <v>0</v>
      </c>
      <c r="FQ410" s="60" t="n">
        <f aca="false">$L$28*SUMPRODUCT($E$38:$P$38,CJ410:CU410,$E$28:$P$28)</f>
        <v>0</v>
      </c>
      <c r="FR410" s="60" t="n">
        <f aca="false">$M$28*SUMPRODUCT($E$39:$P$39,CJ410:CU410,$E$28:$P$28)</f>
        <v>0</v>
      </c>
      <c r="FS410" s="60" t="n">
        <f aca="false">$N$28*SUMPRODUCT($E$40:$P$40,CJ410:CU410,$E$28:$P$28)</f>
        <v>0</v>
      </c>
      <c r="FT410" s="60" t="n">
        <f aca="false">$O$28*SUMPRODUCT($E$41:$P$41,CJ410:CU410,$E$28:$P$28)</f>
        <v>0</v>
      </c>
      <c r="FU410" s="60" t="n">
        <f aca="false">$P$28*SUMPRODUCT($E$42:$P$42,CJ410:CU410,$E$28:$P$28)</f>
        <v>0</v>
      </c>
      <c r="FV410" s="60" t="n">
        <f aca="false">SUMPRODUCT(CJ410:CU410,FJ410:FU410)</f>
        <v>0.184416866619846</v>
      </c>
      <c r="FW410" s="60" t="n">
        <f aca="false">SUMPRODUCT(CJ410:CU410,$E$27:$P$27)</f>
        <v>2.67389635063809E-005</v>
      </c>
      <c r="FX410" s="60" t="n">
        <f aca="false">FV410*$C$9/($C$10*$C$8)^2</f>
        <v>0.21776909410545</v>
      </c>
      <c r="FY410" s="60" t="n">
        <f aca="false">FW410*$C$9/($C$10*$C$8)</f>
        <v>0.0918845243259994</v>
      </c>
      <c r="FZ410" s="60" t="n">
        <f aca="false">CHOOSE($C$7,-(1+FY410),-1,-(1-FY410))</f>
        <v>-0.908115475674001</v>
      </c>
      <c r="GA410" s="60" t="n">
        <f aca="false">CHOOSE($C$7,FX410,FX410-FY410-FY410^2,FX410-3*FY410^2-2*FY410)</f>
        <v>0.00867174802160559</v>
      </c>
      <c r="GB410" s="60" t="n">
        <f aca="false">CHOOSE($C$7,-FX410*FY410,-FX410*FY410,-(FX410*FY410-FY410^2-FY410^3))</f>
        <v>-0.0107910842936637</v>
      </c>
      <c r="GC410" s="60" t="n">
        <f aca="false">GA410-FZ410^2/3</f>
        <v>-0.266219491031267</v>
      </c>
      <c r="GD410" s="60" t="n">
        <f aca="false">2*FZ410^3/27-FZ410*GA410/3+GB410</f>
        <v>-0.0636400988362784</v>
      </c>
      <c r="GE410" s="60" t="n">
        <f aca="false">GD410^2/4+GC410^3/27</f>
        <v>0.000313710901361829</v>
      </c>
      <c r="GF410" s="60" t="n">
        <f aca="false">-GD410/2-IF(GD410&gt;=0,1,-1)*SQRT(MAX(GE410,0))</f>
        <v>0.0495319352963236</v>
      </c>
      <c r="GG410" s="60" t="n">
        <f aca="false">SIGN(GF410)*ABS(GF410)^(1/3)</f>
        <v>0.367249967174439</v>
      </c>
      <c r="GH410" s="60" t="n">
        <f aca="false">IF(GG410=0,0,GG410-GC410/(3*GG410))</f>
        <v>0.60888329127384</v>
      </c>
      <c r="GI410" s="60" t="n">
        <f aca="false">2*SQRT(MAX(-GC410,0)/3)</f>
        <v>0.595784626668918</v>
      </c>
      <c r="GJ410" s="60" t="n">
        <f aca="false">ACOS(IF(GI410=0,0,MAX(-1,MIN(1,3*GD410/(GC410*GI410)))))</f>
        <v>0</v>
      </c>
      <c r="GK410" s="60" t="n">
        <f aca="false">GI410*COS(GJ410/3)</f>
        <v>0.595784626668918</v>
      </c>
      <c r="GL410" s="60" t="n">
        <f aca="false">IF(GE410&lt;0,GK410,GH410)-FZ410/3</f>
        <v>0.91158844983184</v>
      </c>
      <c r="GM410" s="60" t="n">
        <f aca="false">IFERROR((((GL410+FZ410)*GL410+GA410)*GL410+GB410)/((3*GL410+2*FZ410)*GL410+GA410),0)</f>
        <v>0</v>
      </c>
      <c r="GN410" s="60" t="n">
        <f aca="false">IF(ABS(GM410)&lt;0.1*ABS(GL410),GL410-GM410,GL410)</f>
        <v>0.91158844983184</v>
      </c>
      <c r="GO410" s="60" t="n">
        <f aca="false">IFERROR((((GN410+FZ410)*GN410+GA410)*GN410+GB410)/((3*GN410+2*FZ410)*GN410+GA410),0)</f>
        <v>0</v>
      </c>
      <c r="GP410" s="60" t="n">
        <f aca="false">IF(ABS(GO410)&lt;0.1*ABS(GN410),GN410-GO410,GN410)</f>
        <v>0.91158844983184</v>
      </c>
      <c r="GQ410" s="60" t="n">
        <f aca="false">-GB410/GP410</f>
        <v>0.0118376711504565</v>
      </c>
      <c r="GR410" s="60" t="n">
        <f aca="false">(GA410-GQ410)/GP410</f>
        <v>-0.00347297415783941</v>
      </c>
      <c r="GS410" s="60" t="n">
        <f aca="false">GR410^2-4*GQ410</f>
        <v>-0.0473386230523248</v>
      </c>
      <c r="GT410" s="60" t="n">
        <f aca="false">IF(GS410&gt;=0,(GR410+IF(GR410&gt;=0,1,-1)*SQRT(GS410))/2,0)</f>
        <v>0</v>
      </c>
      <c r="GU410" s="60" t="n">
        <f aca="false">IF(AND(GS410&gt;=0,GT410&lt;&gt;0),MIN(GT410,GQ410/GT410),-1)</f>
        <v>-1</v>
      </c>
      <c r="GV410" s="60" t="n">
        <f aca="false">AND(GS410&gt;=0,GU410&gt;FY410,ABS(GP410-GU410)&gt;=0.00005*MAX(GP410,GU410))</f>
        <v>0</v>
      </c>
      <c r="GW410" s="60" t="n">
        <f aca="false">IF(GV410,IFERROR((((GU410+FZ410)*GU410+GA410)*GU410+GB410)/((3*GU410+2*FZ410)*GU410+GA410),0),0)</f>
        <v>0</v>
      </c>
      <c r="GX410" s="60" t="n">
        <f aca="false">IF(ABS(GW410)&lt;0.1*ABS(GU410),GU410-GW410,GU410)</f>
        <v>-1</v>
      </c>
      <c r="GY410" s="60" t="n">
        <f aca="false">IF(GV410,IFERROR((((GX410+FZ410)*GX410+GA410)*GX410+GB410)/((3*GX410+2*FZ410)*GX410+GA410),0),0)</f>
        <v>0</v>
      </c>
      <c r="GZ410" s="60" t="n">
        <f aca="false">IF(ABS(GY410)&lt;0.1*ABS(GX410),GX410-GY410,GX410)</f>
        <v>-1</v>
      </c>
      <c r="HA410" s="60" t="n">
        <f aca="false">IF(GV410,MAX(GP410,GZ410),GP410)</f>
        <v>0.91158844983184</v>
      </c>
      <c r="HB410" s="60" t="n">
        <f aca="false">IF(GV410,MIN(GP410,GZ410),-1)</f>
        <v>-1</v>
      </c>
      <c r="HC410" s="60" t="n">
        <f aca="false">CHOOSE($C$7,FX410/HA410,FX410/FY410*LN(1+FY410/HA410),FX410/(2*SQRT(2)*FY410)*LN((HA410+(1+SQRT(2))*FY410)/(HA410+(1-SQRT(2))*FY410)))</f>
        <v>0.218240791233887</v>
      </c>
      <c r="HD410" s="60" t="n">
        <f aca="false">HA410-1-LN(HA410-FY410)-HC410</f>
        <v>-0.107840271021729</v>
      </c>
      <c r="HE410" s="60" t="n">
        <f aca="false">IF(GV410,CHOOSE($C$7,FX410/HB410,FX410/FY410*LN(1+FY410/HB410),FX410/(2*SQRT(2)*FY410)*LN((HB410+(1+SQRT(2))*FY410)/(HB410+(1-SQRT(2))*FY410))),0)</f>
        <v>0</v>
      </c>
      <c r="HF410" s="60" t="n">
        <f aca="false">IF(GV410,HB410-1-LN(HB410-FY410)-HE410,0)</f>
        <v>0</v>
      </c>
      <c r="HG410" s="60" t="n">
        <f aca="false">AND(GV410,HF410&lt;HD410)</f>
        <v>0</v>
      </c>
      <c r="HH410" s="60" t="n">
        <f aca="false">IF(HG410,HB410,HA410)</f>
        <v>0.91158844983184</v>
      </c>
      <c r="HI410" s="60" t="n">
        <f aca="false">IF(HG410,HE410,HC410)</f>
        <v>0.218240791233887</v>
      </c>
      <c r="HJ410" s="60" t="n">
        <f aca="false">LN(HH410-FY410)</f>
        <v>-0.198812070380318</v>
      </c>
      <c r="HK410" s="60" t="n">
        <f aca="false">$E$27/FW410*(HH410-1)-HJ410-HI410*(2*FJ410/FV410-$E$27/FW410)</f>
        <v>-0.107840271021729</v>
      </c>
      <c r="HL410" s="60" t="n">
        <f aca="false">$F$27/FW410*(HH410-1)-HJ410-HI410*(2*FK410/FV410-$F$27/FW410)</f>
        <v>0.198812070380318</v>
      </c>
      <c r="HM410" s="60" t="n">
        <f aca="false">$G$27/FW410*(HH410-1)-HJ410-HI410*(2*FL410/FV410-$G$27/FW410)</f>
        <v>0.198812070380318</v>
      </c>
      <c r="HN410" s="60" t="n">
        <f aca="false">$H$27/FW410*(HH410-1)-HJ410-HI410*(2*FM410/FV410-$H$27/FW410)</f>
        <v>0.198812070380318</v>
      </c>
      <c r="HO410" s="60" t="n">
        <f aca="false">$I$27/FW410*(HH410-1)-HJ410-HI410*(2*FN410/FV410-$I$27/FW410)</f>
        <v>0.198812070380318</v>
      </c>
      <c r="HP410" s="60" t="n">
        <f aca="false">$J$27/FW410*(HH410-1)-HJ410-HI410*(2*FO410/FV410-$J$27/FW410)</f>
        <v>0.198812070380318</v>
      </c>
      <c r="HQ410" s="60" t="n">
        <f aca="false">$K$27/FW410*(HH410-1)-HJ410-HI410*(2*FP410/FV410-$K$27/FW410)</f>
        <v>0.198812070380318</v>
      </c>
      <c r="HR410" s="60" t="n">
        <f aca="false">$L$27/FW410*(HH410-1)-HJ410-HI410*(2*FQ410/FV410-$L$27/FW410)</f>
        <v>0.198812070380318</v>
      </c>
      <c r="HS410" s="60" t="n">
        <f aca="false">$M$27/FW410*(HH410-1)-HJ410-HI410*(2*FR410/FV410-$M$27/FW410)</f>
        <v>0.198812070380318</v>
      </c>
      <c r="HT410" s="60" t="n">
        <f aca="false">$N$27/FW410*(HH410-1)-HJ410-HI410*(2*FS410/FV410-$N$27/FW410)</f>
        <v>0.198812070380318</v>
      </c>
      <c r="HU410" s="60" t="n">
        <f aca="false">$O$27/FW410*(HH410-1)-HJ410-HI410*(2*FT410/FV410-$O$27/FW410)</f>
        <v>0.198812070380318</v>
      </c>
      <c r="HV410" s="60" t="n">
        <f aca="false">$P$27/FW410*(HH410-1)-HJ410-HI410*(2*FU410/FV410-$P$27/FW410)</f>
        <v>0.198812070380318</v>
      </c>
      <c r="HW410" s="60" t="n">
        <f aca="false">FY410/HH410&gt;$C$22</f>
        <v>0</v>
      </c>
      <c r="HX410" s="60" t="n">
        <f aca="false">IF($E$13&gt;0,MAX(-300,MIN(300,EW410-HK410)),0)</f>
        <v>0</v>
      </c>
      <c r="HY410" s="60" t="n">
        <f aca="false">IF($F$13&gt;0,MAX(-300,MIN(300,EX410-HL410)),0)</f>
        <v>0</v>
      </c>
      <c r="HZ410" s="60" t="n">
        <f aca="false">IF($G$13&gt;0,MAX(-300,MIN(300,EY410-HM410)),0)</f>
        <v>0</v>
      </c>
      <c r="IA410" s="60" t="n">
        <f aca="false">IF($H$13&gt;0,MAX(-300,MIN(300,EZ410-HN410)),0)</f>
        <v>0</v>
      </c>
      <c r="IB410" s="60" t="n">
        <f aca="false">IF($I$13&gt;0,MAX(-300,MIN(300,FA410-HO410)),0)</f>
        <v>0</v>
      </c>
      <c r="IC410" s="60" t="n">
        <f aca="false">IF($J$13&gt;0,MAX(-300,MIN(300,FB410-HP410)),0)</f>
        <v>0</v>
      </c>
      <c r="ID410" s="60" t="n">
        <f aca="false">IF($K$13&gt;0,MAX(-300,MIN(300,FC410-HQ410)),0)</f>
        <v>0</v>
      </c>
      <c r="IE410" s="60" t="n">
        <f aca="false">IF($L$13&gt;0,MAX(-300,MIN(300,FD410-HR410)),0)</f>
        <v>0</v>
      </c>
      <c r="IF410" s="60" t="n">
        <f aca="false">IF($M$13&gt;0,MAX(-300,MIN(300,FE410-HS410)),0)</f>
        <v>0</v>
      </c>
      <c r="IG410" s="60" t="n">
        <f aca="false">IF($N$13&gt;0,MAX(-300,MIN(300,FF410-HT410)),0)</f>
        <v>0</v>
      </c>
      <c r="IH410" s="60" t="n">
        <f aca="false">IF($O$13&gt;0,MAX(-300,MIN(300,FG410-HU410)),0)</f>
        <v>0</v>
      </c>
      <c r="II410" s="60" t="n">
        <f aca="false">IF($P$13&gt;0,MAX(-300,MIN(300,FH410-HV410)),0)</f>
        <v>0</v>
      </c>
      <c r="IJ410" s="60" t="n">
        <f aca="false">SUMXMY2(HX410:II410,B410:M410)</f>
        <v>0</v>
      </c>
      <c r="IK410" s="60" t="n">
        <f aca="false">SUMSQ(B410:M410)</f>
        <v>0</v>
      </c>
    </row>
    <row r="411" customFormat="false" ht="15" hidden="false" customHeight="false" outlineLevel="0" collapsed="false">
      <c r="A411" s="59" t="n">
        <v>50</v>
      </c>
      <c r="B411" s="60" t="n">
        <f aca="false">HX410</f>
        <v>0</v>
      </c>
      <c r="C411" s="60" t="n">
        <f aca="false">HY410</f>
        <v>0</v>
      </c>
      <c r="D411" s="60" t="n">
        <f aca="false">HZ410</f>
        <v>0</v>
      </c>
      <c r="E411" s="60" t="n">
        <f aca="false">IA410</f>
        <v>0</v>
      </c>
      <c r="F411" s="60" t="n">
        <f aca="false">IB410</f>
        <v>0</v>
      </c>
      <c r="G411" s="60" t="n">
        <f aca="false">IC410</f>
        <v>0</v>
      </c>
      <c r="H411" s="60" t="n">
        <f aca="false">ID410</f>
        <v>0</v>
      </c>
      <c r="I411" s="60" t="n">
        <f aca="false">IE410</f>
        <v>0</v>
      </c>
      <c r="J411" s="60" t="n">
        <f aca="false">IF410</f>
        <v>0</v>
      </c>
      <c r="K411" s="60" t="n">
        <f aca="false">IG410</f>
        <v>0</v>
      </c>
      <c r="L411" s="60" t="n">
        <f aca="false">IH410</f>
        <v>0</v>
      </c>
      <c r="M411" s="60" t="n">
        <f aca="false">II410</f>
        <v>0</v>
      </c>
      <c r="N411" s="60" t="n">
        <f aca="false">EXP(B411)</f>
        <v>1</v>
      </c>
      <c r="O411" s="60" t="n">
        <f aca="false">EXP(C411)</f>
        <v>1</v>
      </c>
      <c r="P411" s="60" t="n">
        <f aca="false">EXP(D411)</f>
        <v>1</v>
      </c>
      <c r="Q411" s="60" t="n">
        <f aca="false">EXP(E411)</f>
        <v>1</v>
      </c>
      <c r="R411" s="60" t="n">
        <f aca="false">EXP(F411)</f>
        <v>1</v>
      </c>
      <c r="S411" s="60" t="n">
        <f aca="false">EXP(G411)</f>
        <v>1</v>
      </c>
      <c r="T411" s="60" t="n">
        <f aca="false">EXP(H411)</f>
        <v>1</v>
      </c>
      <c r="U411" s="60" t="n">
        <f aca="false">EXP(I411)</f>
        <v>1</v>
      </c>
      <c r="V411" s="60" t="n">
        <f aca="false">EXP(J411)</f>
        <v>1</v>
      </c>
      <c r="W411" s="60" t="n">
        <f aca="false">EXP(K411)</f>
        <v>1</v>
      </c>
      <c r="X411" s="60" t="n">
        <f aca="false">EXP(L411)</f>
        <v>1</v>
      </c>
      <c r="Y411" s="60" t="n">
        <f aca="false">EXP(M411)</f>
        <v>1</v>
      </c>
      <c r="Z411" s="60" t="n">
        <f aca="false">MAX(N411:Y411)</f>
        <v>1</v>
      </c>
      <c r="AA411" s="60" t="n">
        <f aca="false">MIN(N411:Y411)</f>
        <v>1</v>
      </c>
      <c r="AB411" s="60" t="n">
        <f aca="false">AND(Z411&gt;1,AA411&lt;1)</f>
        <v>0</v>
      </c>
      <c r="AC411" s="60" t="n">
        <f aca="false">IF(AB411,1/(1-Z411),0)</f>
        <v>0</v>
      </c>
      <c r="AD411" s="60" t="n">
        <f aca="false">IF(AB411,1/(1-AA411),1)</f>
        <v>1</v>
      </c>
      <c r="AE411" s="60" t="n">
        <f aca="false">IF(AB411,MIN(MAX(BI410,AC411+0.000000001*(AD411-AC411)),AD411-0.000000001*(AD411-AC411)),IF(AA411&gt;=1,1,0))</f>
        <v>1</v>
      </c>
      <c r="AF411" s="60" t="n">
        <f aca="false">SUMPRODUCT($E$13:$P$13*(N411:Y411-1)/(1+AE411*(N411:Y411-1)))</f>
        <v>0</v>
      </c>
      <c r="AG411" s="60" t="n">
        <f aca="false">-SUMPRODUCT($E$13:$P$13*(N411:Y411-1)^2/(1+AE411*(N411:Y411-1))^2)</f>
        <v>-0</v>
      </c>
      <c r="AH411" s="60" t="n">
        <f aca="false">IF(OR(NOT(AB411),AG411=0),AE411,IF(AE411-AF411/AG411&lt;=AC411,(AE411+AC411)/2,IF(AE411-AF411/AG411&gt;=AD411,(AE411+AD411)/2,AE411-AF411/AG411)))</f>
        <v>1</v>
      </c>
      <c r="AI411" s="60" t="n">
        <f aca="false">SUMPRODUCT($E$13:$P$13*(N411:Y411-1)/(1+AH411*(N411:Y411-1)))</f>
        <v>0</v>
      </c>
      <c r="AJ411" s="60" t="n">
        <f aca="false">-SUMPRODUCT($E$13:$P$13*(N411:Y411-1)^2/(1+AH411*(N411:Y411-1))^2)</f>
        <v>-0</v>
      </c>
      <c r="AK411" s="60" t="n">
        <f aca="false">IF(OR(NOT(AB411),AJ411=0),AH411,IF(AH411-AI411/AJ411&lt;=AC411,(AH411+AC411)/2,IF(AH411-AI411/AJ411&gt;=AD411,(AH411+AD411)/2,AH411-AI411/AJ411)))</f>
        <v>1</v>
      </c>
      <c r="AL411" s="60" t="n">
        <f aca="false">SUMPRODUCT($E$13:$P$13*(N411:Y411-1)/(1+AK411*(N411:Y411-1)))</f>
        <v>0</v>
      </c>
      <c r="AM411" s="60" t="n">
        <f aca="false">-SUMPRODUCT($E$13:$P$13*(N411:Y411-1)^2/(1+AK411*(N411:Y411-1))^2)</f>
        <v>-0</v>
      </c>
      <c r="AN411" s="60" t="n">
        <f aca="false">IF(OR(NOT(AB411),AM411=0),AK411,IF(AK411-AL411/AM411&lt;=AC411,(AK411+AC411)/2,IF(AK411-AL411/AM411&gt;=AD411,(AK411+AD411)/2,AK411-AL411/AM411)))</f>
        <v>1</v>
      </c>
      <c r="AO411" s="60" t="n">
        <f aca="false">SUMPRODUCT($E$13:$P$13*(N411:Y411-1)/(1+AN411*(N411:Y411-1)))</f>
        <v>0</v>
      </c>
      <c r="AP411" s="60" t="n">
        <f aca="false">-SUMPRODUCT($E$13:$P$13*(N411:Y411-1)^2/(1+AN411*(N411:Y411-1))^2)</f>
        <v>-0</v>
      </c>
      <c r="AQ411" s="60" t="n">
        <f aca="false">IF(OR(NOT(AB411),AP411=0),AN411,IF(AN411-AO411/AP411&lt;=AC411,(AN411+AC411)/2,IF(AN411-AO411/AP411&gt;=AD411,(AN411+AD411)/2,AN411-AO411/AP411)))</f>
        <v>1</v>
      </c>
      <c r="AR411" s="60" t="n">
        <f aca="false">SUMPRODUCT($E$13:$P$13*(N411:Y411-1)/(1+AQ411*(N411:Y411-1)))</f>
        <v>0</v>
      </c>
      <c r="AS411" s="60" t="n">
        <f aca="false">-SUMPRODUCT($E$13:$P$13*(N411:Y411-1)^2/(1+AQ411*(N411:Y411-1))^2)</f>
        <v>-0</v>
      </c>
      <c r="AT411" s="60" t="n">
        <f aca="false">IF(OR(NOT(AB411),AS411=0),AQ411,IF(AQ411-AR411/AS411&lt;=AC411,(AQ411+AC411)/2,IF(AQ411-AR411/AS411&gt;=AD411,(AQ411+AD411)/2,AQ411-AR411/AS411)))</f>
        <v>1</v>
      </c>
      <c r="AU411" s="60" t="n">
        <f aca="false">SUMPRODUCT($E$13:$P$13*(N411:Y411-1)/(1+AT411*(N411:Y411-1)))</f>
        <v>0</v>
      </c>
      <c r="AV411" s="60" t="n">
        <f aca="false">-SUMPRODUCT($E$13:$P$13*(N411:Y411-1)^2/(1+AT411*(N411:Y411-1))^2)</f>
        <v>-0</v>
      </c>
      <c r="AW411" s="60" t="n">
        <f aca="false">IF(OR(NOT(AB411),AV411=0),AT411,IF(AT411-AU411/AV411&lt;=AC411,(AT411+AC411)/2,IF(AT411-AU411/AV411&gt;=AD411,(AT411+AD411)/2,AT411-AU411/AV411)))</f>
        <v>1</v>
      </c>
      <c r="AX411" s="60" t="n">
        <f aca="false">SUMPRODUCT($E$13:$P$13*(N411:Y411-1)/(1+AW411*(N411:Y411-1)))</f>
        <v>0</v>
      </c>
      <c r="AY411" s="60" t="n">
        <f aca="false">-SUMPRODUCT($E$13:$P$13*(N411:Y411-1)^2/(1+AW411*(N411:Y411-1))^2)</f>
        <v>-0</v>
      </c>
      <c r="AZ411" s="60" t="n">
        <f aca="false">IF(OR(NOT(AB411),AY411=0),AW411,IF(AW411-AX411/AY411&lt;=AC411,(AW411+AC411)/2,IF(AW411-AX411/AY411&gt;=AD411,(AW411+AD411)/2,AW411-AX411/AY411)))</f>
        <v>1</v>
      </c>
      <c r="BA411" s="60" t="n">
        <f aca="false">SUMPRODUCT($E$13:$P$13*(N411:Y411-1)/(1+AZ411*(N411:Y411-1)))</f>
        <v>0</v>
      </c>
      <c r="BB411" s="60" t="n">
        <f aca="false">-SUMPRODUCT($E$13:$P$13*(N411:Y411-1)^2/(1+AZ411*(N411:Y411-1))^2)</f>
        <v>-0</v>
      </c>
      <c r="BC411" s="60" t="n">
        <f aca="false">IF(OR(NOT(AB411),BB411=0),AZ411,IF(AZ411-BA411/BB411&lt;=AC411,(AZ411+AC411)/2,IF(AZ411-BA411/BB411&gt;=AD411,(AZ411+AD411)/2,AZ411-BA411/BB411)))</f>
        <v>1</v>
      </c>
      <c r="BD411" s="60" t="n">
        <f aca="false">SUMPRODUCT($E$13:$P$13*(N411:Y411-1)/(1+BC411*(N411:Y411-1)))</f>
        <v>0</v>
      </c>
      <c r="BE411" s="60" t="n">
        <f aca="false">-SUMPRODUCT($E$13:$P$13*(N411:Y411-1)^2/(1+BC411*(N411:Y411-1))^2)</f>
        <v>-0</v>
      </c>
      <c r="BF411" s="60" t="n">
        <f aca="false">IF(OR(NOT(AB411),BE411=0),BC411,IF(BC411-BD411/BE411&lt;=AC411,(BC411+AC411)/2,IF(BC411-BD411/BE411&gt;=AD411,(BC411+AD411)/2,BC411-BD411/BE411)))</f>
        <v>1</v>
      </c>
      <c r="BG411" s="60" t="n">
        <f aca="false">SUMPRODUCT($E$13:$P$13*(N411:Y411-1)/(1+BF411*(N411:Y411-1)))</f>
        <v>0</v>
      </c>
      <c r="BH411" s="60" t="n">
        <f aca="false">-SUMPRODUCT($E$13:$P$13*(N411:Y411-1)^2/(1+BF411*(N411:Y411-1))^2)</f>
        <v>-0</v>
      </c>
      <c r="BI411" s="60" t="n">
        <f aca="false">IF(OR(NOT(AB411),BH411=0),BF411,IF(BF411-BG411/BH411&lt;=AC411,(BF411+AC411)/2,IF(BF411-BG411/BH411&gt;=AD411,(BF411+AD411)/2,BF411-BG411/BH411)))</f>
        <v>1</v>
      </c>
      <c r="BJ411" s="60" t="n">
        <f aca="false">$E$13/(1+BI411*(N411-1))</f>
        <v>1</v>
      </c>
      <c r="BK411" s="60" t="n">
        <f aca="false">$F$13/(1+BI411*(O411-1))</f>
        <v>0</v>
      </c>
      <c r="BL411" s="60" t="n">
        <f aca="false">$G$13/(1+BI411*(P411-1))</f>
        <v>0</v>
      </c>
      <c r="BM411" s="60" t="n">
        <f aca="false">$H$13/(1+BI411*(Q411-1))</f>
        <v>0</v>
      </c>
      <c r="BN411" s="60" t="n">
        <f aca="false">$I$13/(1+BI411*(R411-1))</f>
        <v>0</v>
      </c>
      <c r="BO411" s="60" t="n">
        <f aca="false">$J$13/(1+BI411*(S411-1))</f>
        <v>0</v>
      </c>
      <c r="BP411" s="60" t="n">
        <f aca="false">$K$13/(1+BI411*(T411-1))</f>
        <v>0</v>
      </c>
      <c r="BQ411" s="60" t="n">
        <f aca="false">$L$13/(1+BI411*(U411-1))</f>
        <v>0</v>
      </c>
      <c r="BR411" s="60" t="n">
        <f aca="false">$M$13/(1+BI411*(V411-1))</f>
        <v>0</v>
      </c>
      <c r="BS411" s="60" t="n">
        <f aca="false">$N$13/(1+BI411*(W411-1))</f>
        <v>0</v>
      </c>
      <c r="BT411" s="60" t="n">
        <f aca="false">$O$13/(1+BI411*(X411-1))</f>
        <v>0</v>
      </c>
      <c r="BU411" s="60" t="n">
        <f aca="false">$P$13/(1+BI411*(Y411-1))</f>
        <v>0</v>
      </c>
      <c r="BV411" s="60" t="n">
        <f aca="false">SUM(BJ411:BU411)</f>
        <v>1</v>
      </c>
      <c r="BW411" s="60" t="n">
        <f aca="false">SUMPRODUCT(N411:Y411,BJ411:BU411)</f>
        <v>1</v>
      </c>
      <c r="BX411" s="60" t="n">
        <f aca="false">BJ411/BV411</f>
        <v>1</v>
      </c>
      <c r="BY411" s="60" t="n">
        <f aca="false">BK411/BV411</f>
        <v>0</v>
      </c>
      <c r="BZ411" s="60" t="n">
        <f aca="false">BL411/BV411</f>
        <v>0</v>
      </c>
      <c r="CA411" s="60" t="n">
        <f aca="false">BM411/BV411</f>
        <v>0</v>
      </c>
      <c r="CB411" s="60" t="n">
        <f aca="false">BN411/BV411</f>
        <v>0</v>
      </c>
      <c r="CC411" s="60" t="n">
        <f aca="false">BO411/BV411</f>
        <v>0</v>
      </c>
      <c r="CD411" s="60" t="n">
        <f aca="false">BP411/BV411</f>
        <v>0</v>
      </c>
      <c r="CE411" s="60" t="n">
        <f aca="false">BQ411/BV411</f>
        <v>0</v>
      </c>
      <c r="CF411" s="60" t="n">
        <f aca="false">BR411/BV411</f>
        <v>0</v>
      </c>
      <c r="CG411" s="60" t="n">
        <f aca="false">BS411/BV411</f>
        <v>0</v>
      </c>
      <c r="CH411" s="60" t="n">
        <f aca="false">BT411/BV411</f>
        <v>0</v>
      </c>
      <c r="CI411" s="60" t="n">
        <f aca="false">BU411/BV411</f>
        <v>0</v>
      </c>
      <c r="CJ411" s="60" t="n">
        <f aca="false">N411*BJ411/BW411</f>
        <v>1</v>
      </c>
      <c r="CK411" s="60" t="n">
        <f aca="false">O411*BK411/BW411</f>
        <v>0</v>
      </c>
      <c r="CL411" s="60" t="n">
        <f aca="false">P411*BL411/BW411</f>
        <v>0</v>
      </c>
      <c r="CM411" s="60" t="n">
        <f aca="false">Q411*BM411/BW411</f>
        <v>0</v>
      </c>
      <c r="CN411" s="60" t="n">
        <f aca="false">R411*BN411/BW411</f>
        <v>0</v>
      </c>
      <c r="CO411" s="60" t="n">
        <f aca="false">S411*BO411/BW411</f>
        <v>0</v>
      </c>
      <c r="CP411" s="60" t="n">
        <f aca="false">T411*BP411/BW411</f>
        <v>0</v>
      </c>
      <c r="CQ411" s="60" t="n">
        <f aca="false">U411*BQ411/BW411</f>
        <v>0</v>
      </c>
      <c r="CR411" s="60" t="n">
        <f aca="false">V411*BR411/BW411</f>
        <v>0</v>
      </c>
      <c r="CS411" s="60" t="n">
        <f aca="false">W411*BS411/BW411</f>
        <v>0</v>
      </c>
      <c r="CT411" s="60" t="n">
        <f aca="false">X411*BT411/BW411</f>
        <v>0</v>
      </c>
      <c r="CU411" s="60" t="n">
        <f aca="false">Y411*BU411/BW411</f>
        <v>0</v>
      </c>
      <c r="CV411" s="60" t="n">
        <f aca="false">$E$28*SUMPRODUCT($E$31:$P$31,BX411:CI411,$E$28:$P$28)</f>
        <v>0.184416866619846</v>
      </c>
      <c r="CW411" s="60" t="n">
        <f aca="false">$F$28*SUMPRODUCT($E$32:$P$32,BX411:CI411,$E$28:$P$28)</f>
        <v>0</v>
      </c>
      <c r="CX411" s="60" t="n">
        <f aca="false">$G$28*SUMPRODUCT($E$33:$P$33,BX411:CI411,$E$28:$P$28)</f>
        <v>0</v>
      </c>
      <c r="CY411" s="60" t="n">
        <f aca="false">$H$28*SUMPRODUCT($E$34:$P$34,BX411:CI411,$E$28:$P$28)</f>
        <v>0</v>
      </c>
      <c r="CZ411" s="60" t="n">
        <f aca="false">$I$28*SUMPRODUCT($E$35:$P$35,BX411:CI411,$E$28:$P$28)</f>
        <v>0</v>
      </c>
      <c r="DA411" s="60" t="n">
        <f aca="false">$J$28*SUMPRODUCT($E$36:$P$36,BX411:CI411,$E$28:$P$28)</f>
        <v>0</v>
      </c>
      <c r="DB411" s="60" t="n">
        <f aca="false">$K$28*SUMPRODUCT($E$37:$P$37,BX411:CI411,$E$28:$P$28)</f>
        <v>0</v>
      </c>
      <c r="DC411" s="60" t="n">
        <f aca="false">$L$28*SUMPRODUCT($E$38:$P$38,BX411:CI411,$E$28:$P$28)</f>
        <v>0</v>
      </c>
      <c r="DD411" s="60" t="n">
        <f aca="false">$M$28*SUMPRODUCT($E$39:$P$39,BX411:CI411,$E$28:$P$28)</f>
        <v>0</v>
      </c>
      <c r="DE411" s="60" t="n">
        <f aca="false">$N$28*SUMPRODUCT($E$40:$P$40,BX411:CI411,$E$28:$P$28)</f>
        <v>0</v>
      </c>
      <c r="DF411" s="60" t="n">
        <f aca="false">$O$28*SUMPRODUCT($E$41:$P$41,BX411:CI411,$E$28:$P$28)</f>
        <v>0</v>
      </c>
      <c r="DG411" s="60" t="n">
        <f aca="false">$P$28*SUMPRODUCT($E$42:$P$42,BX411:CI411,$E$28:$P$28)</f>
        <v>0</v>
      </c>
      <c r="DH411" s="60" t="n">
        <f aca="false">SUMPRODUCT(BX411:CI411,CV411:DG411)</f>
        <v>0.184416866619846</v>
      </c>
      <c r="DI411" s="60" t="n">
        <f aca="false">SUMPRODUCT(BX411:CI411,$E$27:$P$27)</f>
        <v>2.67389635063809E-005</v>
      </c>
      <c r="DJ411" s="60" t="n">
        <f aca="false">DH411*$C$9/($C$10*$C$8)^2</f>
        <v>0.21776909410545</v>
      </c>
      <c r="DK411" s="60" t="n">
        <f aca="false">DI411*$C$9/($C$10*$C$8)</f>
        <v>0.0918845243259994</v>
      </c>
      <c r="DL411" s="60" t="n">
        <f aca="false">CHOOSE($C$7,-(1+DK411),-1,-(1-DK411))</f>
        <v>-0.908115475674001</v>
      </c>
      <c r="DM411" s="60" t="n">
        <f aca="false">CHOOSE($C$7,DJ411,DJ411-DK411-DK411^2,DJ411-3*DK411^2-2*DK411)</f>
        <v>0.00867174802160559</v>
      </c>
      <c r="DN411" s="60" t="n">
        <f aca="false">CHOOSE($C$7,-DJ411*DK411,-DJ411*DK411,-(DJ411*DK411-DK411^2-DK411^3))</f>
        <v>-0.0107910842936637</v>
      </c>
      <c r="DO411" s="60" t="n">
        <f aca="false">DM411-DL411^2/3</f>
        <v>-0.266219491031267</v>
      </c>
      <c r="DP411" s="60" t="n">
        <f aca="false">2*DL411^3/27-DL411*DM411/3+DN411</f>
        <v>-0.0636400988362784</v>
      </c>
      <c r="DQ411" s="60" t="n">
        <f aca="false">DP411^2/4+DO411^3/27</f>
        <v>0.000313710901361829</v>
      </c>
      <c r="DR411" s="60" t="n">
        <f aca="false">-DP411/2-IF(DP411&gt;=0,1,-1)*SQRT(MAX(DQ411,0))</f>
        <v>0.0495319352963236</v>
      </c>
      <c r="DS411" s="60" t="n">
        <f aca="false">SIGN(DR411)*ABS(DR411)^(1/3)</f>
        <v>0.367249967174439</v>
      </c>
      <c r="DT411" s="60" t="n">
        <f aca="false">IF(DS411=0,0,DS411-DO411/(3*DS411))</f>
        <v>0.60888329127384</v>
      </c>
      <c r="DU411" s="60" t="n">
        <f aca="false">2*SQRT(MAX(-DO411,0)/3)</f>
        <v>0.595784626668918</v>
      </c>
      <c r="DV411" s="60" t="n">
        <f aca="false">ACOS(IF(DU411=0,0,MAX(-1,MIN(1,3*DP411/(DO411*DU411)))))</f>
        <v>0</v>
      </c>
      <c r="DW411" s="60" t="n">
        <f aca="false">DU411*COS(DV411/3)</f>
        <v>0.595784626668918</v>
      </c>
      <c r="DX411" s="60" t="n">
        <f aca="false">IF(DQ411&lt;0,DW411,DT411)-DL411/3</f>
        <v>0.91158844983184</v>
      </c>
      <c r="DY411" s="60" t="n">
        <f aca="false">IFERROR((((DX411+DL411)*DX411+DM411)*DX411+DN411)/((3*DX411+2*DL411)*DX411+DM411),0)</f>
        <v>0</v>
      </c>
      <c r="DZ411" s="60" t="n">
        <f aca="false">IF(ABS(DY411)&lt;0.1*ABS(DX411),DX411-DY411,DX411)</f>
        <v>0.91158844983184</v>
      </c>
      <c r="EA411" s="60" t="n">
        <f aca="false">IFERROR((((DZ411+DL411)*DZ411+DM411)*DZ411+DN411)/((3*DZ411+2*DL411)*DZ411+DM411),0)</f>
        <v>0</v>
      </c>
      <c r="EB411" s="60" t="n">
        <f aca="false">IF(ABS(EA411)&lt;0.1*ABS(DZ411),DZ411-EA411,DZ411)</f>
        <v>0.91158844983184</v>
      </c>
      <c r="EC411" s="60" t="n">
        <f aca="false">-DN411/EB411</f>
        <v>0.0118376711504565</v>
      </c>
      <c r="ED411" s="60" t="n">
        <f aca="false">(DM411-EC411)/EB411</f>
        <v>-0.00347297415783941</v>
      </c>
      <c r="EE411" s="60" t="n">
        <f aca="false">ED411^2-4*EC411</f>
        <v>-0.0473386230523248</v>
      </c>
      <c r="EF411" s="60" t="n">
        <f aca="false">IF(EE411&gt;=0,(ED411+IF(ED411&gt;=0,1,-1)*SQRT(EE411))/2,0)</f>
        <v>0</v>
      </c>
      <c r="EG411" s="60" t="n">
        <f aca="false">IF(AND(EE411&gt;=0,EF411&lt;&gt;0),MIN(EF411,EC411/EF411),-1)</f>
        <v>-1</v>
      </c>
      <c r="EH411" s="60" t="n">
        <f aca="false">AND(EE411&gt;=0,EG411&gt;DK411,ABS(EB411-EG411)&gt;=0.00005*MAX(EB411,EG411))</f>
        <v>0</v>
      </c>
      <c r="EI411" s="60" t="n">
        <f aca="false">IF(EH411,IFERROR((((EG411+DL411)*EG411+DM411)*EG411+DN411)/((3*EG411+2*DL411)*EG411+DM411),0),0)</f>
        <v>0</v>
      </c>
      <c r="EJ411" s="60" t="n">
        <f aca="false">IF(ABS(EI411)&lt;0.1*ABS(EG411),EG411-EI411,EG411)</f>
        <v>-1</v>
      </c>
      <c r="EK411" s="60" t="n">
        <f aca="false">IF(EH411,IFERROR((((EJ411+DL411)*EJ411+DM411)*EJ411+DN411)/((3*EJ411+2*DL411)*EJ411+DM411),0),0)</f>
        <v>0</v>
      </c>
      <c r="EL411" s="60" t="n">
        <f aca="false">IF(ABS(EK411)&lt;0.1*ABS(EJ411),EJ411-EK411,EJ411)</f>
        <v>-1</v>
      </c>
      <c r="EM411" s="60" t="n">
        <f aca="false">IF(EH411,MAX(EB411,EL411),EB411)</f>
        <v>0.91158844983184</v>
      </c>
      <c r="EN411" s="60" t="n">
        <f aca="false">IF(EH411,MIN(EB411,EL411),-1)</f>
        <v>-1</v>
      </c>
      <c r="EO411" s="60" t="n">
        <f aca="false">CHOOSE($C$7,DJ411/EM411,DJ411/DK411*LN(1+DK411/EM411),DJ411/(2*SQRT(2)*DK411)*LN((EM411+(1+SQRT(2))*DK411)/(EM411+(1-SQRT(2))*DK411)))</f>
        <v>0.218240791233887</v>
      </c>
      <c r="EP411" s="60" t="n">
        <f aca="false">EM411-1-LN(EM411-DK411)-EO411</f>
        <v>-0.107840271021729</v>
      </c>
      <c r="EQ411" s="60" t="n">
        <f aca="false">IF(EH411,CHOOSE($C$7,DJ411/EN411,DJ411/DK411*LN(1+DK411/EN411),DJ411/(2*SQRT(2)*DK411)*LN((EN411+(1+SQRT(2))*DK411)/(EN411+(1-SQRT(2))*DK411))),0)</f>
        <v>0</v>
      </c>
      <c r="ER411" s="60" t="n">
        <f aca="false">IF(EH411,EN411-1-LN(EN411-DK411)-EQ411,0)</f>
        <v>0</v>
      </c>
      <c r="ES411" s="60" t="n">
        <f aca="false">AND(EH411,ER411&lt;EP411)</f>
        <v>0</v>
      </c>
      <c r="ET411" s="60" t="n">
        <f aca="false">IF(ES411,EN411,EM411)</f>
        <v>0.91158844983184</v>
      </c>
      <c r="EU411" s="60" t="n">
        <f aca="false">IF(ES411,EQ411,EO411)</f>
        <v>0.218240791233887</v>
      </c>
      <c r="EV411" s="60" t="n">
        <f aca="false">LN(ET411-DK411)</f>
        <v>-0.198812070380318</v>
      </c>
      <c r="EW411" s="60" t="n">
        <f aca="false">$E$27/DI411*(ET411-1)-EV411-EU411*(2*CV411/DH411-$E$27/DI411)</f>
        <v>-0.107840271021729</v>
      </c>
      <c r="EX411" s="60" t="n">
        <f aca="false">$F$27/DI411*(ET411-1)-EV411-EU411*(2*CW411/DH411-$F$27/DI411)</f>
        <v>0.198812070380318</v>
      </c>
      <c r="EY411" s="60" t="n">
        <f aca="false">$G$27/DI411*(ET411-1)-EV411-EU411*(2*CX411/DH411-$G$27/DI411)</f>
        <v>0.198812070380318</v>
      </c>
      <c r="EZ411" s="60" t="n">
        <f aca="false">$H$27/DI411*(ET411-1)-EV411-EU411*(2*CY411/DH411-$H$27/DI411)</f>
        <v>0.198812070380318</v>
      </c>
      <c r="FA411" s="60" t="n">
        <f aca="false">$I$27/DI411*(ET411-1)-EV411-EU411*(2*CZ411/DH411-$I$27/DI411)</f>
        <v>0.198812070380318</v>
      </c>
      <c r="FB411" s="60" t="n">
        <f aca="false">$J$27/DI411*(ET411-1)-EV411-EU411*(2*DA411/DH411-$J$27/DI411)</f>
        <v>0.198812070380318</v>
      </c>
      <c r="FC411" s="60" t="n">
        <f aca="false">$K$27/DI411*(ET411-1)-EV411-EU411*(2*DB411/DH411-$K$27/DI411)</f>
        <v>0.198812070380318</v>
      </c>
      <c r="FD411" s="60" t="n">
        <f aca="false">$L$27/DI411*(ET411-1)-EV411-EU411*(2*DC411/DH411-$L$27/DI411)</f>
        <v>0.198812070380318</v>
      </c>
      <c r="FE411" s="60" t="n">
        <f aca="false">$M$27/DI411*(ET411-1)-EV411-EU411*(2*DD411/DH411-$M$27/DI411)</f>
        <v>0.198812070380318</v>
      </c>
      <c r="FF411" s="60" t="n">
        <f aca="false">$N$27/DI411*(ET411-1)-EV411-EU411*(2*DE411/DH411-$N$27/DI411)</f>
        <v>0.198812070380318</v>
      </c>
      <c r="FG411" s="60" t="n">
        <f aca="false">$O$27/DI411*(ET411-1)-EV411-EU411*(2*DF411/DH411-$O$27/DI411)</f>
        <v>0.198812070380318</v>
      </c>
      <c r="FH411" s="60" t="n">
        <f aca="false">$P$27/DI411*(ET411-1)-EV411-EU411*(2*DG411/DH411-$P$27/DI411)</f>
        <v>0.198812070380318</v>
      </c>
      <c r="FI411" s="60" t="n">
        <f aca="false">DK411/ET411&gt;$C$22</f>
        <v>0</v>
      </c>
      <c r="FJ411" s="60" t="n">
        <f aca="false">$E$28*SUMPRODUCT($E$31:$P$31,CJ411:CU411,$E$28:$P$28)</f>
        <v>0.184416866619846</v>
      </c>
      <c r="FK411" s="60" t="n">
        <f aca="false">$F$28*SUMPRODUCT($E$32:$P$32,CJ411:CU411,$E$28:$P$28)</f>
        <v>0</v>
      </c>
      <c r="FL411" s="60" t="n">
        <f aca="false">$G$28*SUMPRODUCT($E$33:$P$33,CJ411:CU411,$E$28:$P$28)</f>
        <v>0</v>
      </c>
      <c r="FM411" s="60" t="n">
        <f aca="false">$H$28*SUMPRODUCT($E$34:$P$34,CJ411:CU411,$E$28:$P$28)</f>
        <v>0</v>
      </c>
      <c r="FN411" s="60" t="n">
        <f aca="false">$I$28*SUMPRODUCT($E$35:$P$35,CJ411:CU411,$E$28:$P$28)</f>
        <v>0</v>
      </c>
      <c r="FO411" s="60" t="n">
        <f aca="false">$J$28*SUMPRODUCT($E$36:$P$36,CJ411:CU411,$E$28:$P$28)</f>
        <v>0</v>
      </c>
      <c r="FP411" s="60" t="n">
        <f aca="false">$K$28*SUMPRODUCT($E$37:$P$37,CJ411:CU411,$E$28:$P$28)</f>
        <v>0</v>
      </c>
      <c r="FQ411" s="60" t="n">
        <f aca="false">$L$28*SUMPRODUCT($E$38:$P$38,CJ411:CU411,$E$28:$P$28)</f>
        <v>0</v>
      </c>
      <c r="FR411" s="60" t="n">
        <f aca="false">$M$28*SUMPRODUCT($E$39:$P$39,CJ411:CU411,$E$28:$P$28)</f>
        <v>0</v>
      </c>
      <c r="FS411" s="60" t="n">
        <f aca="false">$N$28*SUMPRODUCT($E$40:$P$40,CJ411:CU411,$E$28:$P$28)</f>
        <v>0</v>
      </c>
      <c r="FT411" s="60" t="n">
        <f aca="false">$O$28*SUMPRODUCT($E$41:$P$41,CJ411:CU411,$E$28:$P$28)</f>
        <v>0</v>
      </c>
      <c r="FU411" s="60" t="n">
        <f aca="false">$P$28*SUMPRODUCT($E$42:$P$42,CJ411:CU411,$E$28:$P$28)</f>
        <v>0</v>
      </c>
      <c r="FV411" s="60" t="n">
        <f aca="false">SUMPRODUCT(CJ411:CU411,FJ411:FU411)</f>
        <v>0.184416866619846</v>
      </c>
      <c r="FW411" s="60" t="n">
        <f aca="false">SUMPRODUCT(CJ411:CU411,$E$27:$P$27)</f>
        <v>2.67389635063809E-005</v>
      </c>
      <c r="FX411" s="60" t="n">
        <f aca="false">FV411*$C$9/($C$10*$C$8)^2</f>
        <v>0.21776909410545</v>
      </c>
      <c r="FY411" s="60" t="n">
        <f aca="false">FW411*$C$9/($C$10*$C$8)</f>
        <v>0.0918845243259994</v>
      </c>
      <c r="FZ411" s="60" t="n">
        <f aca="false">CHOOSE($C$7,-(1+FY411),-1,-(1-FY411))</f>
        <v>-0.908115475674001</v>
      </c>
      <c r="GA411" s="60" t="n">
        <f aca="false">CHOOSE($C$7,FX411,FX411-FY411-FY411^2,FX411-3*FY411^2-2*FY411)</f>
        <v>0.00867174802160559</v>
      </c>
      <c r="GB411" s="60" t="n">
        <f aca="false">CHOOSE($C$7,-FX411*FY411,-FX411*FY411,-(FX411*FY411-FY411^2-FY411^3))</f>
        <v>-0.0107910842936637</v>
      </c>
      <c r="GC411" s="60" t="n">
        <f aca="false">GA411-FZ411^2/3</f>
        <v>-0.266219491031267</v>
      </c>
      <c r="GD411" s="60" t="n">
        <f aca="false">2*FZ411^3/27-FZ411*GA411/3+GB411</f>
        <v>-0.0636400988362784</v>
      </c>
      <c r="GE411" s="60" t="n">
        <f aca="false">GD411^2/4+GC411^3/27</f>
        <v>0.000313710901361829</v>
      </c>
      <c r="GF411" s="60" t="n">
        <f aca="false">-GD411/2-IF(GD411&gt;=0,1,-1)*SQRT(MAX(GE411,0))</f>
        <v>0.0495319352963236</v>
      </c>
      <c r="GG411" s="60" t="n">
        <f aca="false">SIGN(GF411)*ABS(GF411)^(1/3)</f>
        <v>0.367249967174439</v>
      </c>
      <c r="GH411" s="60" t="n">
        <f aca="false">IF(GG411=0,0,GG411-GC411/(3*GG411))</f>
        <v>0.60888329127384</v>
      </c>
      <c r="GI411" s="60" t="n">
        <f aca="false">2*SQRT(MAX(-GC411,0)/3)</f>
        <v>0.595784626668918</v>
      </c>
      <c r="GJ411" s="60" t="n">
        <f aca="false">ACOS(IF(GI411=0,0,MAX(-1,MIN(1,3*GD411/(GC411*GI411)))))</f>
        <v>0</v>
      </c>
      <c r="GK411" s="60" t="n">
        <f aca="false">GI411*COS(GJ411/3)</f>
        <v>0.595784626668918</v>
      </c>
      <c r="GL411" s="60" t="n">
        <f aca="false">IF(GE411&lt;0,GK411,GH411)-FZ411/3</f>
        <v>0.91158844983184</v>
      </c>
      <c r="GM411" s="60" t="n">
        <f aca="false">IFERROR((((GL411+FZ411)*GL411+GA411)*GL411+GB411)/((3*GL411+2*FZ411)*GL411+GA411),0)</f>
        <v>0</v>
      </c>
      <c r="GN411" s="60" t="n">
        <f aca="false">IF(ABS(GM411)&lt;0.1*ABS(GL411),GL411-GM411,GL411)</f>
        <v>0.91158844983184</v>
      </c>
      <c r="GO411" s="60" t="n">
        <f aca="false">IFERROR((((GN411+FZ411)*GN411+GA411)*GN411+GB411)/((3*GN411+2*FZ411)*GN411+GA411),0)</f>
        <v>0</v>
      </c>
      <c r="GP411" s="60" t="n">
        <f aca="false">IF(ABS(GO411)&lt;0.1*ABS(GN411),GN411-GO411,GN411)</f>
        <v>0.91158844983184</v>
      </c>
      <c r="GQ411" s="60" t="n">
        <f aca="false">-GB411/GP411</f>
        <v>0.0118376711504565</v>
      </c>
      <c r="GR411" s="60" t="n">
        <f aca="false">(GA411-GQ411)/GP411</f>
        <v>-0.00347297415783941</v>
      </c>
      <c r="GS411" s="60" t="n">
        <f aca="false">GR411^2-4*GQ411</f>
        <v>-0.0473386230523248</v>
      </c>
      <c r="GT411" s="60" t="n">
        <f aca="false">IF(GS411&gt;=0,(GR411+IF(GR411&gt;=0,1,-1)*SQRT(GS411))/2,0)</f>
        <v>0</v>
      </c>
      <c r="GU411" s="60" t="n">
        <f aca="false">IF(AND(GS411&gt;=0,GT411&lt;&gt;0),MIN(GT411,GQ411/GT411),-1)</f>
        <v>-1</v>
      </c>
      <c r="GV411" s="60" t="n">
        <f aca="false">AND(GS411&gt;=0,GU411&gt;FY411,ABS(GP411-GU411)&gt;=0.00005*MAX(GP411,GU411))</f>
        <v>0</v>
      </c>
      <c r="GW411" s="60" t="n">
        <f aca="false">IF(GV411,IFERROR((((GU411+FZ411)*GU411+GA411)*GU411+GB411)/((3*GU411+2*FZ411)*GU411+GA411),0),0)</f>
        <v>0</v>
      </c>
      <c r="GX411" s="60" t="n">
        <f aca="false">IF(ABS(GW411)&lt;0.1*ABS(GU411),GU411-GW411,GU411)</f>
        <v>-1</v>
      </c>
      <c r="GY411" s="60" t="n">
        <f aca="false">IF(GV411,IFERROR((((GX411+FZ411)*GX411+GA411)*GX411+GB411)/((3*GX411+2*FZ411)*GX411+GA411),0),0)</f>
        <v>0</v>
      </c>
      <c r="GZ411" s="60" t="n">
        <f aca="false">IF(ABS(GY411)&lt;0.1*ABS(GX411),GX411-GY411,GX411)</f>
        <v>-1</v>
      </c>
      <c r="HA411" s="60" t="n">
        <f aca="false">IF(GV411,MAX(GP411,GZ411),GP411)</f>
        <v>0.91158844983184</v>
      </c>
      <c r="HB411" s="60" t="n">
        <f aca="false">IF(GV411,MIN(GP411,GZ411),-1)</f>
        <v>-1</v>
      </c>
      <c r="HC411" s="60" t="n">
        <f aca="false">CHOOSE($C$7,FX411/HA411,FX411/FY411*LN(1+FY411/HA411),FX411/(2*SQRT(2)*FY411)*LN((HA411+(1+SQRT(2))*FY411)/(HA411+(1-SQRT(2))*FY411)))</f>
        <v>0.218240791233887</v>
      </c>
      <c r="HD411" s="60" t="n">
        <f aca="false">HA411-1-LN(HA411-FY411)-HC411</f>
        <v>-0.107840271021729</v>
      </c>
      <c r="HE411" s="60" t="n">
        <f aca="false">IF(GV411,CHOOSE($C$7,FX411/HB411,FX411/FY411*LN(1+FY411/HB411),FX411/(2*SQRT(2)*FY411)*LN((HB411+(1+SQRT(2))*FY411)/(HB411+(1-SQRT(2))*FY411))),0)</f>
        <v>0</v>
      </c>
      <c r="HF411" s="60" t="n">
        <f aca="false">IF(GV411,HB411-1-LN(HB411-FY411)-HE411,0)</f>
        <v>0</v>
      </c>
      <c r="HG411" s="60" t="n">
        <f aca="false">AND(GV411,HF411&lt;HD411)</f>
        <v>0</v>
      </c>
      <c r="HH411" s="60" t="n">
        <f aca="false">IF(HG411,HB411,HA411)</f>
        <v>0.91158844983184</v>
      </c>
      <c r="HI411" s="60" t="n">
        <f aca="false">IF(HG411,HE411,HC411)</f>
        <v>0.218240791233887</v>
      </c>
      <c r="HJ411" s="60" t="n">
        <f aca="false">LN(HH411-FY411)</f>
        <v>-0.198812070380318</v>
      </c>
      <c r="HK411" s="60" t="n">
        <f aca="false">$E$27/FW411*(HH411-1)-HJ411-HI411*(2*FJ411/FV411-$E$27/FW411)</f>
        <v>-0.107840271021729</v>
      </c>
      <c r="HL411" s="60" t="n">
        <f aca="false">$F$27/FW411*(HH411-1)-HJ411-HI411*(2*FK411/FV411-$F$27/FW411)</f>
        <v>0.198812070380318</v>
      </c>
      <c r="HM411" s="60" t="n">
        <f aca="false">$G$27/FW411*(HH411-1)-HJ411-HI411*(2*FL411/FV411-$G$27/FW411)</f>
        <v>0.198812070380318</v>
      </c>
      <c r="HN411" s="60" t="n">
        <f aca="false">$H$27/FW411*(HH411-1)-HJ411-HI411*(2*FM411/FV411-$H$27/FW411)</f>
        <v>0.198812070380318</v>
      </c>
      <c r="HO411" s="60" t="n">
        <f aca="false">$I$27/FW411*(HH411-1)-HJ411-HI411*(2*FN411/FV411-$I$27/FW411)</f>
        <v>0.198812070380318</v>
      </c>
      <c r="HP411" s="60" t="n">
        <f aca="false">$J$27/FW411*(HH411-1)-HJ411-HI411*(2*FO411/FV411-$J$27/FW411)</f>
        <v>0.198812070380318</v>
      </c>
      <c r="HQ411" s="60" t="n">
        <f aca="false">$K$27/FW411*(HH411-1)-HJ411-HI411*(2*FP411/FV411-$K$27/FW411)</f>
        <v>0.198812070380318</v>
      </c>
      <c r="HR411" s="60" t="n">
        <f aca="false">$L$27/FW411*(HH411-1)-HJ411-HI411*(2*FQ411/FV411-$L$27/FW411)</f>
        <v>0.198812070380318</v>
      </c>
      <c r="HS411" s="60" t="n">
        <f aca="false">$M$27/FW411*(HH411-1)-HJ411-HI411*(2*FR411/FV411-$M$27/FW411)</f>
        <v>0.198812070380318</v>
      </c>
      <c r="HT411" s="60" t="n">
        <f aca="false">$N$27/FW411*(HH411-1)-HJ411-HI411*(2*FS411/FV411-$N$27/FW411)</f>
        <v>0.198812070380318</v>
      </c>
      <c r="HU411" s="60" t="n">
        <f aca="false">$O$27/FW411*(HH411-1)-HJ411-HI411*(2*FT411/FV411-$O$27/FW411)</f>
        <v>0.198812070380318</v>
      </c>
      <c r="HV411" s="60" t="n">
        <f aca="false">$P$27/FW411*(HH411-1)-HJ411-HI411*(2*FU411/FV411-$P$27/FW411)</f>
        <v>0.198812070380318</v>
      </c>
      <c r="HW411" s="60" t="n">
        <f aca="false">FY411/HH411&gt;$C$22</f>
        <v>0</v>
      </c>
      <c r="HX411" s="60" t="n">
        <f aca="false">IF($E$13&gt;0,MAX(-300,MIN(300,EW411-HK411)),0)</f>
        <v>0</v>
      </c>
      <c r="HY411" s="60" t="n">
        <f aca="false">IF($F$13&gt;0,MAX(-300,MIN(300,EX411-HL411)),0)</f>
        <v>0</v>
      </c>
      <c r="HZ411" s="60" t="n">
        <f aca="false">IF($G$13&gt;0,MAX(-300,MIN(300,EY411-HM411)),0)</f>
        <v>0</v>
      </c>
      <c r="IA411" s="60" t="n">
        <f aca="false">IF($H$13&gt;0,MAX(-300,MIN(300,EZ411-HN411)),0)</f>
        <v>0</v>
      </c>
      <c r="IB411" s="60" t="n">
        <f aca="false">IF($I$13&gt;0,MAX(-300,MIN(300,FA411-HO411)),0)</f>
        <v>0</v>
      </c>
      <c r="IC411" s="60" t="n">
        <f aca="false">IF($J$13&gt;0,MAX(-300,MIN(300,FB411-HP411)),0)</f>
        <v>0</v>
      </c>
      <c r="ID411" s="60" t="n">
        <f aca="false">IF($K$13&gt;0,MAX(-300,MIN(300,FC411-HQ411)),0)</f>
        <v>0</v>
      </c>
      <c r="IE411" s="60" t="n">
        <f aca="false">IF($L$13&gt;0,MAX(-300,MIN(300,FD411-HR411)),0)</f>
        <v>0</v>
      </c>
      <c r="IF411" s="60" t="n">
        <f aca="false">IF($M$13&gt;0,MAX(-300,MIN(300,FE411-HS411)),0)</f>
        <v>0</v>
      </c>
      <c r="IG411" s="60" t="n">
        <f aca="false">IF($N$13&gt;0,MAX(-300,MIN(300,FF411-HT411)),0)</f>
        <v>0</v>
      </c>
      <c r="IH411" s="60" t="n">
        <f aca="false">IF($O$13&gt;0,MAX(-300,MIN(300,FG411-HU411)),0)</f>
        <v>0</v>
      </c>
      <c r="II411" s="60" t="n">
        <f aca="false">IF($P$13&gt;0,MAX(-300,MIN(300,FH411-HV411)),0)</f>
        <v>0</v>
      </c>
      <c r="IJ411" s="60" t="n">
        <f aca="false">SUMXMY2(HX411:II411,B411:M411)</f>
        <v>0</v>
      </c>
      <c r="IK411" s="60" t="n">
        <f aca="false">SUMSQ(B411:M411)</f>
        <v>0</v>
      </c>
    </row>
    <row r="412" customFormat="false" ht="15" hidden="false" customHeight="false" outlineLevel="0" collapsed="false">
      <c r="A412" s="59" t="n">
        <v>51</v>
      </c>
      <c r="B412" s="60" t="n">
        <f aca="false">HX411</f>
        <v>0</v>
      </c>
      <c r="C412" s="60" t="n">
        <f aca="false">HY411</f>
        <v>0</v>
      </c>
      <c r="D412" s="60" t="n">
        <f aca="false">HZ411</f>
        <v>0</v>
      </c>
      <c r="E412" s="60" t="n">
        <f aca="false">IA411</f>
        <v>0</v>
      </c>
      <c r="F412" s="60" t="n">
        <f aca="false">IB411</f>
        <v>0</v>
      </c>
      <c r="G412" s="60" t="n">
        <f aca="false">IC411</f>
        <v>0</v>
      </c>
      <c r="H412" s="60" t="n">
        <f aca="false">ID411</f>
        <v>0</v>
      </c>
      <c r="I412" s="60" t="n">
        <f aca="false">IE411</f>
        <v>0</v>
      </c>
      <c r="J412" s="60" t="n">
        <f aca="false">IF411</f>
        <v>0</v>
      </c>
      <c r="K412" s="60" t="n">
        <f aca="false">IG411</f>
        <v>0</v>
      </c>
      <c r="L412" s="60" t="n">
        <f aca="false">IH411</f>
        <v>0</v>
      </c>
      <c r="M412" s="60" t="n">
        <f aca="false">II411</f>
        <v>0</v>
      </c>
      <c r="N412" s="60" t="n">
        <f aca="false">EXP(B412)</f>
        <v>1</v>
      </c>
      <c r="O412" s="60" t="n">
        <f aca="false">EXP(C412)</f>
        <v>1</v>
      </c>
      <c r="P412" s="60" t="n">
        <f aca="false">EXP(D412)</f>
        <v>1</v>
      </c>
      <c r="Q412" s="60" t="n">
        <f aca="false">EXP(E412)</f>
        <v>1</v>
      </c>
      <c r="R412" s="60" t="n">
        <f aca="false">EXP(F412)</f>
        <v>1</v>
      </c>
      <c r="S412" s="60" t="n">
        <f aca="false">EXP(G412)</f>
        <v>1</v>
      </c>
      <c r="T412" s="60" t="n">
        <f aca="false">EXP(H412)</f>
        <v>1</v>
      </c>
      <c r="U412" s="60" t="n">
        <f aca="false">EXP(I412)</f>
        <v>1</v>
      </c>
      <c r="V412" s="60" t="n">
        <f aca="false">EXP(J412)</f>
        <v>1</v>
      </c>
      <c r="W412" s="60" t="n">
        <f aca="false">EXP(K412)</f>
        <v>1</v>
      </c>
      <c r="X412" s="60" t="n">
        <f aca="false">EXP(L412)</f>
        <v>1</v>
      </c>
      <c r="Y412" s="60" t="n">
        <f aca="false">EXP(M412)</f>
        <v>1</v>
      </c>
      <c r="Z412" s="60" t="n">
        <f aca="false">MAX(N412:Y412)</f>
        <v>1</v>
      </c>
      <c r="AA412" s="60" t="n">
        <f aca="false">MIN(N412:Y412)</f>
        <v>1</v>
      </c>
      <c r="AB412" s="60" t="n">
        <f aca="false">AND(Z412&gt;1,AA412&lt;1)</f>
        <v>0</v>
      </c>
      <c r="AC412" s="60" t="n">
        <f aca="false">IF(AB412,1/(1-Z412),0)</f>
        <v>0</v>
      </c>
      <c r="AD412" s="60" t="n">
        <f aca="false">IF(AB412,1/(1-AA412),1)</f>
        <v>1</v>
      </c>
      <c r="AE412" s="60" t="n">
        <f aca="false">IF(AB412,MIN(MAX(BI411,AC412+0.000000001*(AD412-AC412)),AD412-0.000000001*(AD412-AC412)),IF(AA412&gt;=1,1,0))</f>
        <v>1</v>
      </c>
      <c r="AF412" s="60" t="n">
        <f aca="false">SUMPRODUCT($E$13:$P$13*(N412:Y412-1)/(1+AE412*(N412:Y412-1)))</f>
        <v>0</v>
      </c>
      <c r="AG412" s="60" t="n">
        <f aca="false">-SUMPRODUCT($E$13:$P$13*(N412:Y412-1)^2/(1+AE412*(N412:Y412-1))^2)</f>
        <v>-0</v>
      </c>
      <c r="AH412" s="60" t="n">
        <f aca="false">IF(OR(NOT(AB412),AG412=0),AE412,IF(AE412-AF412/AG412&lt;=AC412,(AE412+AC412)/2,IF(AE412-AF412/AG412&gt;=AD412,(AE412+AD412)/2,AE412-AF412/AG412)))</f>
        <v>1</v>
      </c>
      <c r="AI412" s="60" t="n">
        <f aca="false">SUMPRODUCT($E$13:$P$13*(N412:Y412-1)/(1+AH412*(N412:Y412-1)))</f>
        <v>0</v>
      </c>
      <c r="AJ412" s="60" t="n">
        <f aca="false">-SUMPRODUCT($E$13:$P$13*(N412:Y412-1)^2/(1+AH412*(N412:Y412-1))^2)</f>
        <v>-0</v>
      </c>
      <c r="AK412" s="60" t="n">
        <f aca="false">IF(OR(NOT(AB412),AJ412=0),AH412,IF(AH412-AI412/AJ412&lt;=AC412,(AH412+AC412)/2,IF(AH412-AI412/AJ412&gt;=AD412,(AH412+AD412)/2,AH412-AI412/AJ412)))</f>
        <v>1</v>
      </c>
      <c r="AL412" s="60" t="n">
        <f aca="false">SUMPRODUCT($E$13:$P$13*(N412:Y412-1)/(1+AK412*(N412:Y412-1)))</f>
        <v>0</v>
      </c>
      <c r="AM412" s="60" t="n">
        <f aca="false">-SUMPRODUCT($E$13:$P$13*(N412:Y412-1)^2/(1+AK412*(N412:Y412-1))^2)</f>
        <v>-0</v>
      </c>
      <c r="AN412" s="60" t="n">
        <f aca="false">IF(OR(NOT(AB412),AM412=0),AK412,IF(AK412-AL412/AM412&lt;=AC412,(AK412+AC412)/2,IF(AK412-AL412/AM412&gt;=AD412,(AK412+AD412)/2,AK412-AL412/AM412)))</f>
        <v>1</v>
      </c>
      <c r="AO412" s="60" t="n">
        <f aca="false">SUMPRODUCT($E$13:$P$13*(N412:Y412-1)/(1+AN412*(N412:Y412-1)))</f>
        <v>0</v>
      </c>
      <c r="AP412" s="60" t="n">
        <f aca="false">-SUMPRODUCT($E$13:$P$13*(N412:Y412-1)^2/(1+AN412*(N412:Y412-1))^2)</f>
        <v>-0</v>
      </c>
      <c r="AQ412" s="60" t="n">
        <f aca="false">IF(OR(NOT(AB412),AP412=0),AN412,IF(AN412-AO412/AP412&lt;=AC412,(AN412+AC412)/2,IF(AN412-AO412/AP412&gt;=AD412,(AN412+AD412)/2,AN412-AO412/AP412)))</f>
        <v>1</v>
      </c>
      <c r="AR412" s="60" t="n">
        <f aca="false">SUMPRODUCT($E$13:$P$13*(N412:Y412-1)/(1+AQ412*(N412:Y412-1)))</f>
        <v>0</v>
      </c>
      <c r="AS412" s="60" t="n">
        <f aca="false">-SUMPRODUCT($E$13:$P$13*(N412:Y412-1)^2/(1+AQ412*(N412:Y412-1))^2)</f>
        <v>-0</v>
      </c>
      <c r="AT412" s="60" t="n">
        <f aca="false">IF(OR(NOT(AB412),AS412=0),AQ412,IF(AQ412-AR412/AS412&lt;=AC412,(AQ412+AC412)/2,IF(AQ412-AR412/AS412&gt;=AD412,(AQ412+AD412)/2,AQ412-AR412/AS412)))</f>
        <v>1</v>
      </c>
      <c r="AU412" s="60" t="n">
        <f aca="false">SUMPRODUCT($E$13:$P$13*(N412:Y412-1)/(1+AT412*(N412:Y412-1)))</f>
        <v>0</v>
      </c>
      <c r="AV412" s="60" t="n">
        <f aca="false">-SUMPRODUCT($E$13:$P$13*(N412:Y412-1)^2/(1+AT412*(N412:Y412-1))^2)</f>
        <v>-0</v>
      </c>
      <c r="AW412" s="60" t="n">
        <f aca="false">IF(OR(NOT(AB412),AV412=0),AT412,IF(AT412-AU412/AV412&lt;=AC412,(AT412+AC412)/2,IF(AT412-AU412/AV412&gt;=AD412,(AT412+AD412)/2,AT412-AU412/AV412)))</f>
        <v>1</v>
      </c>
      <c r="AX412" s="60" t="n">
        <f aca="false">SUMPRODUCT($E$13:$P$13*(N412:Y412-1)/(1+AW412*(N412:Y412-1)))</f>
        <v>0</v>
      </c>
      <c r="AY412" s="60" t="n">
        <f aca="false">-SUMPRODUCT($E$13:$P$13*(N412:Y412-1)^2/(1+AW412*(N412:Y412-1))^2)</f>
        <v>-0</v>
      </c>
      <c r="AZ412" s="60" t="n">
        <f aca="false">IF(OR(NOT(AB412),AY412=0),AW412,IF(AW412-AX412/AY412&lt;=AC412,(AW412+AC412)/2,IF(AW412-AX412/AY412&gt;=AD412,(AW412+AD412)/2,AW412-AX412/AY412)))</f>
        <v>1</v>
      </c>
      <c r="BA412" s="60" t="n">
        <f aca="false">SUMPRODUCT($E$13:$P$13*(N412:Y412-1)/(1+AZ412*(N412:Y412-1)))</f>
        <v>0</v>
      </c>
      <c r="BB412" s="60" t="n">
        <f aca="false">-SUMPRODUCT($E$13:$P$13*(N412:Y412-1)^2/(1+AZ412*(N412:Y412-1))^2)</f>
        <v>-0</v>
      </c>
      <c r="BC412" s="60" t="n">
        <f aca="false">IF(OR(NOT(AB412),BB412=0),AZ412,IF(AZ412-BA412/BB412&lt;=AC412,(AZ412+AC412)/2,IF(AZ412-BA412/BB412&gt;=AD412,(AZ412+AD412)/2,AZ412-BA412/BB412)))</f>
        <v>1</v>
      </c>
      <c r="BD412" s="60" t="n">
        <f aca="false">SUMPRODUCT($E$13:$P$13*(N412:Y412-1)/(1+BC412*(N412:Y412-1)))</f>
        <v>0</v>
      </c>
      <c r="BE412" s="60" t="n">
        <f aca="false">-SUMPRODUCT($E$13:$P$13*(N412:Y412-1)^2/(1+BC412*(N412:Y412-1))^2)</f>
        <v>-0</v>
      </c>
      <c r="BF412" s="60" t="n">
        <f aca="false">IF(OR(NOT(AB412),BE412=0),BC412,IF(BC412-BD412/BE412&lt;=AC412,(BC412+AC412)/2,IF(BC412-BD412/BE412&gt;=AD412,(BC412+AD412)/2,BC412-BD412/BE412)))</f>
        <v>1</v>
      </c>
      <c r="BG412" s="60" t="n">
        <f aca="false">SUMPRODUCT($E$13:$P$13*(N412:Y412-1)/(1+BF412*(N412:Y412-1)))</f>
        <v>0</v>
      </c>
      <c r="BH412" s="60" t="n">
        <f aca="false">-SUMPRODUCT($E$13:$P$13*(N412:Y412-1)^2/(1+BF412*(N412:Y412-1))^2)</f>
        <v>-0</v>
      </c>
      <c r="BI412" s="60" t="n">
        <f aca="false">IF(OR(NOT(AB412),BH412=0),BF412,IF(BF412-BG412/BH412&lt;=AC412,(BF412+AC412)/2,IF(BF412-BG412/BH412&gt;=AD412,(BF412+AD412)/2,BF412-BG412/BH412)))</f>
        <v>1</v>
      </c>
      <c r="BJ412" s="60" t="n">
        <f aca="false">$E$13/(1+BI412*(N412-1))</f>
        <v>1</v>
      </c>
      <c r="BK412" s="60" t="n">
        <f aca="false">$F$13/(1+BI412*(O412-1))</f>
        <v>0</v>
      </c>
      <c r="BL412" s="60" t="n">
        <f aca="false">$G$13/(1+BI412*(P412-1))</f>
        <v>0</v>
      </c>
      <c r="BM412" s="60" t="n">
        <f aca="false">$H$13/(1+BI412*(Q412-1))</f>
        <v>0</v>
      </c>
      <c r="BN412" s="60" t="n">
        <f aca="false">$I$13/(1+BI412*(R412-1))</f>
        <v>0</v>
      </c>
      <c r="BO412" s="60" t="n">
        <f aca="false">$J$13/(1+BI412*(S412-1))</f>
        <v>0</v>
      </c>
      <c r="BP412" s="60" t="n">
        <f aca="false">$K$13/(1+BI412*(T412-1))</f>
        <v>0</v>
      </c>
      <c r="BQ412" s="60" t="n">
        <f aca="false">$L$13/(1+BI412*(U412-1))</f>
        <v>0</v>
      </c>
      <c r="BR412" s="60" t="n">
        <f aca="false">$M$13/(1+BI412*(V412-1))</f>
        <v>0</v>
      </c>
      <c r="BS412" s="60" t="n">
        <f aca="false">$N$13/(1+BI412*(W412-1))</f>
        <v>0</v>
      </c>
      <c r="BT412" s="60" t="n">
        <f aca="false">$O$13/(1+BI412*(X412-1))</f>
        <v>0</v>
      </c>
      <c r="BU412" s="60" t="n">
        <f aca="false">$P$13/(1+BI412*(Y412-1))</f>
        <v>0</v>
      </c>
      <c r="BV412" s="60" t="n">
        <f aca="false">SUM(BJ412:BU412)</f>
        <v>1</v>
      </c>
      <c r="BW412" s="60" t="n">
        <f aca="false">SUMPRODUCT(N412:Y412,BJ412:BU412)</f>
        <v>1</v>
      </c>
      <c r="BX412" s="60" t="n">
        <f aca="false">BJ412/BV412</f>
        <v>1</v>
      </c>
      <c r="BY412" s="60" t="n">
        <f aca="false">BK412/BV412</f>
        <v>0</v>
      </c>
      <c r="BZ412" s="60" t="n">
        <f aca="false">BL412/BV412</f>
        <v>0</v>
      </c>
      <c r="CA412" s="60" t="n">
        <f aca="false">BM412/BV412</f>
        <v>0</v>
      </c>
      <c r="CB412" s="60" t="n">
        <f aca="false">BN412/BV412</f>
        <v>0</v>
      </c>
      <c r="CC412" s="60" t="n">
        <f aca="false">BO412/BV412</f>
        <v>0</v>
      </c>
      <c r="CD412" s="60" t="n">
        <f aca="false">BP412/BV412</f>
        <v>0</v>
      </c>
      <c r="CE412" s="60" t="n">
        <f aca="false">BQ412/BV412</f>
        <v>0</v>
      </c>
      <c r="CF412" s="60" t="n">
        <f aca="false">BR412/BV412</f>
        <v>0</v>
      </c>
      <c r="CG412" s="60" t="n">
        <f aca="false">BS412/BV412</f>
        <v>0</v>
      </c>
      <c r="CH412" s="60" t="n">
        <f aca="false">BT412/BV412</f>
        <v>0</v>
      </c>
      <c r="CI412" s="60" t="n">
        <f aca="false">BU412/BV412</f>
        <v>0</v>
      </c>
      <c r="CJ412" s="60" t="n">
        <f aca="false">N412*BJ412/BW412</f>
        <v>1</v>
      </c>
      <c r="CK412" s="60" t="n">
        <f aca="false">O412*BK412/BW412</f>
        <v>0</v>
      </c>
      <c r="CL412" s="60" t="n">
        <f aca="false">P412*BL412/BW412</f>
        <v>0</v>
      </c>
      <c r="CM412" s="60" t="n">
        <f aca="false">Q412*BM412/BW412</f>
        <v>0</v>
      </c>
      <c r="CN412" s="60" t="n">
        <f aca="false">R412*BN412/BW412</f>
        <v>0</v>
      </c>
      <c r="CO412" s="60" t="n">
        <f aca="false">S412*BO412/BW412</f>
        <v>0</v>
      </c>
      <c r="CP412" s="60" t="n">
        <f aca="false">T412*BP412/BW412</f>
        <v>0</v>
      </c>
      <c r="CQ412" s="60" t="n">
        <f aca="false">U412*BQ412/BW412</f>
        <v>0</v>
      </c>
      <c r="CR412" s="60" t="n">
        <f aca="false">V412*BR412/BW412</f>
        <v>0</v>
      </c>
      <c r="CS412" s="60" t="n">
        <f aca="false">W412*BS412/BW412</f>
        <v>0</v>
      </c>
      <c r="CT412" s="60" t="n">
        <f aca="false">X412*BT412/BW412</f>
        <v>0</v>
      </c>
      <c r="CU412" s="60" t="n">
        <f aca="false">Y412*BU412/BW412</f>
        <v>0</v>
      </c>
      <c r="CV412" s="60" t="n">
        <f aca="false">$E$28*SUMPRODUCT($E$31:$P$31,BX412:CI412,$E$28:$P$28)</f>
        <v>0.184416866619846</v>
      </c>
      <c r="CW412" s="60" t="n">
        <f aca="false">$F$28*SUMPRODUCT($E$32:$P$32,BX412:CI412,$E$28:$P$28)</f>
        <v>0</v>
      </c>
      <c r="CX412" s="60" t="n">
        <f aca="false">$G$28*SUMPRODUCT($E$33:$P$33,BX412:CI412,$E$28:$P$28)</f>
        <v>0</v>
      </c>
      <c r="CY412" s="60" t="n">
        <f aca="false">$H$28*SUMPRODUCT($E$34:$P$34,BX412:CI412,$E$28:$P$28)</f>
        <v>0</v>
      </c>
      <c r="CZ412" s="60" t="n">
        <f aca="false">$I$28*SUMPRODUCT($E$35:$P$35,BX412:CI412,$E$28:$P$28)</f>
        <v>0</v>
      </c>
      <c r="DA412" s="60" t="n">
        <f aca="false">$J$28*SUMPRODUCT($E$36:$P$36,BX412:CI412,$E$28:$P$28)</f>
        <v>0</v>
      </c>
      <c r="DB412" s="60" t="n">
        <f aca="false">$K$28*SUMPRODUCT($E$37:$P$37,BX412:CI412,$E$28:$P$28)</f>
        <v>0</v>
      </c>
      <c r="DC412" s="60" t="n">
        <f aca="false">$L$28*SUMPRODUCT($E$38:$P$38,BX412:CI412,$E$28:$P$28)</f>
        <v>0</v>
      </c>
      <c r="DD412" s="60" t="n">
        <f aca="false">$M$28*SUMPRODUCT($E$39:$P$39,BX412:CI412,$E$28:$P$28)</f>
        <v>0</v>
      </c>
      <c r="DE412" s="60" t="n">
        <f aca="false">$N$28*SUMPRODUCT($E$40:$P$40,BX412:CI412,$E$28:$P$28)</f>
        <v>0</v>
      </c>
      <c r="DF412" s="60" t="n">
        <f aca="false">$O$28*SUMPRODUCT($E$41:$P$41,BX412:CI412,$E$28:$P$28)</f>
        <v>0</v>
      </c>
      <c r="DG412" s="60" t="n">
        <f aca="false">$P$28*SUMPRODUCT($E$42:$P$42,BX412:CI412,$E$28:$P$28)</f>
        <v>0</v>
      </c>
      <c r="DH412" s="60" t="n">
        <f aca="false">SUMPRODUCT(BX412:CI412,CV412:DG412)</f>
        <v>0.184416866619846</v>
      </c>
      <c r="DI412" s="60" t="n">
        <f aca="false">SUMPRODUCT(BX412:CI412,$E$27:$P$27)</f>
        <v>2.67389635063809E-005</v>
      </c>
      <c r="DJ412" s="60" t="n">
        <f aca="false">DH412*$C$9/($C$10*$C$8)^2</f>
        <v>0.21776909410545</v>
      </c>
      <c r="DK412" s="60" t="n">
        <f aca="false">DI412*$C$9/($C$10*$C$8)</f>
        <v>0.0918845243259994</v>
      </c>
      <c r="DL412" s="60" t="n">
        <f aca="false">CHOOSE($C$7,-(1+DK412),-1,-(1-DK412))</f>
        <v>-0.908115475674001</v>
      </c>
      <c r="DM412" s="60" t="n">
        <f aca="false">CHOOSE($C$7,DJ412,DJ412-DK412-DK412^2,DJ412-3*DK412^2-2*DK412)</f>
        <v>0.00867174802160559</v>
      </c>
      <c r="DN412" s="60" t="n">
        <f aca="false">CHOOSE($C$7,-DJ412*DK412,-DJ412*DK412,-(DJ412*DK412-DK412^2-DK412^3))</f>
        <v>-0.0107910842936637</v>
      </c>
      <c r="DO412" s="60" t="n">
        <f aca="false">DM412-DL412^2/3</f>
        <v>-0.266219491031267</v>
      </c>
      <c r="DP412" s="60" t="n">
        <f aca="false">2*DL412^3/27-DL412*DM412/3+DN412</f>
        <v>-0.0636400988362784</v>
      </c>
      <c r="DQ412" s="60" t="n">
        <f aca="false">DP412^2/4+DO412^3/27</f>
        <v>0.000313710901361829</v>
      </c>
      <c r="DR412" s="60" t="n">
        <f aca="false">-DP412/2-IF(DP412&gt;=0,1,-1)*SQRT(MAX(DQ412,0))</f>
        <v>0.0495319352963236</v>
      </c>
      <c r="DS412" s="60" t="n">
        <f aca="false">SIGN(DR412)*ABS(DR412)^(1/3)</f>
        <v>0.367249967174439</v>
      </c>
      <c r="DT412" s="60" t="n">
        <f aca="false">IF(DS412=0,0,DS412-DO412/(3*DS412))</f>
        <v>0.60888329127384</v>
      </c>
      <c r="DU412" s="60" t="n">
        <f aca="false">2*SQRT(MAX(-DO412,0)/3)</f>
        <v>0.595784626668918</v>
      </c>
      <c r="DV412" s="60" t="n">
        <f aca="false">ACOS(IF(DU412=0,0,MAX(-1,MIN(1,3*DP412/(DO412*DU412)))))</f>
        <v>0</v>
      </c>
      <c r="DW412" s="60" t="n">
        <f aca="false">DU412*COS(DV412/3)</f>
        <v>0.595784626668918</v>
      </c>
      <c r="DX412" s="60" t="n">
        <f aca="false">IF(DQ412&lt;0,DW412,DT412)-DL412/3</f>
        <v>0.91158844983184</v>
      </c>
      <c r="DY412" s="60" t="n">
        <f aca="false">IFERROR((((DX412+DL412)*DX412+DM412)*DX412+DN412)/((3*DX412+2*DL412)*DX412+DM412),0)</f>
        <v>0</v>
      </c>
      <c r="DZ412" s="60" t="n">
        <f aca="false">IF(ABS(DY412)&lt;0.1*ABS(DX412),DX412-DY412,DX412)</f>
        <v>0.91158844983184</v>
      </c>
      <c r="EA412" s="60" t="n">
        <f aca="false">IFERROR((((DZ412+DL412)*DZ412+DM412)*DZ412+DN412)/((3*DZ412+2*DL412)*DZ412+DM412),0)</f>
        <v>0</v>
      </c>
      <c r="EB412" s="60" t="n">
        <f aca="false">IF(ABS(EA412)&lt;0.1*ABS(DZ412),DZ412-EA412,DZ412)</f>
        <v>0.91158844983184</v>
      </c>
      <c r="EC412" s="60" t="n">
        <f aca="false">-DN412/EB412</f>
        <v>0.0118376711504565</v>
      </c>
      <c r="ED412" s="60" t="n">
        <f aca="false">(DM412-EC412)/EB412</f>
        <v>-0.00347297415783941</v>
      </c>
      <c r="EE412" s="60" t="n">
        <f aca="false">ED412^2-4*EC412</f>
        <v>-0.0473386230523248</v>
      </c>
      <c r="EF412" s="60" t="n">
        <f aca="false">IF(EE412&gt;=0,(ED412+IF(ED412&gt;=0,1,-1)*SQRT(EE412))/2,0)</f>
        <v>0</v>
      </c>
      <c r="EG412" s="60" t="n">
        <f aca="false">IF(AND(EE412&gt;=0,EF412&lt;&gt;0),MIN(EF412,EC412/EF412),-1)</f>
        <v>-1</v>
      </c>
      <c r="EH412" s="60" t="n">
        <f aca="false">AND(EE412&gt;=0,EG412&gt;DK412,ABS(EB412-EG412)&gt;=0.00005*MAX(EB412,EG412))</f>
        <v>0</v>
      </c>
      <c r="EI412" s="60" t="n">
        <f aca="false">IF(EH412,IFERROR((((EG412+DL412)*EG412+DM412)*EG412+DN412)/((3*EG412+2*DL412)*EG412+DM412),0),0)</f>
        <v>0</v>
      </c>
      <c r="EJ412" s="60" t="n">
        <f aca="false">IF(ABS(EI412)&lt;0.1*ABS(EG412),EG412-EI412,EG412)</f>
        <v>-1</v>
      </c>
      <c r="EK412" s="60" t="n">
        <f aca="false">IF(EH412,IFERROR((((EJ412+DL412)*EJ412+DM412)*EJ412+DN412)/((3*EJ412+2*DL412)*EJ412+DM412),0),0)</f>
        <v>0</v>
      </c>
      <c r="EL412" s="60" t="n">
        <f aca="false">IF(ABS(EK412)&lt;0.1*ABS(EJ412),EJ412-EK412,EJ412)</f>
        <v>-1</v>
      </c>
      <c r="EM412" s="60" t="n">
        <f aca="false">IF(EH412,MAX(EB412,EL412),EB412)</f>
        <v>0.91158844983184</v>
      </c>
      <c r="EN412" s="60" t="n">
        <f aca="false">IF(EH412,MIN(EB412,EL412),-1)</f>
        <v>-1</v>
      </c>
      <c r="EO412" s="60" t="n">
        <f aca="false">CHOOSE($C$7,DJ412/EM412,DJ412/DK412*LN(1+DK412/EM412),DJ412/(2*SQRT(2)*DK412)*LN((EM412+(1+SQRT(2))*DK412)/(EM412+(1-SQRT(2))*DK412)))</f>
        <v>0.218240791233887</v>
      </c>
      <c r="EP412" s="60" t="n">
        <f aca="false">EM412-1-LN(EM412-DK412)-EO412</f>
        <v>-0.107840271021729</v>
      </c>
      <c r="EQ412" s="60" t="n">
        <f aca="false">IF(EH412,CHOOSE($C$7,DJ412/EN412,DJ412/DK412*LN(1+DK412/EN412),DJ412/(2*SQRT(2)*DK412)*LN((EN412+(1+SQRT(2))*DK412)/(EN412+(1-SQRT(2))*DK412))),0)</f>
        <v>0</v>
      </c>
      <c r="ER412" s="60" t="n">
        <f aca="false">IF(EH412,EN412-1-LN(EN412-DK412)-EQ412,0)</f>
        <v>0</v>
      </c>
      <c r="ES412" s="60" t="n">
        <f aca="false">AND(EH412,ER412&lt;EP412)</f>
        <v>0</v>
      </c>
      <c r="ET412" s="60" t="n">
        <f aca="false">IF(ES412,EN412,EM412)</f>
        <v>0.91158844983184</v>
      </c>
      <c r="EU412" s="60" t="n">
        <f aca="false">IF(ES412,EQ412,EO412)</f>
        <v>0.218240791233887</v>
      </c>
      <c r="EV412" s="60" t="n">
        <f aca="false">LN(ET412-DK412)</f>
        <v>-0.198812070380318</v>
      </c>
      <c r="EW412" s="60" t="n">
        <f aca="false">$E$27/DI412*(ET412-1)-EV412-EU412*(2*CV412/DH412-$E$27/DI412)</f>
        <v>-0.107840271021729</v>
      </c>
      <c r="EX412" s="60" t="n">
        <f aca="false">$F$27/DI412*(ET412-1)-EV412-EU412*(2*CW412/DH412-$F$27/DI412)</f>
        <v>0.198812070380318</v>
      </c>
      <c r="EY412" s="60" t="n">
        <f aca="false">$G$27/DI412*(ET412-1)-EV412-EU412*(2*CX412/DH412-$G$27/DI412)</f>
        <v>0.198812070380318</v>
      </c>
      <c r="EZ412" s="60" t="n">
        <f aca="false">$H$27/DI412*(ET412-1)-EV412-EU412*(2*CY412/DH412-$H$27/DI412)</f>
        <v>0.198812070380318</v>
      </c>
      <c r="FA412" s="60" t="n">
        <f aca="false">$I$27/DI412*(ET412-1)-EV412-EU412*(2*CZ412/DH412-$I$27/DI412)</f>
        <v>0.198812070380318</v>
      </c>
      <c r="FB412" s="60" t="n">
        <f aca="false">$J$27/DI412*(ET412-1)-EV412-EU412*(2*DA412/DH412-$J$27/DI412)</f>
        <v>0.198812070380318</v>
      </c>
      <c r="FC412" s="60" t="n">
        <f aca="false">$K$27/DI412*(ET412-1)-EV412-EU412*(2*DB412/DH412-$K$27/DI412)</f>
        <v>0.198812070380318</v>
      </c>
      <c r="FD412" s="60" t="n">
        <f aca="false">$L$27/DI412*(ET412-1)-EV412-EU412*(2*DC412/DH412-$L$27/DI412)</f>
        <v>0.198812070380318</v>
      </c>
      <c r="FE412" s="60" t="n">
        <f aca="false">$M$27/DI412*(ET412-1)-EV412-EU412*(2*DD412/DH412-$M$27/DI412)</f>
        <v>0.198812070380318</v>
      </c>
      <c r="FF412" s="60" t="n">
        <f aca="false">$N$27/DI412*(ET412-1)-EV412-EU412*(2*DE412/DH412-$N$27/DI412)</f>
        <v>0.198812070380318</v>
      </c>
      <c r="FG412" s="60" t="n">
        <f aca="false">$O$27/DI412*(ET412-1)-EV412-EU412*(2*DF412/DH412-$O$27/DI412)</f>
        <v>0.198812070380318</v>
      </c>
      <c r="FH412" s="60" t="n">
        <f aca="false">$P$27/DI412*(ET412-1)-EV412-EU412*(2*DG412/DH412-$P$27/DI412)</f>
        <v>0.198812070380318</v>
      </c>
      <c r="FI412" s="60" t="n">
        <f aca="false">DK412/ET412&gt;$C$22</f>
        <v>0</v>
      </c>
      <c r="FJ412" s="60" t="n">
        <f aca="false">$E$28*SUMPRODUCT($E$31:$P$31,CJ412:CU412,$E$28:$P$28)</f>
        <v>0.184416866619846</v>
      </c>
      <c r="FK412" s="60" t="n">
        <f aca="false">$F$28*SUMPRODUCT($E$32:$P$32,CJ412:CU412,$E$28:$P$28)</f>
        <v>0</v>
      </c>
      <c r="FL412" s="60" t="n">
        <f aca="false">$G$28*SUMPRODUCT($E$33:$P$33,CJ412:CU412,$E$28:$P$28)</f>
        <v>0</v>
      </c>
      <c r="FM412" s="60" t="n">
        <f aca="false">$H$28*SUMPRODUCT($E$34:$P$34,CJ412:CU412,$E$28:$P$28)</f>
        <v>0</v>
      </c>
      <c r="FN412" s="60" t="n">
        <f aca="false">$I$28*SUMPRODUCT($E$35:$P$35,CJ412:CU412,$E$28:$P$28)</f>
        <v>0</v>
      </c>
      <c r="FO412" s="60" t="n">
        <f aca="false">$J$28*SUMPRODUCT($E$36:$P$36,CJ412:CU412,$E$28:$P$28)</f>
        <v>0</v>
      </c>
      <c r="FP412" s="60" t="n">
        <f aca="false">$K$28*SUMPRODUCT($E$37:$P$37,CJ412:CU412,$E$28:$P$28)</f>
        <v>0</v>
      </c>
      <c r="FQ412" s="60" t="n">
        <f aca="false">$L$28*SUMPRODUCT($E$38:$P$38,CJ412:CU412,$E$28:$P$28)</f>
        <v>0</v>
      </c>
      <c r="FR412" s="60" t="n">
        <f aca="false">$M$28*SUMPRODUCT($E$39:$P$39,CJ412:CU412,$E$28:$P$28)</f>
        <v>0</v>
      </c>
      <c r="FS412" s="60" t="n">
        <f aca="false">$N$28*SUMPRODUCT($E$40:$P$40,CJ412:CU412,$E$28:$P$28)</f>
        <v>0</v>
      </c>
      <c r="FT412" s="60" t="n">
        <f aca="false">$O$28*SUMPRODUCT($E$41:$P$41,CJ412:CU412,$E$28:$P$28)</f>
        <v>0</v>
      </c>
      <c r="FU412" s="60" t="n">
        <f aca="false">$P$28*SUMPRODUCT($E$42:$P$42,CJ412:CU412,$E$28:$P$28)</f>
        <v>0</v>
      </c>
      <c r="FV412" s="60" t="n">
        <f aca="false">SUMPRODUCT(CJ412:CU412,FJ412:FU412)</f>
        <v>0.184416866619846</v>
      </c>
      <c r="FW412" s="60" t="n">
        <f aca="false">SUMPRODUCT(CJ412:CU412,$E$27:$P$27)</f>
        <v>2.67389635063809E-005</v>
      </c>
      <c r="FX412" s="60" t="n">
        <f aca="false">FV412*$C$9/($C$10*$C$8)^2</f>
        <v>0.21776909410545</v>
      </c>
      <c r="FY412" s="60" t="n">
        <f aca="false">FW412*$C$9/($C$10*$C$8)</f>
        <v>0.0918845243259994</v>
      </c>
      <c r="FZ412" s="60" t="n">
        <f aca="false">CHOOSE($C$7,-(1+FY412),-1,-(1-FY412))</f>
        <v>-0.908115475674001</v>
      </c>
      <c r="GA412" s="60" t="n">
        <f aca="false">CHOOSE($C$7,FX412,FX412-FY412-FY412^2,FX412-3*FY412^2-2*FY412)</f>
        <v>0.00867174802160559</v>
      </c>
      <c r="GB412" s="60" t="n">
        <f aca="false">CHOOSE($C$7,-FX412*FY412,-FX412*FY412,-(FX412*FY412-FY412^2-FY412^3))</f>
        <v>-0.0107910842936637</v>
      </c>
      <c r="GC412" s="60" t="n">
        <f aca="false">GA412-FZ412^2/3</f>
        <v>-0.266219491031267</v>
      </c>
      <c r="GD412" s="60" t="n">
        <f aca="false">2*FZ412^3/27-FZ412*GA412/3+GB412</f>
        <v>-0.0636400988362784</v>
      </c>
      <c r="GE412" s="60" t="n">
        <f aca="false">GD412^2/4+GC412^3/27</f>
        <v>0.000313710901361829</v>
      </c>
      <c r="GF412" s="60" t="n">
        <f aca="false">-GD412/2-IF(GD412&gt;=0,1,-1)*SQRT(MAX(GE412,0))</f>
        <v>0.0495319352963236</v>
      </c>
      <c r="GG412" s="60" t="n">
        <f aca="false">SIGN(GF412)*ABS(GF412)^(1/3)</f>
        <v>0.367249967174439</v>
      </c>
      <c r="GH412" s="60" t="n">
        <f aca="false">IF(GG412=0,0,GG412-GC412/(3*GG412))</f>
        <v>0.60888329127384</v>
      </c>
      <c r="GI412" s="60" t="n">
        <f aca="false">2*SQRT(MAX(-GC412,0)/3)</f>
        <v>0.595784626668918</v>
      </c>
      <c r="GJ412" s="60" t="n">
        <f aca="false">ACOS(IF(GI412=0,0,MAX(-1,MIN(1,3*GD412/(GC412*GI412)))))</f>
        <v>0</v>
      </c>
      <c r="GK412" s="60" t="n">
        <f aca="false">GI412*COS(GJ412/3)</f>
        <v>0.595784626668918</v>
      </c>
      <c r="GL412" s="60" t="n">
        <f aca="false">IF(GE412&lt;0,GK412,GH412)-FZ412/3</f>
        <v>0.91158844983184</v>
      </c>
      <c r="GM412" s="60" t="n">
        <f aca="false">IFERROR((((GL412+FZ412)*GL412+GA412)*GL412+GB412)/((3*GL412+2*FZ412)*GL412+GA412),0)</f>
        <v>0</v>
      </c>
      <c r="GN412" s="60" t="n">
        <f aca="false">IF(ABS(GM412)&lt;0.1*ABS(GL412),GL412-GM412,GL412)</f>
        <v>0.91158844983184</v>
      </c>
      <c r="GO412" s="60" t="n">
        <f aca="false">IFERROR((((GN412+FZ412)*GN412+GA412)*GN412+GB412)/((3*GN412+2*FZ412)*GN412+GA412),0)</f>
        <v>0</v>
      </c>
      <c r="GP412" s="60" t="n">
        <f aca="false">IF(ABS(GO412)&lt;0.1*ABS(GN412),GN412-GO412,GN412)</f>
        <v>0.91158844983184</v>
      </c>
      <c r="GQ412" s="60" t="n">
        <f aca="false">-GB412/GP412</f>
        <v>0.0118376711504565</v>
      </c>
      <c r="GR412" s="60" t="n">
        <f aca="false">(GA412-GQ412)/GP412</f>
        <v>-0.00347297415783941</v>
      </c>
      <c r="GS412" s="60" t="n">
        <f aca="false">GR412^2-4*GQ412</f>
        <v>-0.0473386230523248</v>
      </c>
      <c r="GT412" s="60" t="n">
        <f aca="false">IF(GS412&gt;=0,(GR412+IF(GR412&gt;=0,1,-1)*SQRT(GS412))/2,0)</f>
        <v>0</v>
      </c>
      <c r="GU412" s="60" t="n">
        <f aca="false">IF(AND(GS412&gt;=0,GT412&lt;&gt;0),MIN(GT412,GQ412/GT412),-1)</f>
        <v>-1</v>
      </c>
      <c r="GV412" s="60" t="n">
        <f aca="false">AND(GS412&gt;=0,GU412&gt;FY412,ABS(GP412-GU412)&gt;=0.00005*MAX(GP412,GU412))</f>
        <v>0</v>
      </c>
      <c r="GW412" s="60" t="n">
        <f aca="false">IF(GV412,IFERROR((((GU412+FZ412)*GU412+GA412)*GU412+GB412)/((3*GU412+2*FZ412)*GU412+GA412),0),0)</f>
        <v>0</v>
      </c>
      <c r="GX412" s="60" t="n">
        <f aca="false">IF(ABS(GW412)&lt;0.1*ABS(GU412),GU412-GW412,GU412)</f>
        <v>-1</v>
      </c>
      <c r="GY412" s="60" t="n">
        <f aca="false">IF(GV412,IFERROR((((GX412+FZ412)*GX412+GA412)*GX412+GB412)/((3*GX412+2*FZ412)*GX412+GA412),0),0)</f>
        <v>0</v>
      </c>
      <c r="GZ412" s="60" t="n">
        <f aca="false">IF(ABS(GY412)&lt;0.1*ABS(GX412),GX412-GY412,GX412)</f>
        <v>-1</v>
      </c>
      <c r="HA412" s="60" t="n">
        <f aca="false">IF(GV412,MAX(GP412,GZ412),GP412)</f>
        <v>0.91158844983184</v>
      </c>
      <c r="HB412" s="60" t="n">
        <f aca="false">IF(GV412,MIN(GP412,GZ412),-1)</f>
        <v>-1</v>
      </c>
      <c r="HC412" s="60" t="n">
        <f aca="false">CHOOSE($C$7,FX412/HA412,FX412/FY412*LN(1+FY412/HA412),FX412/(2*SQRT(2)*FY412)*LN((HA412+(1+SQRT(2))*FY412)/(HA412+(1-SQRT(2))*FY412)))</f>
        <v>0.218240791233887</v>
      </c>
      <c r="HD412" s="60" t="n">
        <f aca="false">HA412-1-LN(HA412-FY412)-HC412</f>
        <v>-0.107840271021729</v>
      </c>
      <c r="HE412" s="60" t="n">
        <f aca="false">IF(GV412,CHOOSE($C$7,FX412/HB412,FX412/FY412*LN(1+FY412/HB412),FX412/(2*SQRT(2)*FY412)*LN((HB412+(1+SQRT(2))*FY412)/(HB412+(1-SQRT(2))*FY412))),0)</f>
        <v>0</v>
      </c>
      <c r="HF412" s="60" t="n">
        <f aca="false">IF(GV412,HB412-1-LN(HB412-FY412)-HE412,0)</f>
        <v>0</v>
      </c>
      <c r="HG412" s="60" t="n">
        <f aca="false">AND(GV412,HF412&lt;HD412)</f>
        <v>0</v>
      </c>
      <c r="HH412" s="60" t="n">
        <f aca="false">IF(HG412,HB412,HA412)</f>
        <v>0.91158844983184</v>
      </c>
      <c r="HI412" s="60" t="n">
        <f aca="false">IF(HG412,HE412,HC412)</f>
        <v>0.218240791233887</v>
      </c>
      <c r="HJ412" s="60" t="n">
        <f aca="false">LN(HH412-FY412)</f>
        <v>-0.198812070380318</v>
      </c>
      <c r="HK412" s="60" t="n">
        <f aca="false">$E$27/FW412*(HH412-1)-HJ412-HI412*(2*FJ412/FV412-$E$27/FW412)</f>
        <v>-0.107840271021729</v>
      </c>
      <c r="HL412" s="60" t="n">
        <f aca="false">$F$27/FW412*(HH412-1)-HJ412-HI412*(2*FK412/FV412-$F$27/FW412)</f>
        <v>0.198812070380318</v>
      </c>
      <c r="HM412" s="60" t="n">
        <f aca="false">$G$27/FW412*(HH412-1)-HJ412-HI412*(2*FL412/FV412-$G$27/FW412)</f>
        <v>0.198812070380318</v>
      </c>
      <c r="HN412" s="60" t="n">
        <f aca="false">$H$27/FW412*(HH412-1)-HJ412-HI412*(2*FM412/FV412-$H$27/FW412)</f>
        <v>0.198812070380318</v>
      </c>
      <c r="HO412" s="60" t="n">
        <f aca="false">$I$27/FW412*(HH412-1)-HJ412-HI412*(2*FN412/FV412-$I$27/FW412)</f>
        <v>0.198812070380318</v>
      </c>
      <c r="HP412" s="60" t="n">
        <f aca="false">$J$27/FW412*(HH412-1)-HJ412-HI412*(2*FO412/FV412-$J$27/FW412)</f>
        <v>0.198812070380318</v>
      </c>
      <c r="HQ412" s="60" t="n">
        <f aca="false">$K$27/FW412*(HH412-1)-HJ412-HI412*(2*FP412/FV412-$K$27/FW412)</f>
        <v>0.198812070380318</v>
      </c>
      <c r="HR412" s="60" t="n">
        <f aca="false">$L$27/FW412*(HH412-1)-HJ412-HI412*(2*FQ412/FV412-$L$27/FW412)</f>
        <v>0.198812070380318</v>
      </c>
      <c r="HS412" s="60" t="n">
        <f aca="false">$M$27/FW412*(HH412-1)-HJ412-HI412*(2*FR412/FV412-$M$27/FW412)</f>
        <v>0.198812070380318</v>
      </c>
      <c r="HT412" s="60" t="n">
        <f aca="false">$N$27/FW412*(HH412-1)-HJ412-HI412*(2*FS412/FV412-$N$27/FW412)</f>
        <v>0.198812070380318</v>
      </c>
      <c r="HU412" s="60" t="n">
        <f aca="false">$O$27/FW412*(HH412-1)-HJ412-HI412*(2*FT412/FV412-$O$27/FW412)</f>
        <v>0.198812070380318</v>
      </c>
      <c r="HV412" s="60" t="n">
        <f aca="false">$P$27/FW412*(HH412-1)-HJ412-HI412*(2*FU412/FV412-$P$27/FW412)</f>
        <v>0.198812070380318</v>
      </c>
      <c r="HW412" s="60" t="n">
        <f aca="false">FY412/HH412&gt;$C$22</f>
        <v>0</v>
      </c>
      <c r="HX412" s="60" t="n">
        <f aca="false">IF($E$13&gt;0,MAX(-300,MIN(300,EW412-HK412)),0)</f>
        <v>0</v>
      </c>
      <c r="HY412" s="60" t="n">
        <f aca="false">IF($F$13&gt;0,MAX(-300,MIN(300,EX412-HL412)),0)</f>
        <v>0</v>
      </c>
      <c r="HZ412" s="60" t="n">
        <f aca="false">IF($G$13&gt;0,MAX(-300,MIN(300,EY412-HM412)),0)</f>
        <v>0</v>
      </c>
      <c r="IA412" s="60" t="n">
        <f aca="false">IF($H$13&gt;0,MAX(-300,MIN(300,EZ412-HN412)),0)</f>
        <v>0</v>
      </c>
      <c r="IB412" s="60" t="n">
        <f aca="false">IF($I$13&gt;0,MAX(-300,MIN(300,FA412-HO412)),0)</f>
        <v>0</v>
      </c>
      <c r="IC412" s="60" t="n">
        <f aca="false">IF($J$13&gt;0,MAX(-300,MIN(300,FB412-HP412)),0)</f>
        <v>0</v>
      </c>
      <c r="ID412" s="60" t="n">
        <f aca="false">IF($K$13&gt;0,MAX(-300,MIN(300,FC412-HQ412)),0)</f>
        <v>0</v>
      </c>
      <c r="IE412" s="60" t="n">
        <f aca="false">IF($L$13&gt;0,MAX(-300,MIN(300,FD412-HR412)),0)</f>
        <v>0</v>
      </c>
      <c r="IF412" s="60" t="n">
        <f aca="false">IF($M$13&gt;0,MAX(-300,MIN(300,FE412-HS412)),0)</f>
        <v>0</v>
      </c>
      <c r="IG412" s="60" t="n">
        <f aca="false">IF($N$13&gt;0,MAX(-300,MIN(300,FF412-HT412)),0)</f>
        <v>0</v>
      </c>
      <c r="IH412" s="60" t="n">
        <f aca="false">IF($O$13&gt;0,MAX(-300,MIN(300,FG412-HU412)),0)</f>
        <v>0</v>
      </c>
      <c r="II412" s="60" t="n">
        <f aca="false">IF($P$13&gt;0,MAX(-300,MIN(300,FH412-HV412)),0)</f>
        <v>0</v>
      </c>
      <c r="IJ412" s="60" t="n">
        <f aca="false">SUMXMY2(HX412:II412,B412:M412)</f>
        <v>0</v>
      </c>
      <c r="IK412" s="60" t="n">
        <f aca="false">SUMSQ(B412:M412)</f>
        <v>0</v>
      </c>
    </row>
    <row r="413" customFormat="false" ht="15" hidden="false" customHeight="false" outlineLevel="0" collapsed="false">
      <c r="A413" s="59" t="n">
        <v>52</v>
      </c>
      <c r="B413" s="60" t="n">
        <f aca="false">HX412</f>
        <v>0</v>
      </c>
      <c r="C413" s="60" t="n">
        <f aca="false">HY412</f>
        <v>0</v>
      </c>
      <c r="D413" s="60" t="n">
        <f aca="false">HZ412</f>
        <v>0</v>
      </c>
      <c r="E413" s="60" t="n">
        <f aca="false">IA412</f>
        <v>0</v>
      </c>
      <c r="F413" s="60" t="n">
        <f aca="false">IB412</f>
        <v>0</v>
      </c>
      <c r="G413" s="60" t="n">
        <f aca="false">IC412</f>
        <v>0</v>
      </c>
      <c r="H413" s="60" t="n">
        <f aca="false">ID412</f>
        <v>0</v>
      </c>
      <c r="I413" s="60" t="n">
        <f aca="false">IE412</f>
        <v>0</v>
      </c>
      <c r="J413" s="60" t="n">
        <f aca="false">IF412</f>
        <v>0</v>
      </c>
      <c r="K413" s="60" t="n">
        <f aca="false">IG412</f>
        <v>0</v>
      </c>
      <c r="L413" s="60" t="n">
        <f aca="false">IH412</f>
        <v>0</v>
      </c>
      <c r="M413" s="60" t="n">
        <f aca="false">II412</f>
        <v>0</v>
      </c>
      <c r="N413" s="60" t="n">
        <f aca="false">EXP(B413)</f>
        <v>1</v>
      </c>
      <c r="O413" s="60" t="n">
        <f aca="false">EXP(C413)</f>
        <v>1</v>
      </c>
      <c r="P413" s="60" t="n">
        <f aca="false">EXP(D413)</f>
        <v>1</v>
      </c>
      <c r="Q413" s="60" t="n">
        <f aca="false">EXP(E413)</f>
        <v>1</v>
      </c>
      <c r="R413" s="60" t="n">
        <f aca="false">EXP(F413)</f>
        <v>1</v>
      </c>
      <c r="S413" s="60" t="n">
        <f aca="false">EXP(G413)</f>
        <v>1</v>
      </c>
      <c r="T413" s="60" t="n">
        <f aca="false">EXP(H413)</f>
        <v>1</v>
      </c>
      <c r="U413" s="60" t="n">
        <f aca="false">EXP(I413)</f>
        <v>1</v>
      </c>
      <c r="V413" s="60" t="n">
        <f aca="false">EXP(J413)</f>
        <v>1</v>
      </c>
      <c r="W413" s="60" t="n">
        <f aca="false">EXP(K413)</f>
        <v>1</v>
      </c>
      <c r="X413" s="60" t="n">
        <f aca="false">EXP(L413)</f>
        <v>1</v>
      </c>
      <c r="Y413" s="60" t="n">
        <f aca="false">EXP(M413)</f>
        <v>1</v>
      </c>
      <c r="Z413" s="60" t="n">
        <f aca="false">MAX(N413:Y413)</f>
        <v>1</v>
      </c>
      <c r="AA413" s="60" t="n">
        <f aca="false">MIN(N413:Y413)</f>
        <v>1</v>
      </c>
      <c r="AB413" s="60" t="n">
        <f aca="false">AND(Z413&gt;1,AA413&lt;1)</f>
        <v>0</v>
      </c>
      <c r="AC413" s="60" t="n">
        <f aca="false">IF(AB413,1/(1-Z413),0)</f>
        <v>0</v>
      </c>
      <c r="AD413" s="60" t="n">
        <f aca="false">IF(AB413,1/(1-AA413),1)</f>
        <v>1</v>
      </c>
      <c r="AE413" s="60" t="n">
        <f aca="false">IF(AB413,MIN(MAX(BI412,AC413+0.000000001*(AD413-AC413)),AD413-0.000000001*(AD413-AC413)),IF(AA413&gt;=1,1,0))</f>
        <v>1</v>
      </c>
      <c r="AF413" s="60" t="n">
        <f aca="false">SUMPRODUCT($E$13:$P$13*(N413:Y413-1)/(1+AE413*(N413:Y413-1)))</f>
        <v>0</v>
      </c>
      <c r="AG413" s="60" t="n">
        <f aca="false">-SUMPRODUCT($E$13:$P$13*(N413:Y413-1)^2/(1+AE413*(N413:Y413-1))^2)</f>
        <v>-0</v>
      </c>
      <c r="AH413" s="60" t="n">
        <f aca="false">IF(OR(NOT(AB413),AG413=0),AE413,IF(AE413-AF413/AG413&lt;=AC413,(AE413+AC413)/2,IF(AE413-AF413/AG413&gt;=AD413,(AE413+AD413)/2,AE413-AF413/AG413)))</f>
        <v>1</v>
      </c>
      <c r="AI413" s="60" t="n">
        <f aca="false">SUMPRODUCT($E$13:$P$13*(N413:Y413-1)/(1+AH413*(N413:Y413-1)))</f>
        <v>0</v>
      </c>
      <c r="AJ413" s="60" t="n">
        <f aca="false">-SUMPRODUCT($E$13:$P$13*(N413:Y413-1)^2/(1+AH413*(N413:Y413-1))^2)</f>
        <v>-0</v>
      </c>
      <c r="AK413" s="60" t="n">
        <f aca="false">IF(OR(NOT(AB413),AJ413=0),AH413,IF(AH413-AI413/AJ413&lt;=AC413,(AH413+AC413)/2,IF(AH413-AI413/AJ413&gt;=AD413,(AH413+AD413)/2,AH413-AI413/AJ413)))</f>
        <v>1</v>
      </c>
      <c r="AL413" s="60" t="n">
        <f aca="false">SUMPRODUCT($E$13:$P$13*(N413:Y413-1)/(1+AK413*(N413:Y413-1)))</f>
        <v>0</v>
      </c>
      <c r="AM413" s="60" t="n">
        <f aca="false">-SUMPRODUCT($E$13:$P$13*(N413:Y413-1)^2/(1+AK413*(N413:Y413-1))^2)</f>
        <v>-0</v>
      </c>
      <c r="AN413" s="60" t="n">
        <f aca="false">IF(OR(NOT(AB413),AM413=0),AK413,IF(AK413-AL413/AM413&lt;=AC413,(AK413+AC413)/2,IF(AK413-AL413/AM413&gt;=AD413,(AK413+AD413)/2,AK413-AL413/AM413)))</f>
        <v>1</v>
      </c>
      <c r="AO413" s="60" t="n">
        <f aca="false">SUMPRODUCT($E$13:$P$13*(N413:Y413-1)/(1+AN413*(N413:Y413-1)))</f>
        <v>0</v>
      </c>
      <c r="AP413" s="60" t="n">
        <f aca="false">-SUMPRODUCT($E$13:$P$13*(N413:Y413-1)^2/(1+AN413*(N413:Y413-1))^2)</f>
        <v>-0</v>
      </c>
      <c r="AQ413" s="60" t="n">
        <f aca="false">IF(OR(NOT(AB413),AP413=0),AN413,IF(AN413-AO413/AP413&lt;=AC413,(AN413+AC413)/2,IF(AN413-AO413/AP413&gt;=AD413,(AN413+AD413)/2,AN413-AO413/AP413)))</f>
        <v>1</v>
      </c>
      <c r="AR413" s="60" t="n">
        <f aca="false">SUMPRODUCT($E$13:$P$13*(N413:Y413-1)/(1+AQ413*(N413:Y413-1)))</f>
        <v>0</v>
      </c>
      <c r="AS413" s="60" t="n">
        <f aca="false">-SUMPRODUCT($E$13:$P$13*(N413:Y413-1)^2/(1+AQ413*(N413:Y413-1))^2)</f>
        <v>-0</v>
      </c>
      <c r="AT413" s="60" t="n">
        <f aca="false">IF(OR(NOT(AB413),AS413=0),AQ413,IF(AQ413-AR413/AS413&lt;=AC413,(AQ413+AC413)/2,IF(AQ413-AR413/AS413&gt;=AD413,(AQ413+AD413)/2,AQ413-AR413/AS413)))</f>
        <v>1</v>
      </c>
      <c r="AU413" s="60" t="n">
        <f aca="false">SUMPRODUCT($E$13:$P$13*(N413:Y413-1)/(1+AT413*(N413:Y413-1)))</f>
        <v>0</v>
      </c>
      <c r="AV413" s="60" t="n">
        <f aca="false">-SUMPRODUCT($E$13:$P$13*(N413:Y413-1)^2/(1+AT413*(N413:Y413-1))^2)</f>
        <v>-0</v>
      </c>
      <c r="AW413" s="60" t="n">
        <f aca="false">IF(OR(NOT(AB413),AV413=0),AT413,IF(AT413-AU413/AV413&lt;=AC413,(AT413+AC413)/2,IF(AT413-AU413/AV413&gt;=AD413,(AT413+AD413)/2,AT413-AU413/AV413)))</f>
        <v>1</v>
      </c>
      <c r="AX413" s="60" t="n">
        <f aca="false">SUMPRODUCT($E$13:$P$13*(N413:Y413-1)/(1+AW413*(N413:Y413-1)))</f>
        <v>0</v>
      </c>
      <c r="AY413" s="60" t="n">
        <f aca="false">-SUMPRODUCT($E$13:$P$13*(N413:Y413-1)^2/(1+AW413*(N413:Y413-1))^2)</f>
        <v>-0</v>
      </c>
      <c r="AZ413" s="60" t="n">
        <f aca="false">IF(OR(NOT(AB413),AY413=0),AW413,IF(AW413-AX413/AY413&lt;=AC413,(AW413+AC413)/2,IF(AW413-AX413/AY413&gt;=AD413,(AW413+AD413)/2,AW413-AX413/AY413)))</f>
        <v>1</v>
      </c>
      <c r="BA413" s="60" t="n">
        <f aca="false">SUMPRODUCT($E$13:$P$13*(N413:Y413-1)/(1+AZ413*(N413:Y413-1)))</f>
        <v>0</v>
      </c>
      <c r="BB413" s="60" t="n">
        <f aca="false">-SUMPRODUCT($E$13:$P$13*(N413:Y413-1)^2/(1+AZ413*(N413:Y413-1))^2)</f>
        <v>-0</v>
      </c>
      <c r="BC413" s="60" t="n">
        <f aca="false">IF(OR(NOT(AB413),BB413=0),AZ413,IF(AZ413-BA413/BB413&lt;=AC413,(AZ413+AC413)/2,IF(AZ413-BA413/BB413&gt;=AD413,(AZ413+AD413)/2,AZ413-BA413/BB413)))</f>
        <v>1</v>
      </c>
      <c r="BD413" s="60" t="n">
        <f aca="false">SUMPRODUCT($E$13:$P$13*(N413:Y413-1)/(1+BC413*(N413:Y413-1)))</f>
        <v>0</v>
      </c>
      <c r="BE413" s="60" t="n">
        <f aca="false">-SUMPRODUCT($E$13:$P$13*(N413:Y413-1)^2/(1+BC413*(N413:Y413-1))^2)</f>
        <v>-0</v>
      </c>
      <c r="BF413" s="60" t="n">
        <f aca="false">IF(OR(NOT(AB413),BE413=0),BC413,IF(BC413-BD413/BE413&lt;=AC413,(BC413+AC413)/2,IF(BC413-BD413/BE413&gt;=AD413,(BC413+AD413)/2,BC413-BD413/BE413)))</f>
        <v>1</v>
      </c>
      <c r="BG413" s="60" t="n">
        <f aca="false">SUMPRODUCT($E$13:$P$13*(N413:Y413-1)/(1+BF413*(N413:Y413-1)))</f>
        <v>0</v>
      </c>
      <c r="BH413" s="60" t="n">
        <f aca="false">-SUMPRODUCT($E$13:$P$13*(N413:Y413-1)^2/(1+BF413*(N413:Y413-1))^2)</f>
        <v>-0</v>
      </c>
      <c r="BI413" s="60" t="n">
        <f aca="false">IF(OR(NOT(AB413),BH413=0),BF413,IF(BF413-BG413/BH413&lt;=AC413,(BF413+AC413)/2,IF(BF413-BG413/BH413&gt;=AD413,(BF413+AD413)/2,BF413-BG413/BH413)))</f>
        <v>1</v>
      </c>
      <c r="BJ413" s="60" t="n">
        <f aca="false">$E$13/(1+BI413*(N413-1))</f>
        <v>1</v>
      </c>
      <c r="BK413" s="60" t="n">
        <f aca="false">$F$13/(1+BI413*(O413-1))</f>
        <v>0</v>
      </c>
      <c r="BL413" s="60" t="n">
        <f aca="false">$G$13/(1+BI413*(P413-1))</f>
        <v>0</v>
      </c>
      <c r="BM413" s="60" t="n">
        <f aca="false">$H$13/(1+BI413*(Q413-1))</f>
        <v>0</v>
      </c>
      <c r="BN413" s="60" t="n">
        <f aca="false">$I$13/(1+BI413*(R413-1))</f>
        <v>0</v>
      </c>
      <c r="BO413" s="60" t="n">
        <f aca="false">$J$13/(1+BI413*(S413-1))</f>
        <v>0</v>
      </c>
      <c r="BP413" s="60" t="n">
        <f aca="false">$K$13/(1+BI413*(T413-1))</f>
        <v>0</v>
      </c>
      <c r="BQ413" s="60" t="n">
        <f aca="false">$L$13/(1+BI413*(U413-1))</f>
        <v>0</v>
      </c>
      <c r="BR413" s="60" t="n">
        <f aca="false">$M$13/(1+BI413*(V413-1))</f>
        <v>0</v>
      </c>
      <c r="BS413" s="60" t="n">
        <f aca="false">$N$13/(1+BI413*(W413-1))</f>
        <v>0</v>
      </c>
      <c r="BT413" s="60" t="n">
        <f aca="false">$O$13/(1+BI413*(X413-1))</f>
        <v>0</v>
      </c>
      <c r="BU413" s="60" t="n">
        <f aca="false">$P$13/(1+BI413*(Y413-1))</f>
        <v>0</v>
      </c>
      <c r="BV413" s="60" t="n">
        <f aca="false">SUM(BJ413:BU413)</f>
        <v>1</v>
      </c>
      <c r="BW413" s="60" t="n">
        <f aca="false">SUMPRODUCT(N413:Y413,BJ413:BU413)</f>
        <v>1</v>
      </c>
      <c r="BX413" s="60" t="n">
        <f aca="false">BJ413/BV413</f>
        <v>1</v>
      </c>
      <c r="BY413" s="60" t="n">
        <f aca="false">BK413/BV413</f>
        <v>0</v>
      </c>
      <c r="BZ413" s="60" t="n">
        <f aca="false">BL413/BV413</f>
        <v>0</v>
      </c>
      <c r="CA413" s="60" t="n">
        <f aca="false">BM413/BV413</f>
        <v>0</v>
      </c>
      <c r="CB413" s="60" t="n">
        <f aca="false">BN413/BV413</f>
        <v>0</v>
      </c>
      <c r="CC413" s="60" t="n">
        <f aca="false">BO413/BV413</f>
        <v>0</v>
      </c>
      <c r="CD413" s="60" t="n">
        <f aca="false">BP413/BV413</f>
        <v>0</v>
      </c>
      <c r="CE413" s="60" t="n">
        <f aca="false">BQ413/BV413</f>
        <v>0</v>
      </c>
      <c r="CF413" s="60" t="n">
        <f aca="false">BR413/BV413</f>
        <v>0</v>
      </c>
      <c r="CG413" s="60" t="n">
        <f aca="false">BS413/BV413</f>
        <v>0</v>
      </c>
      <c r="CH413" s="60" t="n">
        <f aca="false">BT413/BV413</f>
        <v>0</v>
      </c>
      <c r="CI413" s="60" t="n">
        <f aca="false">BU413/BV413</f>
        <v>0</v>
      </c>
      <c r="CJ413" s="60" t="n">
        <f aca="false">N413*BJ413/BW413</f>
        <v>1</v>
      </c>
      <c r="CK413" s="60" t="n">
        <f aca="false">O413*BK413/BW413</f>
        <v>0</v>
      </c>
      <c r="CL413" s="60" t="n">
        <f aca="false">P413*BL413/BW413</f>
        <v>0</v>
      </c>
      <c r="CM413" s="60" t="n">
        <f aca="false">Q413*BM413/BW413</f>
        <v>0</v>
      </c>
      <c r="CN413" s="60" t="n">
        <f aca="false">R413*BN413/BW413</f>
        <v>0</v>
      </c>
      <c r="CO413" s="60" t="n">
        <f aca="false">S413*BO413/BW413</f>
        <v>0</v>
      </c>
      <c r="CP413" s="60" t="n">
        <f aca="false">T413*BP413/BW413</f>
        <v>0</v>
      </c>
      <c r="CQ413" s="60" t="n">
        <f aca="false">U413*BQ413/BW413</f>
        <v>0</v>
      </c>
      <c r="CR413" s="60" t="n">
        <f aca="false">V413*BR413/BW413</f>
        <v>0</v>
      </c>
      <c r="CS413" s="60" t="n">
        <f aca="false">W413*BS413/BW413</f>
        <v>0</v>
      </c>
      <c r="CT413" s="60" t="n">
        <f aca="false">X413*BT413/BW413</f>
        <v>0</v>
      </c>
      <c r="CU413" s="60" t="n">
        <f aca="false">Y413*BU413/BW413</f>
        <v>0</v>
      </c>
      <c r="CV413" s="60" t="n">
        <f aca="false">$E$28*SUMPRODUCT($E$31:$P$31,BX413:CI413,$E$28:$P$28)</f>
        <v>0.184416866619846</v>
      </c>
      <c r="CW413" s="60" t="n">
        <f aca="false">$F$28*SUMPRODUCT($E$32:$P$32,BX413:CI413,$E$28:$P$28)</f>
        <v>0</v>
      </c>
      <c r="CX413" s="60" t="n">
        <f aca="false">$G$28*SUMPRODUCT($E$33:$P$33,BX413:CI413,$E$28:$P$28)</f>
        <v>0</v>
      </c>
      <c r="CY413" s="60" t="n">
        <f aca="false">$H$28*SUMPRODUCT($E$34:$P$34,BX413:CI413,$E$28:$P$28)</f>
        <v>0</v>
      </c>
      <c r="CZ413" s="60" t="n">
        <f aca="false">$I$28*SUMPRODUCT($E$35:$P$35,BX413:CI413,$E$28:$P$28)</f>
        <v>0</v>
      </c>
      <c r="DA413" s="60" t="n">
        <f aca="false">$J$28*SUMPRODUCT($E$36:$P$36,BX413:CI413,$E$28:$P$28)</f>
        <v>0</v>
      </c>
      <c r="DB413" s="60" t="n">
        <f aca="false">$K$28*SUMPRODUCT($E$37:$P$37,BX413:CI413,$E$28:$P$28)</f>
        <v>0</v>
      </c>
      <c r="DC413" s="60" t="n">
        <f aca="false">$L$28*SUMPRODUCT($E$38:$P$38,BX413:CI413,$E$28:$P$28)</f>
        <v>0</v>
      </c>
      <c r="DD413" s="60" t="n">
        <f aca="false">$M$28*SUMPRODUCT($E$39:$P$39,BX413:CI413,$E$28:$P$28)</f>
        <v>0</v>
      </c>
      <c r="DE413" s="60" t="n">
        <f aca="false">$N$28*SUMPRODUCT($E$40:$P$40,BX413:CI413,$E$28:$P$28)</f>
        <v>0</v>
      </c>
      <c r="DF413" s="60" t="n">
        <f aca="false">$O$28*SUMPRODUCT($E$41:$P$41,BX413:CI413,$E$28:$P$28)</f>
        <v>0</v>
      </c>
      <c r="DG413" s="60" t="n">
        <f aca="false">$P$28*SUMPRODUCT($E$42:$P$42,BX413:CI413,$E$28:$P$28)</f>
        <v>0</v>
      </c>
      <c r="DH413" s="60" t="n">
        <f aca="false">SUMPRODUCT(BX413:CI413,CV413:DG413)</f>
        <v>0.184416866619846</v>
      </c>
      <c r="DI413" s="60" t="n">
        <f aca="false">SUMPRODUCT(BX413:CI413,$E$27:$P$27)</f>
        <v>2.67389635063809E-005</v>
      </c>
      <c r="DJ413" s="60" t="n">
        <f aca="false">DH413*$C$9/($C$10*$C$8)^2</f>
        <v>0.21776909410545</v>
      </c>
      <c r="DK413" s="60" t="n">
        <f aca="false">DI413*$C$9/($C$10*$C$8)</f>
        <v>0.0918845243259994</v>
      </c>
      <c r="DL413" s="60" t="n">
        <f aca="false">CHOOSE($C$7,-(1+DK413),-1,-(1-DK413))</f>
        <v>-0.908115475674001</v>
      </c>
      <c r="DM413" s="60" t="n">
        <f aca="false">CHOOSE($C$7,DJ413,DJ413-DK413-DK413^2,DJ413-3*DK413^2-2*DK413)</f>
        <v>0.00867174802160559</v>
      </c>
      <c r="DN413" s="60" t="n">
        <f aca="false">CHOOSE($C$7,-DJ413*DK413,-DJ413*DK413,-(DJ413*DK413-DK413^2-DK413^3))</f>
        <v>-0.0107910842936637</v>
      </c>
      <c r="DO413" s="60" t="n">
        <f aca="false">DM413-DL413^2/3</f>
        <v>-0.266219491031267</v>
      </c>
      <c r="DP413" s="60" t="n">
        <f aca="false">2*DL413^3/27-DL413*DM413/3+DN413</f>
        <v>-0.0636400988362784</v>
      </c>
      <c r="DQ413" s="60" t="n">
        <f aca="false">DP413^2/4+DO413^3/27</f>
        <v>0.000313710901361829</v>
      </c>
      <c r="DR413" s="60" t="n">
        <f aca="false">-DP413/2-IF(DP413&gt;=0,1,-1)*SQRT(MAX(DQ413,0))</f>
        <v>0.0495319352963236</v>
      </c>
      <c r="DS413" s="60" t="n">
        <f aca="false">SIGN(DR413)*ABS(DR413)^(1/3)</f>
        <v>0.367249967174439</v>
      </c>
      <c r="DT413" s="60" t="n">
        <f aca="false">IF(DS413=0,0,DS413-DO413/(3*DS413))</f>
        <v>0.60888329127384</v>
      </c>
      <c r="DU413" s="60" t="n">
        <f aca="false">2*SQRT(MAX(-DO413,0)/3)</f>
        <v>0.595784626668918</v>
      </c>
      <c r="DV413" s="60" t="n">
        <f aca="false">ACOS(IF(DU413=0,0,MAX(-1,MIN(1,3*DP413/(DO413*DU413)))))</f>
        <v>0</v>
      </c>
      <c r="DW413" s="60" t="n">
        <f aca="false">DU413*COS(DV413/3)</f>
        <v>0.595784626668918</v>
      </c>
      <c r="DX413" s="60" t="n">
        <f aca="false">IF(DQ413&lt;0,DW413,DT413)-DL413/3</f>
        <v>0.91158844983184</v>
      </c>
      <c r="DY413" s="60" t="n">
        <f aca="false">IFERROR((((DX413+DL413)*DX413+DM413)*DX413+DN413)/((3*DX413+2*DL413)*DX413+DM413),0)</f>
        <v>0</v>
      </c>
      <c r="DZ413" s="60" t="n">
        <f aca="false">IF(ABS(DY413)&lt;0.1*ABS(DX413),DX413-DY413,DX413)</f>
        <v>0.91158844983184</v>
      </c>
      <c r="EA413" s="60" t="n">
        <f aca="false">IFERROR((((DZ413+DL413)*DZ413+DM413)*DZ413+DN413)/((3*DZ413+2*DL413)*DZ413+DM413),0)</f>
        <v>0</v>
      </c>
      <c r="EB413" s="60" t="n">
        <f aca="false">IF(ABS(EA413)&lt;0.1*ABS(DZ413),DZ413-EA413,DZ413)</f>
        <v>0.91158844983184</v>
      </c>
      <c r="EC413" s="60" t="n">
        <f aca="false">-DN413/EB413</f>
        <v>0.0118376711504565</v>
      </c>
      <c r="ED413" s="60" t="n">
        <f aca="false">(DM413-EC413)/EB413</f>
        <v>-0.00347297415783941</v>
      </c>
      <c r="EE413" s="60" t="n">
        <f aca="false">ED413^2-4*EC413</f>
        <v>-0.0473386230523248</v>
      </c>
      <c r="EF413" s="60" t="n">
        <f aca="false">IF(EE413&gt;=0,(ED413+IF(ED413&gt;=0,1,-1)*SQRT(EE413))/2,0)</f>
        <v>0</v>
      </c>
      <c r="EG413" s="60" t="n">
        <f aca="false">IF(AND(EE413&gt;=0,EF413&lt;&gt;0),MIN(EF413,EC413/EF413),-1)</f>
        <v>-1</v>
      </c>
      <c r="EH413" s="60" t="n">
        <f aca="false">AND(EE413&gt;=0,EG413&gt;DK413,ABS(EB413-EG413)&gt;=0.00005*MAX(EB413,EG413))</f>
        <v>0</v>
      </c>
      <c r="EI413" s="60" t="n">
        <f aca="false">IF(EH413,IFERROR((((EG413+DL413)*EG413+DM413)*EG413+DN413)/((3*EG413+2*DL413)*EG413+DM413),0),0)</f>
        <v>0</v>
      </c>
      <c r="EJ413" s="60" t="n">
        <f aca="false">IF(ABS(EI413)&lt;0.1*ABS(EG413),EG413-EI413,EG413)</f>
        <v>-1</v>
      </c>
      <c r="EK413" s="60" t="n">
        <f aca="false">IF(EH413,IFERROR((((EJ413+DL413)*EJ413+DM413)*EJ413+DN413)/((3*EJ413+2*DL413)*EJ413+DM413),0),0)</f>
        <v>0</v>
      </c>
      <c r="EL413" s="60" t="n">
        <f aca="false">IF(ABS(EK413)&lt;0.1*ABS(EJ413),EJ413-EK413,EJ413)</f>
        <v>-1</v>
      </c>
      <c r="EM413" s="60" t="n">
        <f aca="false">IF(EH413,MAX(EB413,EL413),EB413)</f>
        <v>0.91158844983184</v>
      </c>
      <c r="EN413" s="60" t="n">
        <f aca="false">IF(EH413,MIN(EB413,EL413),-1)</f>
        <v>-1</v>
      </c>
      <c r="EO413" s="60" t="n">
        <f aca="false">CHOOSE($C$7,DJ413/EM413,DJ413/DK413*LN(1+DK413/EM413),DJ413/(2*SQRT(2)*DK413)*LN((EM413+(1+SQRT(2))*DK413)/(EM413+(1-SQRT(2))*DK413)))</f>
        <v>0.218240791233887</v>
      </c>
      <c r="EP413" s="60" t="n">
        <f aca="false">EM413-1-LN(EM413-DK413)-EO413</f>
        <v>-0.107840271021729</v>
      </c>
      <c r="EQ413" s="60" t="n">
        <f aca="false">IF(EH413,CHOOSE($C$7,DJ413/EN413,DJ413/DK413*LN(1+DK413/EN413),DJ413/(2*SQRT(2)*DK413)*LN((EN413+(1+SQRT(2))*DK413)/(EN413+(1-SQRT(2))*DK413))),0)</f>
        <v>0</v>
      </c>
      <c r="ER413" s="60" t="n">
        <f aca="false">IF(EH413,EN413-1-LN(EN413-DK413)-EQ413,0)</f>
        <v>0</v>
      </c>
      <c r="ES413" s="60" t="n">
        <f aca="false">AND(EH413,ER413&lt;EP413)</f>
        <v>0</v>
      </c>
      <c r="ET413" s="60" t="n">
        <f aca="false">IF(ES413,EN413,EM413)</f>
        <v>0.91158844983184</v>
      </c>
      <c r="EU413" s="60" t="n">
        <f aca="false">IF(ES413,EQ413,EO413)</f>
        <v>0.218240791233887</v>
      </c>
      <c r="EV413" s="60" t="n">
        <f aca="false">LN(ET413-DK413)</f>
        <v>-0.198812070380318</v>
      </c>
      <c r="EW413" s="60" t="n">
        <f aca="false">$E$27/DI413*(ET413-1)-EV413-EU413*(2*CV413/DH413-$E$27/DI413)</f>
        <v>-0.107840271021729</v>
      </c>
      <c r="EX413" s="60" t="n">
        <f aca="false">$F$27/DI413*(ET413-1)-EV413-EU413*(2*CW413/DH413-$F$27/DI413)</f>
        <v>0.198812070380318</v>
      </c>
      <c r="EY413" s="60" t="n">
        <f aca="false">$G$27/DI413*(ET413-1)-EV413-EU413*(2*CX413/DH413-$G$27/DI413)</f>
        <v>0.198812070380318</v>
      </c>
      <c r="EZ413" s="60" t="n">
        <f aca="false">$H$27/DI413*(ET413-1)-EV413-EU413*(2*CY413/DH413-$H$27/DI413)</f>
        <v>0.198812070380318</v>
      </c>
      <c r="FA413" s="60" t="n">
        <f aca="false">$I$27/DI413*(ET413-1)-EV413-EU413*(2*CZ413/DH413-$I$27/DI413)</f>
        <v>0.198812070380318</v>
      </c>
      <c r="FB413" s="60" t="n">
        <f aca="false">$J$27/DI413*(ET413-1)-EV413-EU413*(2*DA413/DH413-$J$27/DI413)</f>
        <v>0.198812070380318</v>
      </c>
      <c r="FC413" s="60" t="n">
        <f aca="false">$K$27/DI413*(ET413-1)-EV413-EU413*(2*DB413/DH413-$K$27/DI413)</f>
        <v>0.198812070380318</v>
      </c>
      <c r="FD413" s="60" t="n">
        <f aca="false">$L$27/DI413*(ET413-1)-EV413-EU413*(2*DC413/DH413-$L$27/DI413)</f>
        <v>0.198812070380318</v>
      </c>
      <c r="FE413" s="60" t="n">
        <f aca="false">$M$27/DI413*(ET413-1)-EV413-EU413*(2*DD413/DH413-$M$27/DI413)</f>
        <v>0.198812070380318</v>
      </c>
      <c r="FF413" s="60" t="n">
        <f aca="false">$N$27/DI413*(ET413-1)-EV413-EU413*(2*DE413/DH413-$N$27/DI413)</f>
        <v>0.198812070380318</v>
      </c>
      <c r="FG413" s="60" t="n">
        <f aca="false">$O$27/DI413*(ET413-1)-EV413-EU413*(2*DF413/DH413-$O$27/DI413)</f>
        <v>0.198812070380318</v>
      </c>
      <c r="FH413" s="60" t="n">
        <f aca="false">$P$27/DI413*(ET413-1)-EV413-EU413*(2*DG413/DH413-$P$27/DI413)</f>
        <v>0.198812070380318</v>
      </c>
      <c r="FI413" s="60" t="n">
        <f aca="false">DK413/ET413&gt;$C$22</f>
        <v>0</v>
      </c>
      <c r="FJ413" s="60" t="n">
        <f aca="false">$E$28*SUMPRODUCT($E$31:$P$31,CJ413:CU413,$E$28:$P$28)</f>
        <v>0.184416866619846</v>
      </c>
      <c r="FK413" s="60" t="n">
        <f aca="false">$F$28*SUMPRODUCT($E$32:$P$32,CJ413:CU413,$E$28:$P$28)</f>
        <v>0</v>
      </c>
      <c r="FL413" s="60" t="n">
        <f aca="false">$G$28*SUMPRODUCT($E$33:$P$33,CJ413:CU413,$E$28:$P$28)</f>
        <v>0</v>
      </c>
      <c r="FM413" s="60" t="n">
        <f aca="false">$H$28*SUMPRODUCT($E$34:$P$34,CJ413:CU413,$E$28:$P$28)</f>
        <v>0</v>
      </c>
      <c r="FN413" s="60" t="n">
        <f aca="false">$I$28*SUMPRODUCT($E$35:$P$35,CJ413:CU413,$E$28:$P$28)</f>
        <v>0</v>
      </c>
      <c r="FO413" s="60" t="n">
        <f aca="false">$J$28*SUMPRODUCT($E$36:$P$36,CJ413:CU413,$E$28:$P$28)</f>
        <v>0</v>
      </c>
      <c r="FP413" s="60" t="n">
        <f aca="false">$K$28*SUMPRODUCT($E$37:$P$37,CJ413:CU413,$E$28:$P$28)</f>
        <v>0</v>
      </c>
      <c r="FQ413" s="60" t="n">
        <f aca="false">$L$28*SUMPRODUCT($E$38:$P$38,CJ413:CU413,$E$28:$P$28)</f>
        <v>0</v>
      </c>
      <c r="FR413" s="60" t="n">
        <f aca="false">$M$28*SUMPRODUCT($E$39:$P$39,CJ413:CU413,$E$28:$P$28)</f>
        <v>0</v>
      </c>
      <c r="FS413" s="60" t="n">
        <f aca="false">$N$28*SUMPRODUCT($E$40:$P$40,CJ413:CU413,$E$28:$P$28)</f>
        <v>0</v>
      </c>
      <c r="FT413" s="60" t="n">
        <f aca="false">$O$28*SUMPRODUCT($E$41:$P$41,CJ413:CU413,$E$28:$P$28)</f>
        <v>0</v>
      </c>
      <c r="FU413" s="60" t="n">
        <f aca="false">$P$28*SUMPRODUCT($E$42:$P$42,CJ413:CU413,$E$28:$P$28)</f>
        <v>0</v>
      </c>
      <c r="FV413" s="60" t="n">
        <f aca="false">SUMPRODUCT(CJ413:CU413,FJ413:FU413)</f>
        <v>0.184416866619846</v>
      </c>
      <c r="FW413" s="60" t="n">
        <f aca="false">SUMPRODUCT(CJ413:CU413,$E$27:$P$27)</f>
        <v>2.67389635063809E-005</v>
      </c>
      <c r="FX413" s="60" t="n">
        <f aca="false">FV413*$C$9/($C$10*$C$8)^2</f>
        <v>0.21776909410545</v>
      </c>
      <c r="FY413" s="60" t="n">
        <f aca="false">FW413*$C$9/($C$10*$C$8)</f>
        <v>0.0918845243259994</v>
      </c>
      <c r="FZ413" s="60" t="n">
        <f aca="false">CHOOSE($C$7,-(1+FY413),-1,-(1-FY413))</f>
        <v>-0.908115475674001</v>
      </c>
      <c r="GA413" s="60" t="n">
        <f aca="false">CHOOSE($C$7,FX413,FX413-FY413-FY413^2,FX413-3*FY413^2-2*FY413)</f>
        <v>0.00867174802160559</v>
      </c>
      <c r="GB413" s="60" t="n">
        <f aca="false">CHOOSE($C$7,-FX413*FY413,-FX413*FY413,-(FX413*FY413-FY413^2-FY413^3))</f>
        <v>-0.0107910842936637</v>
      </c>
      <c r="GC413" s="60" t="n">
        <f aca="false">GA413-FZ413^2/3</f>
        <v>-0.266219491031267</v>
      </c>
      <c r="GD413" s="60" t="n">
        <f aca="false">2*FZ413^3/27-FZ413*GA413/3+GB413</f>
        <v>-0.0636400988362784</v>
      </c>
      <c r="GE413" s="60" t="n">
        <f aca="false">GD413^2/4+GC413^3/27</f>
        <v>0.000313710901361829</v>
      </c>
      <c r="GF413" s="60" t="n">
        <f aca="false">-GD413/2-IF(GD413&gt;=0,1,-1)*SQRT(MAX(GE413,0))</f>
        <v>0.0495319352963236</v>
      </c>
      <c r="GG413" s="60" t="n">
        <f aca="false">SIGN(GF413)*ABS(GF413)^(1/3)</f>
        <v>0.367249967174439</v>
      </c>
      <c r="GH413" s="60" t="n">
        <f aca="false">IF(GG413=0,0,GG413-GC413/(3*GG413))</f>
        <v>0.60888329127384</v>
      </c>
      <c r="GI413" s="60" t="n">
        <f aca="false">2*SQRT(MAX(-GC413,0)/3)</f>
        <v>0.595784626668918</v>
      </c>
      <c r="GJ413" s="60" t="n">
        <f aca="false">ACOS(IF(GI413=0,0,MAX(-1,MIN(1,3*GD413/(GC413*GI413)))))</f>
        <v>0</v>
      </c>
      <c r="GK413" s="60" t="n">
        <f aca="false">GI413*COS(GJ413/3)</f>
        <v>0.595784626668918</v>
      </c>
      <c r="GL413" s="60" t="n">
        <f aca="false">IF(GE413&lt;0,GK413,GH413)-FZ413/3</f>
        <v>0.91158844983184</v>
      </c>
      <c r="GM413" s="60" t="n">
        <f aca="false">IFERROR((((GL413+FZ413)*GL413+GA413)*GL413+GB413)/((3*GL413+2*FZ413)*GL413+GA413),0)</f>
        <v>0</v>
      </c>
      <c r="GN413" s="60" t="n">
        <f aca="false">IF(ABS(GM413)&lt;0.1*ABS(GL413),GL413-GM413,GL413)</f>
        <v>0.91158844983184</v>
      </c>
      <c r="GO413" s="60" t="n">
        <f aca="false">IFERROR((((GN413+FZ413)*GN413+GA413)*GN413+GB413)/((3*GN413+2*FZ413)*GN413+GA413),0)</f>
        <v>0</v>
      </c>
      <c r="GP413" s="60" t="n">
        <f aca="false">IF(ABS(GO413)&lt;0.1*ABS(GN413),GN413-GO413,GN413)</f>
        <v>0.91158844983184</v>
      </c>
      <c r="GQ413" s="60" t="n">
        <f aca="false">-GB413/GP413</f>
        <v>0.0118376711504565</v>
      </c>
      <c r="GR413" s="60" t="n">
        <f aca="false">(GA413-GQ413)/GP413</f>
        <v>-0.00347297415783941</v>
      </c>
      <c r="GS413" s="60" t="n">
        <f aca="false">GR413^2-4*GQ413</f>
        <v>-0.0473386230523248</v>
      </c>
      <c r="GT413" s="60" t="n">
        <f aca="false">IF(GS413&gt;=0,(GR413+IF(GR413&gt;=0,1,-1)*SQRT(GS413))/2,0)</f>
        <v>0</v>
      </c>
      <c r="GU413" s="60" t="n">
        <f aca="false">IF(AND(GS413&gt;=0,GT413&lt;&gt;0),MIN(GT413,GQ413/GT413),-1)</f>
        <v>-1</v>
      </c>
      <c r="GV413" s="60" t="n">
        <f aca="false">AND(GS413&gt;=0,GU413&gt;FY413,ABS(GP413-GU413)&gt;=0.00005*MAX(GP413,GU413))</f>
        <v>0</v>
      </c>
      <c r="GW413" s="60" t="n">
        <f aca="false">IF(GV413,IFERROR((((GU413+FZ413)*GU413+GA413)*GU413+GB413)/((3*GU413+2*FZ413)*GU413+GA413),0),0)</f>
        <v>0</v>
      </c>
      <c r="GX413" s="60" t="n">
        <f aca="false">IF(ABS(GW413)&lt;0.1*ABS(GU413),GU413-GW413,GU413)</f>
        <v>-1</v>
      </c>
      <c r="GY413" s="60" t="n">
        <f aca="false">IF(GV413,IFERROR((((GX413+FZ413)*GX413+GA413)*GX413+GB413)/((3*GX413+2*FZ413)*GX413+GA413),0),0)</f>
        <v>0</v>
      </c>
      <c r="GZ413" s="60" t="n">
        <f aca="false">IF(ABS(GY413)&lt;0.1*ABS(GX413),GX413-GY413,GX413)</f>
        <v>-1</v>
      </c>
      <c r="HA413" s="60" t="n">
        <f aca="false">IF(GV413,MAX(GP413,GZ413),GP413)</f>
        <v>0.91158844983184</v>
      </c>
      <c r="HB413" s="60" t="n">
        <f aca="false">IF(GV413,MIN(GP413,GZ413),-1)</f>
        <v>-1</v>
      </c>
      <c r="HC413" s="60" t="n">
        <f aca="false">CHOOSE($C$7,FX413/HA413,FX413/FY413*LN(1+FY413/HA413),FX413/(2*SQRT(2)*FY413)*LN((HA413+(1+SQRT(2))*FY413)/(HA413+(1-SQRT(2))*FY413)))</f>
        <v>0.218240791233887</v>
      </c>
      <c r="HD413" s="60" t="n">
        <f aca="false">HA413-1-LN(HA413-FY413)-HC413</f>
        <v>-0.107840271021729</v>
      </c>
      <c r="HE413" s="60" t="n">
        <f aca="false">IF(GV413,CHOOSE($C$7,FX413/HB413,FX413/FY413*LN(1+FY413/HB413),FX413/(2*SQRT(2)*FY413)*LN((HB413+(1+SQRT(2))*FY413)/(HB413+(1-SQRT(2))*FY413))),0)</f>
        <v>0</v>
      </c>
      <c r="HF413" s="60" t="n">
        <f aca="false">IF(GV413,HB413-1-LN(HB413-FY413)-HE413,0)</f>
        <v>0</v>
      </c>
      <c r="HG413" s="60" t="n">
        <f aca="false">AND(GV413,HF413&lt;HD413)</f>
        <v>0</v>
      </c>
      <c r="HH413" s="60" t="n">
        <f aca="false">IF(HG413,HB413,HA413)</f>
        <v>0.91158844983184</v>
      </c>
      <c r="HI413" s="60" t="n">
        <f aca="false">IF(HG413,HE413,HC413)</f>
        <v>0.218240791233887</v>
      </c>
      <c r="HJ413" s="60" t="n">
        <f aca="false">LN(HH413-FY413)</f>
        <v>-0.198812070380318</v>
      </c>
      <c r="HK413" s="60" t="n">
        <f aca="false">$E$27/FW413*(HH413-1)-HJ413-HI413*(2*FJ413/FV413-$E$27/FW413)</f>
        <v>-0.107840271021729</v>
      </c>
      <c r="HL413" s="60" t="n">
        <f aca="false">$F$27/FW413*(HH413-1)-HJ413-HI413*(2*FK413/FV413-$F$27/FW413)</f>
        <v>0.198812070380318</v>
      </c>
      <c r="HM413" s="60" t="n">
        <f aca="false">$G$27/FW413*(HH413-1)-HJ413-HI413*(2*FL413/FV413-$G$27/FW413)</f>
        <v>0.198812070380318</v>
      </c>
      <c r="HN413" s="60" t="n">
        <f aca="false">$H$27/FW413*(HH413-1)-HJ413-HI413*(2*FM413/FV413-$H$27/FW413)</f>
        <v>0.198812070380318</v>
      </c>
      <c r="HO413" s="60" t="n">
        <f aca="false">$I$27/FW413*(HH413-1)-HJ413-HI413*(2*FN413/FV413-$I$27/FW413)</f>
        <v>0.198812070380318</v>
      </c>
      <c r="HP413" s="60" t="n">
        <f aca="false">$J$27/FW413*(HH413-1)-HJ413-HI413*(2*FO413/FV413-$J$27/FW413)</f>
        <v>0.198812070380318</v>
      </c>
      <c r="HQ413" s="60" t="n">
        <f aca="false">$K$27/FW413*(HH413-1)-HJ413-HI413*(2*FP413/FV413-$K$27/FW413)</f>
        <v>0.198812070380318</v>
      </c>
      <c r="HR413" s="60" t="n">
        <f aca="false">$L$27/FW413*(HH413-1)-HJ413-HI413*(2*FQ413/FV413-$L$27/FW413)</f>
        <v>0.198812070380318</v>
      </c>
      <c r="HS413" s="60" t="n">
        <f aca="false">$M$27/FW413*(HH413-1)-HJ413-HI413*(2*FR413/FV413-$M$27/FW413)</f>
        <v>0.198812070380318</v>
      </c>
      <c r="HT413" s="60" t="n">
        <f aca="false">$N$27/FW413*(HH413-1)-HJ413-HI413*(2*FS413/FV413-$N$27/FW413)</f>
        <v>0.198812070380318</v>
      </c>
      <c r="HU413" s="60" t="n">
        <f aca="false">$O$27/FW413*(HH413-1)-HJ413-HI413*(2*FT413/FV413-$O$27/FW413)</f>
        <v>0.198812070380318</v>
      </c>
      <c r="HV413" s="60" t="n">
        <f aca="false">$P$27/FW413*(HH413-1)-HJ413-HI413*(2*FU413/FV413-$P$27/FW413)</f>
        <v>0.198812070380318</v>
      </c>
      <c r="HW413" s="60" t="n">
        <f aca="false">FY413/HH413&gt;$C$22</f>
        <v>0</v>
      </c>
      <c r="HX413" s="60" t="n">
        <f aca="false">IF($E$13&gt;0,MAX(-300,MIN(300,EW413-HK413)),0)</f>
        <v>0</v>
      </c>
      <c r="HY413" s="60" t="n">
        <f aca="false">IF($F$13&gt;0,MAX(-300,MIN(300,EX413-HL413)),0)</f>
        <v>0</v>
      </c>
      <c r="HZ413" s="60" t="n">
        <f aca="false">IF($G$13&gt;0,MAX(-300,MIN(300,EY413-HM413)),0)</f>
        <v>0</v>
      </c>
      <c r="IA413" s="60" t="n">
        <f aca="false">IF($H$13&gt;0,MAX(-300,MIN(300,EZ413-HN413)),0)</f>
        <v>0</v>
      </c>
      <c r="IB413" s="60" t="n">
        <f aca="false">IF($I$13&gt;0,MAX(-300,MIN(300,FA413-HO413)),0)</f>
        <v>0</v>
      </c>
      <c r="IC413" s="60" t="n">
        <f aca="false">IF($J$13&gt;0,MAX(-300,MIN(300,FB413-HP413)),0)</f>
        <v>0</v>
      </c>
      <c r="ID413" s="60" t="n">
        <f aca="false">IF($K$13&gt;0,MAX(-300,MIN(300,FC413-HQ413)),0)</f>
        <v>0</v>
      </c>
      <c r="IE413" s="60" t="n">
        <f aca="false">IF($L$13&gt;0,MAX(-300,MIN(300,FD413-HR413)),0)</f>
        <v>0</v>
      </c>
      <c r="IF413" s="60" t="n">
        <f aca="false">IF($M$13&gt;0,MAX(-300,MIN(300,FE413-HS413)),0)</f>
        <v>0</v>
      </c>
      <c r="IG413" s="60" t="n">
        <f aca="false">IF($N$13&gt;0,MAX(-300,MIN(300,FF413-HT413)),0)</f>
        <v>0</v>
      </c>
      <c r="IH413" s="60" t="n">
        <f aca="false">IF($O$13&gt;0,MAX(-300,MIN(300,FG413-HU413)),0)</f>
        <v>0</v>
      </c>
      <c r="II413" s="60" t="n">
        <f aca="false">IF($P$13&gt;0,MAX(-300,MIN(300,FH413-HV413)),0)</f>
        <v>0</v>
      </c>
      <c r="IJ413" s="60" t="n">
        <f aca="false">SUMXMY2(HX413:II413,B413:M413)</f>
        <v>0</v>
      </c>
      <c r="IK413" s="60" t="n">
        <f aca="false">SUMSQ(B413:M413)</f>
        <v>0</v>
      </c>
    </row>
    <row r="414" customFormat="false" ht="15" hidden="false" customHeight="false" outlineLevel="0" collapsed="false">
      <c r="A414" s="59" t="n">
        <v>53</v>
      </c>
      <c r="B414" s="60" t="n">
        <f aca="false">HX413</f>
        <v>0</v>
      </c>
      <c r="C414" s="60" t="n">
        <f aca="false">HY413</f>
        <v>0</v>
      </c>
      <c r="D414" s="60" t="n">
        <f aca="false">HZ413</f>
        <v>0</v>
      </c>
      <c r="E414" s="60" t="n">
        <f aca="false">IA413</f>
        <v>0</v>
      </c>
      <c r="F414" s="60" t="n">
        <f aca="false">IB413</f>
        <v>0</v>
      </c>
      <c r="G414" s="60" t="n">
        <f aca="false">IC413</f>
        <v>0</v>
      </c>
      <c r="H414" s="60" t="n">
        <f aca="false">ID413</f>
        <v>0</v>
      </c>
      <c r="I414" s="60" t="n">
        <f aca="false">IE413</f>
        <v>0</v>
      </c>
      <c r="J414" s="60" t="n">
        <f aca="false">IF413</f>
        <v>0</v>
      </c>
      <c r="K414" s="60" t="n">
        <f aca="false">IG413</f>
        <v>0</v>
      </c>
      <c r="L414" s="60" t="n">
        <f aca="false">IH413</f>
        <v>0</v>
      </c>
      <c r="M414" s="60" t="n">
        <f aca="false">II413</f>
        <v>0</v>
      </c>
      <c r="N414" s="60" t="n">
        <f aca="false">EXP(B414)</f>
        <v>1</v>
      </c>
      <c r="O414" s="60" t="n">
        <f aca="false">EXP(C414)</f>
        <v>1</v>
      </c>
      <c r="P414" s="60" t="n">
        <f aca="false">EXP(D414)</f>
        <v>1</v>
      </c>
      <c r="Q414" s="60" t="n">
        <f aca="false">EXP(E414)</f>
        <v>1</v>
      </c>
      <c r="R414" s="60" t="n">
        <f aca="false">EXP(F414)</f>
        <v>1</v>
      </c>
      <c r="S414" s="60" t="n">
        <f aca="false">EXP(G414)</f>
        <v>1</v>
      </c>
      <c r="T414" s="60" t="n">
        <f aca="false">EXP(H414)</f>
        <v>1</v>
      </c>
      <c r="U414" s="60" t="n">
        <f aca="false">EXP(I414)</f>
        <v>1</v>
      </c>
      <c r="V414" s="60" t="n">
        <f aca="false">EXP(J414)</f>
        <v>1</v>
      </c>
      <c r="W414" s="60" t="n">
        <f aca="false">EXP(K414)</f>
        <v>1</v>
      </c>
      <c r="X414" s="60" t="n">
        <f aca="false">EXP(L414)</f>
        <v>1</v>
      </c>
      <c r="Y414" s="60" t="n">
        <f aca="false">EXP(M414)</f>
        <v>1</v>
      </c>
      <c r="Z414" s="60" t="n">
        <f aca="false">MAX(N414:Y414)</f>
        <v>1</v>
      </c>
      <c r="AA414" s="60" t="n">
        <f aca="false">MIN(N414:Y414)</f>
        <v>1</v>
      </c>
      <c r="AB414" s="60" t="n">
        <f aca="false">AND(Z414&gt;1,AA414&lt;1)</f>
        <v>0</v>
      </c>
      <c r="AC414" s="60" t="n">
        <f aca="false">IF(AB414,1/(1-Z414),0)</f>
        <v>0</v>
      </c>
      <c r="AD414" s="60" t="n">
        <f aca="false">IF(AB414,1/(1-AA414),1)</f>
        <v>1</v>
      </c>
      <c r="AE414" s="60" t="n">
        <f aca="false">IF(AB414,MIN(MAX(BI413,AC414+0.000000001*(AD414-AC414)),AD414-0.000000001*(AD414-AC414)),IF(AA414&gt;=1,1,0))</f>
        <v>1</v>
      </c>
      <c r="AF414" s="60" t="n">
        <f aca="false">SUMPRODUCT($E$13:$P$13*(N414:Y414-1)/(1+AE414*(N414:Y414-1)))</f>
        <v>0</v>
      </c>
      <c r="AG414" s="60" t="n">
        <f aca="false">-SUMPRODUCT($E$13:$P$13*(N414:Y414-1)^2/(1+AE414*(N414:Y414-1))^2)</f>
        <v>-0</v>
      </c>
      <c r="AH414" s="60" t="n">
        <f aca="false">IF(OR(NOT(AB414),AG414=0),AE414,IF(AE414-AF414/AG414&lt;=AC414,(AE414+AC414)/2,IF(AE414-AF414/AG414&gt;=AD414,(AE414+AD414)/2,AE414-AF414/AG414)))</f>
        <v>1</v>
      </c>
      <c r="AI414" s="60" t="n">
        <f aca="false">SUMPRODUCT($E$13:$P$13*(N414:Y414-1)/(1+AH414*(N414:Y414-1)))</f>
        <v>0</v>
      </c>
      <c r="AJ414" s="60" t="n">
        <f aca="false">-SUMPRODUCT($E$13:$P$13*(N414:Y414-1)^2/(1+AH414*(N414:Y414-1))^2)</f>
        <v>-0</v>
      </c>
      <c r="AK414" s="60" t="n">
        <f aca="false">IF(OR(NOT(AB414),AJ414=0),AH414,IF(AH414-AI414/AJ414&lt;=AC414,(AH414+AC414)/2,IF(AH414-AI414/AJ414&gt;=AD414,(AH414+AD414)/2,AH414-AI414/AJ414)))</f>
        <v>1</v>
      </c>
      <c r="AL414" s="60" t="n">
        <f aca="false">SUMPRODUCT($E$13:$P$13*(N414:Y414-1)/(1+AK414*(N414:Y414-1)))</f>
        <v>0</v>
      </c>
      <c r="AM414" s="60" t="n">
        <f aca="false">-SUMPRODUCT($E$13:$P$13*(N414:Y414-1)^2/(1+AK414*(N414:Y414-1))^2)</f>
        <v>-0</v>
      </c>
      <c r="AN414" s="60" t="n">
        <f aca="false">IF(OR(NOT(AB414),AM414=0),AK414,IF(AK414-AL414/AM414&lt;=AC414,(AK414+AC414)/2,IF(AK414-AL414/AM414&gt;=AD414,(AK414+AD414)/2,AK414-AL414/AM414)))</f>
        <v>1</v>
      </c>
      <c r="AO414" s="60" t="n">
        <f aca="false">SUMPRODUCT($E$13:$P$13*(N414:Y414-1)/(1+AN414*(N414:Y414-1)))</f>
        <v>0</v>
      </c>
      <c r="AP414" s="60" t="n">
        <f aca="false">-SUMPRODUCT($E$13:$P$13*(N414:Y414-1)^2/(1+AN414*(N414:Y414-1))^2)</f>
        <v>-0</v>
      </c>
      <c r="AQ414" s="60" t="n">
        <f aca="false">IF(OR(NOT(AB414),AP414=0),AN414,IF(AN414-AO414/AP414&lt;=AC414,(AN414+AC414)/2,IF(AN414-AO414/AP414&gt;=AD414,(AN414+AD414)/2,AN414-AO414/AP414)))</f>
        <v>1</v>
      </c>
      <c r="AR414" s="60" t="n">
        <f aca="false">SUMPRODUCT($E$13:$P$13*(N414:Y414-1)/(1+AQ414*(N414:Y414-1)))</f>
        <v>0</v>
      </c>
      <c r="AS414" s="60" t="n">
        <f aca="false">-SUMPRODUCT($E$13:$P$13*(N414:Y414-1)^2/(1+AQ414*(N414:Y414-1))^2)</f>
        <v>-0</v>
      </c>
      <c r="AT414" s="60" t="n">
        <f aca="false">IF(OR(NOT(AB414),AS414=0),AQ414,IF(AQ414-AR414/AS414&lt;=AC414,(AQ414+AC414)/2,IF(AQ414-AR414/AS414&gt;=AD414,(AQ414+AD414)/2,AQ414-AR414/AS414)))</f>
        <v>1</v>
      </c>
      <c r="AU414" s="60" t="n">
        <f aca="false">SUMPRODUCT($E$13:$P$13*(N414:Y414-1)/(1+AT414*(N414:Y414-1)))</f>
        <v>0</v>
      </c>
      <c r="AV414" s="60" t="n">
        <f aca="false">-SUMPRODUCT($E$13:$P$13*(N414:Y414-1)^2/(1+AT414*(N414:Y414-1))^2)</f>
        <v>-0</v>
      </c>
      <c r="AW414" s="60" t="n">
        <f aca="false">IF(OR(NOT(AB414),AV414=0),AT414,IF(AT414-AU414/AV414&lt;=AC414,(AT414+AC414)/2,IF(AT414-AU414/AV414&gt;=AD414,(AT414+AD414)/2,AT414-AU414/AV414)))</f>
        <v>1</v>
      </c>
      <c r="AX414" s="60" t="n">
        <f aca="false">SUMPRODUCT($E$13:$P$13*(N414:Y414-1)/(1+AW414*(N414:Y414-1)))</f>
        <v>0</v>
      </c>
      <c r="AY414" s="60" t="n">
        <f aca="false">-SUMPRODUCT($E$13:$P$13*(N414:Y414-1)^2/(1+AW414*(N414:Y414-1))^2)</f>
        <v>-0</v>
      </c>
      <c r="AZ414" s="60" t="n">
        <f aca="false">IF(OR(NOT(AB414),AY414=0),AW414,IF(AW414-AX414/AY414&lt;=AC414,(AW414+AC414)/2,IF(AW414-AX414/AY414&gt;=AD414,(AW414+AD414)/2,AW414-AX414/AY414)))</f>
        <v>1</v>
      </c>
      <c r="BA414" s="60" t="n">
        <f aca="false">SUMPRODUCT($E$13:$P$13*(N414:Y414-1)/(1+AZ414*(N414:Y414-1)))</f>
        <v>0</v>
      </c>
      <c r="BB414" s="60" t="n">
        <f aca="false">-SUMPRODUCT($E$13:$P$13*(N414:Y414-1)^2/(1+AZ414*(N414:Y414-1))^2)</f>
        <v>-0</v>
      </c>
      <c r="BC414" s="60" t="n">
        <f aca="false">IF(OR(NOT(AB414),BB414=0),AZ414,IF(AZ414-BA414/BB414&lt;=AC414,(AZ414+AC414)/2,IF(AZ414-BA414/BB414&gt;=AD414,(AZ414+AD414)/2,AZ414-BA414/BB414)))</f>
        <v>1</v>
      </c>
      <c r="BD414" s="60" t="n">
        <f aca="false">SUMPRODUCT($E$13:$P$13*(N414:Y414-1)/(1+BC414*(N414:Y414-1)))</f>
        <v>0</v>
      </c>
      <c r="BE414" s="60" t="n">
        <f aca="false">-SUMPRODUCT($E$13:$P$13*(N414:Y414-1)^2/(1+BC414*(N414:Y414-1))^2)</f>
        <v>-0</v>
      </c>
      <c r="BF414" s="60" t="n">
        <f aca="false">IF(OR(NOT(AB414),BE414=0),BC414,IF(BC414-BD414/BE414&lt;=AC414,(BC414+AC414)/2,IF(BC414-BD414/BE414&gt;=AD414,(BC414+AD414)/2,BC414-BD414/BE414)))</f>
        <v>1</v>
      </c>
      <c r="BG414" s="60" t="n">
        <f aca="false">SUMPRODUCT($E$13:$P$13*(N414:Y414-1)/(1+BF414*(N414:Y414-1)))</f>
        <v>0</v>
      </c>
      <c r="BH414" s="60" t="n">
        <f aca="false">-SUMPRODUCT($E$13:$P$13*(N414:Y414-1)^2/(1+BF414*(N414:Y414-1))^2)</f>
        <v>-0</v>
      </c>
      <c r="BI414" s="60" t="n">
        <f aca="false">IF(OR(NOT(AB414),BH414=0),BF414,IF(BF414-BG414/BH414&lt;=AC414,(BF414+AC414)/2,IF(BF414-BG414/BH414&gt;=AD414,(BF414+AD414)/2,BF414-BG414/BH414)))</f>
        <v>1</v>
      </c>
      <c r="BJ414" s="60" t="n">
        <f aca="false">$E$13/(1+BI414*(N414-1))</f>
        <v>1</v>
      </c>
      <c r="BK414" s="60" t="n">
        <f aca="false">$F$13/(1+BI414*(O414-1))</f>
        <v>0</v>
      </c>
      <c r="BL414" s="60" t="n">
        <f aca="false">$G$13/(1+BI414*(P414-1))</f>
        <v>0</v>
      </c>
      <c r="BM414" s="60" t="n">
        <f aca="false">$H$13/(1+BI414*(Q414-1))</f>
        <v>0</v>
      </c>
      <c r="BN414" s="60" t="n">
        <f aca="false">$I$13/(1+BI414*(R414-1))</f>
        <v>0</v>
      </c>
      <c r="BO414" s="60" t="n">
        <f aca="false">$J$13/(1+BI414*(S414-1))</f>
        <v>0</v>
      </c>
      <c r="BP414" s="60" t="n">
        <f aca="false">$K$13/(1+BI414*(T414-1))</f>
        <v>0</v>
      </c>
      <c r="BQ414" s="60" t="n">
        <f aca="false">$L$13/(1+BI414*(U414-1))</f>
        <v>0</v>
      </c>
      <c r="BR414" s="60" t="n">
        <f aca="false">$M$13/(1+BI414*(V414-1))</f>
        <v>0</v>
      </c>
      <c r="BS414" s="60" t="n">
        <f aca="false">$N$13/(1+BI414*(W414-1))</f>
        <v>0</v>
      </c>
      <c r="BT414" s="60" t="n">
        <f aca="false">$O$13/(1+BI414*(X414-1))</f>
        <v>0</v>
      </c>
      <c r="BU414" s="60" t="n">
        <f aca="false">$P$13/(1+BI414*(Y414-1))</f>
        <v>0</v>
      </c>
      <c r="BV414" s="60" t="n">
        <f aca="false">SUM(BJ414:BU414)</f>
        <v>1</v>
      </c>
      <c r="BW414" s="60" t="n">
        <f aca="false">SUMPRODUCT(N414:Y414,BJ414:BU414)</f>
        <v>1</v>
      </c>
      <c r="BX414" s="60" t="n">
        <f aca="false">BJ414/BV414</f>
        <v>1</v>
      </c>
      <c r="BY414" s="60" t="n">
        <f aca="false">BK414/BV414</f>
        <v>0</v>
      </c>
      <c r="BZ414" s="60" t="n">
        <f aca="false">BL414/BV414</f>
        <v>0</v>
      </c>
      <c r="CA414" s="60" t="n">
        <f aca="false">BM414/BV414</f>
        <v>0</v>
      </c>
      <c r="CB414" s="60" t="n">
        <f aca="false">BN414/BV414</f>
        <v>0</v>
      </c>
      <c r="CC414" s="60" t="n">
        <f aca="false">BO414/BV414</f>
        <v>0</v>
      </c>
      <c r="CD414" s="60" t="n">
        <f aca="false">BP414/BV414</f>
        <v>0</v>
      </c>
      <c r="CE414" s="60" t="n">
        <f aca="false">BQ414/BV414</f>
        <v>0</v>
      </c>
      <c r="CF414" s="60" t="n">
        <f aca="false">BR414/BV414</f>
        <v>0</v>
      </c>
      <c r="CG414" s="60" t="n">
        <f aca="false">BS414/BV414</f>
        <v>0</v>
      </c>
      <c r="CH414" s="60" t="n">
        <f aca="false">BT414/BV414</f>
        <v>0</v>
      </c>
      <c r="CI414" s="60" t="n">
        <f aca="false">BU414/BV414</f>
        <v>0</v>
      </c>
      <c r="CJ414" s="60" t="n">
        <f aca="false">N414*BJ414/BW414</f>
        <v>1</v>
      </c>
      <c r="CK414" s="60" t="n">
        <f aca="false">O414*BK414/BW414</f>
        <v>0</v>
      </c>
      <c r="CL414" s="60" t="n">
        <f aca="false">P414*BL414/BW414</f>
        <v>0</v>
      </c>
      <c r="CM414" s="60" t="n">
        <f aca="false">Q414*BM414/BW414</f>
        <v>0</v>
      </c>
      <c r="CN414" s="60" t="n">
        <f aca="false">R414*BN414/BW414</f>
        <v>0</v>
      </c>
      <c r="CO414" s="60" t="n">
        <f aca="false">S414*BO414/BW414</f>
        <v>0</v>
      </c>
      <c r="CP414" s="60" t="n">
        <f aca="false">T414*BP414/BW414</f>
        <v>0</v>
      </c>
      <c r="CQ414" s="60" t="n">
        <f aca="false">U414*BQ414/BW414</f>
        <v>0</v>
      </c>
      <c r="CR414" s="60" t="n">
        <f aca="false">V414*BR414/BW414</f>
        <v>0</v>
      </c>
      <c r="CS414" s="60" t="n">
        <f aca="false">W414*BS414/BW414</f>
        <v>0</v>
      </c>
      <c r="CT414" s="60" t="n">
        <f aca="false">X414*BT414/BW414</f>
        <v>0</v>
      </c>
      <c r="CU414" s="60" t="n">
        <f aca="false">Y414*BU414/BW414</f>
        <v>0</v>
      </c>
      <c r="CV414" s="60" t="n">
        <f aca="false">$E$28*SUMPRODUCT($E$31:$P$31,BX414:CI414,$E$28:$P$28)</f>
        <v>0.184416866619846</v>
      </c>
      <c r="CW414" s="60" t="n">
        <f aca="false">$F$28*SUMPRODUCT($E$32:$P$32,BX414:CI414,$E$28:$P$28)</f>
        <v>0</v>
      </c>
      <c r="CX414" s="60" t="n">
        <f aca="false">$G$28*SUMPRODUCT($E$33:$P$33,BX414:CI414,$E$28:$P$28)</f>
        <v>0</v>
      </c>
      <c r="CY414" s="60" t="n">
        <f aca="false">$H$28*SUMPRODUCT($E$34:$P$34,BX414:CI414,$E$28:$P$28)</f>
        <v>0</v>
      </c>
      <c r="CZ414" s="60" t="n">
        <f aca="false">$I$28*SUMPRODUCT($E$35:$P$35,BX414:CI414,$E$28:$P$28)</f>
        <v>0</v>
      </c>
      <c r="DA414" s="60" t="n">
        <f aca="false">$J$28*SUMPRODUCT($E$36:$P$36,BX414:CI414,$E$28:$P$28)</f>
        <v>0</v>
      </c>
      <c r="DB414" s="60" t="n">
        <f aca="false">$K$28*SUMPRODUCT($E$37:$P$37,BX414:CI414,$E$28:$P$28)</f>
        <v>0</v>
      </c>
      <c r="DC414" s="60" t="n">
        <f aca="false">$L$28*SUMPRODUCT($E$38:$P$38,BX414:CI414,$E$28:$P$28)</f>
        <v>0</v>
      </c>
      <c r="DD414" s="60" t="n">
        <f aca="false">$M$28*SUMPRODUCT($E$39:$P$39,BX414:CI414,$E$28:$P$28)</f>
        <v>0</v>
      </c>
      <c r="DE414" s="60" t="n">
        <f aca="false">$N$28*SUMPRODUCT($E$40:$P$40,BX414:CI414,$E$28:$P$28)</f>
        <v>0</v>
      </c>
      <c r="DF414" s="60" t="n">
        <f aca="false">$O$28*SUMPRODUCT($E$41:$P$41,BX414:CI414,$E$28:$P$28)</f>
        <v>0</v>
      </c>
      <c r="DG414" s="60" t="n">
        <f aca="false">$P$28*SUMPRODUCT($E$42:$P$42,BX414:CI414,$E$28:$P$28)</f>
        <v>0</v>
      </c>
      <c r="DH414" s="60" t="n">
        <f aca="false">SUMPRODUCT(BX414:CI414,CV414:DG414)</f>
        <v>0.184416866619846</v>
      </c>
      <c r="DI414" s="60" t="n">
        <f aca="false">SUMPRODUCT(BX414:CI414,$E$27:$P$27)</f>
        <v>2.67389635063809E-005</v>
      </c>
      <c r="DJ414" s="60" t="n">
        <f aca="false">DH414*$C$9/($C$10*$C$8)^2</f>
        <v>0.21776909410545</v>
      </c>
      <c r="DK414" s="60" t="n">
        <f aca="false">DI414*$C$9/($C$10*$C$8)</f>
        <v>0.0918845243259994</v>
      </c>
      <c r="DL414" s="60" t="n">
        <f aca="false">CHOOSE($C$7,-(1+DK414),-1,-(1-DK414))</f>
        <v>-0.908115475674001</v>
      </c>
      <c r="DM414" s="60" t="n">
        <f aca="false">CHOOSE($C$7,DJ414,DJ414-DK414-DK414^2,DJ414-3*DK414^2-2*DK414)</f>
        <v>0.00867174802160559</v>
      </c>
      <c r="DN414" s="60" t="n">
        <f aca="false">CHOOSE($C$7,-DJ414*DK414,-DJ414*DK414,-(DJ414*DK414-DK414^2-DK414^3))</f>
        <v>-0.0107910842936637</v>
      </c>
      <c r="DO414" s="60" t="n">
        <f aca="false">DM414-DL414^2/3</f>
        <v>-0.266219491031267</v>
      </c>
      <c r="DP414" s="60" t="n">
        <f aca="false">2*DL414^3/27-DL414*DM414/3+DN414</f>
        <v>-0.0636400988362784</v>
      </c>
      <c r="DQ414" s="60" t="n">
        <f aca="false">DP414^2/4+DO414^3/27</f>
        <v>0.000313710901361829</v>
      </c>
      <c r="DR414" s="60" t="n">
        <f aca="false">-DP414/2-IF(DP414&gt;=0,1,-1)*SQRT(MAX(DQ414,0))</f>
        <v>0.0495319352963236</v>
      </c>
      <c r="DS414" s="60" t="n">
        <f aca="false">SIGN(DR414)*ABS(DR414)^(1/3)</f>
        <v>0.367249967174439</v>
      </c>
      <c r="DT414" s="60" t="n">
        <f aca="false">IF(DS414=0,0,DS414-DO414/(3*DS414))</f>
        <v>0.60888329127384</v>
      </c>
      <c r="DU414" s="60" t="n">
        <f aca="false">2*SQRT(MAX(-DO414,0)/3)</f>
        <v>0.595784626668918</v>
      </c>
      <c r="DV414" s="60" t="n">
        <f aca="false">ACOS(IF(DU414=0,0,MAX(-1,MIN(1,3*DP414/(DO414*DU414)))))</f>
        <v>0</v>
      </c>
      <c r="DW414" s="60" t="n">
        <f aca="false">DU414*COS(DV414/3)</f>
        <v>0.595784626668918</v>
      </c>
      <c r="DX414" s="60" t="n">
        <f aca="false">IF(DQ414&lt;0,DW414,DT414)-DL414/3</f>
        <v>0.91158844983184</v>
      </c>
      <c r="DY414" s="60" t="n">
        <f aca="false">IFERROR((((DX414+DL414)*DX414+DM414)*DX414+DN414)/((3*DX414+2*DL414)*DX414+DM414),0)</f>
        <v>0</v>
      </c>
      <c r="DZ414" s="60" t="n">
        <f aca="false">IF(ABS(DY414)&lt;0.1*ABS(DX414),DX414-DY414,DX414)</f>
        <v>0.91158844983184</v>
      </c>
      <c r="EA414" s="60" t="n">
        <f aca="false">IFERROR((((DZ414+DL414)*DZ414+DM414)*DZ414+DN414)/((3*DZ414+2*DL414)*DZ414+DM414),0)</f>
        <v>0</v>
      </c>
      <c r="EB414" s="60" t="n">
        <f aca="false">IF(ABS(EA414)&lt;0.1*ABS(DZ414),DZ414-EA414,DZ414)</f>
        <v>0.91158844983184</v>
      </c>
      <c r="EC414" s="60" t="n">
        <f aca="false">-DN414/EB414</f>
        <v>0.0118376711504565</v>
      </c>
      <c r="ED414" s="60" t="n">
        <f aca="false">(DM414-EC414)/EB414</f>
        <v>-0.00347297415783941</v>
      </c>
      <c r="EE414" s="60" t="n">
        <f aca="false">ED414^2-4*EC414</f>
        <v>-0.0473386230523248</v>
      </c>
      <c r="EF414" s="60" t="n">
        <f aca="false">IF(EE414&gt;=0,(ED414+IF(ED414&gt;=0,1,-1)*SQRT(EE414))/2,0)</f>
        <v>0</v>
      </c>
      <c r="EG414" s="60" t="n">
        <f aca="false">IF(AND(EE414&gt;=0,EF414&lt;&gt;0),MIN(EF414,EC414/EF414),-1)</f>
        <v>-1</v>
      </c>
      <c r="EH414" s="60" t="n">
        <f aca="false">AND(EE414&gt;=0,EG414&gt;DK414,ABS(EB414-EG414)&gt;=0.00005*MAX(EB414,EG414))</f>
        <v>0</v>
      </c>
      <c r="EI414" s="60" t="n">
        <f aca="false">IF(EH414,IFERROR((((EG414+DL414)*EG414+DM414)*EG414+DN414)/((3*EG414+2*DL414)*EG414+DM414),0),0)</f>
        <v>0</v>
      </c>
      <c r="EJ414" s="60" t="n">
        <f aca="false">IF(ABS(EI414)&lt;0.1*ABS(EG414),EG414-EI414,EG414)</f>
        <v>-1</v>
      </c>
      <c r="EK414" s="60" t="n">
        <f aca="false">IF(EH414,IFERROR((((EJ414+DL414)*EJ414+DM414)*EJ414+DN414)/((3*EJ414+2*DL414)*EJ414+DM414),0),0)</f>
        <v>0</v>
      </c>
      <c r="EL414" s="60" t="n">
        <f aca="false">IF(ABS(EK414)&lt;0.1*ABS(EJ414),EJ414-EK414,EJ414)</f>
        <v>-1</v>
      </c>
      <c r="EM414" s="60" t="n">
        <f aca="false">IF(EH414,MAX(EB414,EL414),EB414)</f>
        <v>0.91158844983184</v>
      </c>
      <c r="EN414" s="60" t="n">
        <f aca="false">IF(EH414,MIN(EB414,EL414),-1)</f>
        <v>-1</v>
      </c>
      <c r="EO414" s="60" t="n">
        <f aca="false">CHOOSE($C$7,DJ414/EM414,DJ414/DK414*LN(1+DK414/EM414),DJ414/(2*SQRT(2)*DK414)*LN((EM414+(1+SQRT(2))*DK414)/(EM414+(1-SQRT(2))*DK414)))</f>
        <v>0.218240791233887</v>
      </c>
      <c r="EP414" s="60" t="n">
        <f aca="false">EM414-1-LN(EM414-DK414)-EO414</f>
        <v>-0.107840271021729</v>
      </c>
      <c r="EQ414" s="60" t="n">
        <f aca="false">IF(EH414,CHOOSE($C$7,DJ414/EN414,DJ414/DK414*LN(1+DK414/EN414),DJ414/(2*SQRT(2)*DK414)*LN((EN414+(1+SQRT(2))*DK414)/(EN414+(1-SQRT(2))*DK414))),0)</f>
        <v>0</v>
      </c>
      <c r="ER414" s="60" t="n">
        <f aca="false">IF(EH414,EN414-1-LN(EN414-DK414)-EQ414,0)</f>
        <v>0</v>
      </c>
      <c r="ES414" s="60" t="n">
        <f aca="false">AND(EH414,ER414&lt;EP414)</f>
        <v>0</v>
      </c>
      <c r="ET414" s="60" t="n">
        <f aca="false">IF(ES414,EN414,EM414)</f>
        <v>0.91158844983184</v>
      </c>
      <c r="EU414" s="60" t="n">
        <f aca="false">IF(ES414,EQ414,EO414)</f>
        <v>0.218240791233887</v>
      </c>
      <c r="EV414" s="60" t="n">
        <f aca="false">LN(ET414-DK414)</f>
        <v>-0.198812070380318</v>
      </c>
      <c r="EW414" s="60" t="n">
        <f aca="false">$E$27/DI414*(ET414-1)-EV414-EU414*(2*CV414/DH414-$E$27/DI414)</f>
        <v>-0.107840271021729</v>
      </c>
      <c r="EX414" s="60" t="n">
        <f aca="false">$F$27/DI414*(ET414-1)-EV414-EU414*(2*CW414/DH414-$F$27/DI414)</f>
        <v>0.198812070380318</v>
      </c>
      <c r="EY414" s="60" t="n">
        <f aca="false">$G$27/DI414*(ET414-1)-EV414-EU414*(2*CX414/DH414-$G$27/DI414)</f>
        <v>0.198812070380318</v>
      </c>
      <c r="EZ414" s="60" t="n">
        <f aca="false">$H$27/DI414*(ET414-1)-EV414-EU414*(2*CY414/DH414-$H$27/DI414)</f>
        <v>0.198812070380318</v>
      </c>
      <c r="FA414" s="60" t="n">
        <f aca="false">$I$27/DI414*(ET414-1)-EV414-EU414*(2*CZ414/DH414-$I$27/DI414)</f>
        <v>0.198812070380318</v>
      </c>
      <c r="FB414" s="60" t="n">
        <f aca="false">$J$27/DI414*(ET414-1)-EV414-EU414*(2*DA414/DH414-$J$27/DI414)</f>
        <v>0.198812070380318</v>
      </c>
      <c r="FC414" s="60" t="n">
        <f aca="false">$K$27/DI414*(ET414-1)-EV414-EU414*(2*DB414/DH414-$K$27/DI414)</f>
        <v>0.198812070380318</v>
      </c>
      <c r="FD414" s="60" t="n">
        <f aca="false">$L$27/DI414*(ET414-1)-EV414-EU414*(2*DC414/DH414-$L$27/DI414)</f>
        <v>0.198812070380318</v>
      </c>
      <c r="FE414" s="60" t="n">
        <f aca="false">$M$27/DI414*(ET414-1)-EV414-EU414*(2*DD414/DH414-$M$27/DI414)</f>
        <v>0.198812070380318</v>
      </c>
      <c r="FF414" s="60" t="n">
        <f aca="false">$N$27/DI414*(ET414-1)-EV414-EU414*(2*DE414/DH414-$N$27/DI414)</f>
        <v>0.198812070380318</v>
      </c>
      <c r="FG414" s="60" t="n">
        <f aca="false">$O$27/DI414*(ET414-1)-EV414-EU414*(2*DF414/DH414-$O$27/DI414)</f>
        <v>0.198812070380318</v>
      </c>
      <c r="FH414" s="60" t="n">
        <f aca="false">$P$27/DI414*(ET414-1)-EV414-EU414*(2*DG414/DH414-$P$27/DI414)</f>
        <v>0.198812070380318</v>
      </c>
      <c r="FI414" s="60" t="n">
        <f aca="false">DK414/ET414&gt;$C$22</f>
        <v>0</v>
      </c>
      <c r="FJ414" s="60" t="n">
        <f aca="false">$E$28*SUMPRODUCT($E$31:$P$31,CJ414:CU414,$E$28:$P$28)</f>
        <v>0.184416866619846</v>
      </c>
      <c r="FK414" s="60" t="n">
        <f aca="false">$F$28*SUMPRODUCT($E$32:$P$32,CJ414:CU414,$E$28:$P$28)</f>
        <v>0</v>
      </c>
      <c r="FL414" s="60" t="n">
        <f aca="false">$G$28*SUMPRODUCT($E$33:$P$33,CJ414:CU414,$E$28:$P$28)</f>
        <v>0</v>
      </c>
      <c r="FM414" s="60" t="n">
        <f aca="false">$H$28*SUMPRODUCT($E$34:$P$34,CJ414:CU414,$E$28:$P$28)</f>
        <v>0</v>
      </c>
      <c r="FN414" s="60" t="n">
        <f aca="false">$I$28*SUMPRODUCT($E$35:$P$35,CJ414:CU414,$E$28:$P$28)</f>
        <v>0</v>
      </c>
      <c r="FO414" s="60" t="n">
        <f aca="false">$J$28*SUMPRODUCT($E$36:$P$36,CJ414:CU414,$E$28:$P$28)</f>
        <v>0</v>
      </c>
      <c r="FP414" s="60" t="n">
        <f aca="false">$K$28*SUMPRODUCT($E$37:$P$37,CJ414:CU414,$E$28:$P$28)</f>
        <v>0</v>
      </c>
      <c r="FQ414" s="60" t="n">
        <f aca="false">$L$28*SUMPRODUCT($E$38:$P$38,CJ414:CU414,$E$28:$P$28)</f>
        <v>0</v>
      </c>
      <c r="FR414" s="60" t="n">
        <f aca="false">$M$28*SUMPRODUCT($E$39:$P$39,CJ414:CU414,$E$28:$P$28)</f>
        <v>0</v>
      </c>
      <c r="FS414" s="60" t="n">
        <f aca="false">$N$28*SUMPRODUCT($E$40:$P$40,CJ414:CU414,$E$28:$P$28)</f>
        <v>0</v>
      </c>
      <c r="FT414" s="60" t="n">
        <f aca="false">$O$28*SUMPRODUCT($E$41:$P$41,CJ414:CU414,$E$28:$P$28)</f>
        <v>0</v>
      </c>
      <c r="FU414" s="60" t="n">
        <f aca="false">$P$28*SUMPRODUCT($E$42:$P$42,CJ414:CU414,$E$28:$P$28)</f>
        <v>0</v>
      </c>
      <c r="FV414" s="60" t="n">
        <f aca="false">SUMPRODUCT(CJ414:CU414,FJ414:FU414)</f>
        <v>0.184416866619846</v>
      </c>
      <c r="FW414" s="60" t="n">
        <f aca="false">SUMPRODUCT(CJ414:CU414,$E$27:$P$27)</f>
        <v>2.67389635063809E-005</v>
      </c>
      <c r="FX414" s="60" t="n">
        <f aca="false">FV414*$C$9/($C$10*$C$8)^2</f>
        <v>0.21776909410545</v>
      </c>
      <c r="FY414" s="60" t="n">
        <f aca="false">FW414*$C$9/($C$10*$C$8)</f>
        <v>0.0918845243259994</v>
      </c>
      <c r="FZ414" s="60" t="n">
        <f aca="false">CHOOSE($C$7,-(1+FY414),-1,-(1-FY414))</f>
        <v>-0.908115475674001</v>
      </c>
      <c r="GA414" s="60" t="n">
        <f aca="false">CHOOSE($C$7,FX414,FX414-FY414-FY414^2,FX414-3*FY414^2-2*FY414)</f>
        <v>0.00867174802160559</v>
      </c>
      <c r="GB414" s="60" t="n">
        <f aca="false">CHOOSE($C$7,-FX414*FY414,-FX414*FY414,-(FX414*FY414-FY414^2-FY414^3))</f>
        <v>-0.0107910842936637</v>
      </c>
      <c r="GC414" s="60" t="n">
        <f aca="false">GA414-FZ414^2/3</f>
        <v>-0.266219491031267</v>
      </c>
      <c r="GD414" s="60" t="n">
        <f aca="false">2*FZ414^3/27-FZ414*GA414/3+GB414</f>
        <v>-0.0636400988362784</v>
      </c>
      <c r="GE414" s="60" t="n">
        <f aca="false">GD414^2/4+GC414^3/27</f>
        <v>0.000313710901361829</v>
      </c>
      <c r="GF414" s="60" t="n">
        <f aca="false">-GD414/2-IF(GD414&gt;=0,1,-1)*SQRT(MAX(GE414,0))</f>
        <v>0.0495319352963236</v>
      </c>
      <c r="GG414" s="60" t="n">
        <f aca="false">SIGN(GF414)*ABS(GF414)^(1/3)</f>
        <v>0.367249967174439</v>
      </c>
      <c r="GH414" s="60" t="n">
        <f aca="false">IF(GG414=0,0,GG414-GC414/(3*GG414))</f>
        <v>0.60888329127384</v>
      </c>
      <c r="GI414" s="60" t="n">
        <f aca="false">2*SQRT(MAX(-GC414,0)/3)</f>
        <v>0.595784626668918</v>
      </c>
      <c r="GJ414" s="60" t="n">
        <f aca="false">ACOS(IF(GI414=0,0,MAX(-1,MIN(1,3*GD414/(GC414*GI414)))))</f>
        <v>0</v>
      </c>
      <c r="GK414" s="60" t="n">
        <f aca="false">GI414*COS(GJ414/3)</f>
        <v>0.595784626668918</v>
      </c>
      <c r="GL414" s="60" t="n">
        <f aca="false">IF(GE414&lt;0,GK414,GH414)-FZ414/3</f>
        <v>0.91158844983184</v>
      </c>
      <c r="GM414" s="60" t="n">
        <f aca="false">IFERROR((((GL414+FZ414)*GL414+GA414)*GL414+GB414)/((3*GL414+2*FZ414)*GL414+GA414),0)</f>
        <v>0</v>
      </c>
      <c r="GN414" s="60" t="n">
        <f aca="false">IF(ABS(GM414)&lt;0.1*ABS(GL414),GL414-GM414,GL414)</f>
        <v>0.91158844983184</v>
      </c>
      <c r="GO414" s="60" t="n">
        <f aca="false">IFERROR((((GN414+FZ414)*GN414+GA414)*GN414+GB414)/((3*GN414+2*FZ414)*GN414+GA414),0)</f>
        <v>0</v>
      </c>
      <c r="GP414" s="60" t="n">
        <f aca="false">IF(ABS(GO414)&lt;0.1*ABS(GN414),GN414-GO414,GN414)</f>
        <v>0.91158844983184</v>
      </c>
      <c r="GQ414" s="60" t="n">
        <f aca="false">-GB414/GP414</f>
        <v>0.0118376711504565</v>
      </c>
      <c r="GR414" s="60" t="n">
        <f aca="false">(GA414-GQ414)/GP414</f>
        <v>-0.00347297415783941</v>
      </c>
      <c r="GS414" s="60" t="n">
        <f aca="false">GR414^2-4*GQ414</f>
        <v>-0.0473386230523248</v>
      </c>
      <c r="GT414" s="60" t="n">
        <f aca="false">IF(GS414&gt;=0,(GR414+IF(GR414&gt;=0,1,-1)*SQRT(GS414))/2,0)</f>
        <v>0</v>
      </c>
      <c r="GU414" s="60" t="n">
        <f aca="false">IF(AND(GS414&gt;=0,GT414&lt;&gt;0),MIN(GT414,GQ414/GT414),-1)</f>
        <v>-1</v>
      </c>
      <c r="GV414" s="60" t="n">
        <f aca="false">AND(GS414&gt;=0,GU414&gt;FY414,ABS(GP414-GU414)&gt;=0.00005*MAX(GP414,GU414))</f>
        <v>0</v>
      </c>
      <c r="GW414" s="60" t="n">
        <f aca="false">IF(GV414,IFERROR((((GU414+FZ414)*GU414+GA414)*GU414+GB414)/((3*GU414+2*FZ414)*GU414+GA414),0),0)</f>
        <v>0</v>
      </c>
      <c r="GX414" s="60" t="n">
        <f aca="false">IF(ABS(GW414)&lt;0.1*ABS(GU414),GU414-GW414,GU414)</f>
        <v>-1</v>
      </c>
      <c r="GY414" s="60" t="n">
        <f aca="false">IF(GV414,IFERROR((((GX414+FZ414)*GX414+GA414)*GX414+GB414)/((3*GX414+2*FZ414)*GX414+GA414),0),0)</f>
        <v>0</v>
      </c>
      <c r="GZ414" s="60" t="n">
        <f aca="false">IF(ABS(GY414)&lt;0.1*ABS(GX414),GX414-GY414,GX414)</f>
        <v>-1</v>
      </c>
      <c r="HA414" s="60" t="n">
        <f aca="false">IF(GV414,MAX(GP414,GZ414),GP414)</f>
        <v>0.91158844983184</v>
      </c>
      <c r="HB414" s="60" t="n">
        <f aca="false">IF(GV414,MIN(GP414,GZ414),-1)</f>
        <v>-1</v>
      </c>
      <c r="HC414" s="60" t="n">
        <f aca="false">CHOOSE($C$7,FX414/HA414,FX414/FY414*LN(1+FY414/HA414),FX414/(2*SQRT(2)*FY414)*LN((HA414+(1+SQRT(2))*FY414)/(HA414+(1-SQRT(2))*FY414)))</f>
        <v>0.218240791233887</v>
      </c>
      <c r="HD414" s="60" t="n">
        <f aca="false">HA414-1-LN(HA414-FY414)-HC414</f>
        <v>-0.107840271021729</v>
      </c>
      <c r="HE414" s="60" t="n">
        <f aca="false">IF(GV414,CHOOSE($C$7,FX414/HB414,FX414/FY414*LN(1+FY414/HB414),FX414/(2*SQRT(2)*FY414)*LN((HB414+(1+SQRT(2))*FY414)/(HB414+(1-SQRT(2))*FY414))),0)</f>
        <v>0</v>
      </c>
      <c r="HF414" s="60" t="n">
        <f aca="false">IF(GV414,HB414-1-LN(HB414-FY414)-HE414,0)</f>
        <v>0</v>
      </c>
      <c r="HG414" s="60" t="n">
        <f aca="false">AND(GV414,HF414&lt;HD414)</f>
        <v>0</v>
      </c>
      <c r="HH414" s="60" t="n">
        <f aca="false">IF(HG414,HB414,HA414)</f>
        <v>0.91158844983184</v>
      </c>
      <c r="HI414" s="60" t="n">
        <f aca="false">IF(HG414,HE414,HC414)</f>
        <v>0.218240791233887</v>
      </c>
      <c r="HJ414" s="60" t="n">
        <f aca="false">LN(HH414-FY414)</f>
        <v>-0.198812070380318</v>
      </c>
      <c r="HK414" s="60" t="n">
        <f aca="false">$E$27/FW414*(HH414-1)-HJ414-HI414*(2*FJ414/FV414-$E$27/FW414)</f>
        <v>-0.107840271021729</v>
      </c>
      <c r="HL414" s="60" t="n">
        <f aca="false">$F$27/FW414*(HH414-1)-HJ414-HI414*(2*FK414/FV414-$F$27/FW414)</f>
        <v>0.198812070380318</v>
      </c>
      <c r="HM414" s="60" t="n">
        <f aca="false">$G$27/FW414*(HH414-1)-HJ414-HI414*(2*FL414/FV414-$G$27/FW414)</f>
        <v>0.198812070380318</v>
      </c>
      <c r="HN414" s="60" t="n">
        <f aca="false">$H$27/FW414*(HH414-1)-HJ414-HI414*(2*FM414/FV414-$H$27/FW414)</f>
        <v>0.198812070380318</v>
      </c>
      <c r="HO414" s="60" t="n">
        <f aca="false">$I$27/FW414*(HH414-1)-HJ414-HI414*(2*FN414/FV414-$I$27/FW414)</f>
        <v>0.198812070380318</v>
      </c>
      <c r="HP414" s="60" t="n">
        <f aca="false">$J$27/FW414*(HH414-1)-HJ414-HI414*(2*FO414/FV414-$J$27/FW414)</f>
        <v>0.198812070380318</v>
      </c>
      <c r="HQ414" s="60" t="n">
        <f aca="false">$K$27/FW414*(HH414-1)-HJ414-HI414*(2*FP414/FV414-$K$27/FW414)</f>
        <v>0.198812070380318</v>
      </c>
      <c r="HR414" s="60" t="n">
        <f aca="false">$L$27/FW414*(HH414-1)-HJ414-HI414*(2*FQ414/FV414-$L$27/FW414)</f>
        <v>0.198812070380318</v>
      </c>
      <c r="HS414" s="60" t="n">
        <f aca="false">$M$27/FW414*(HH414-1)-HJ414-HI414*(2*FR414/FV414-$M$27/FW414)</f>
        <v>0.198812070380318</v>
      </c>
      <c r="HT414" s="60" t="n">
        <f aca="false">$N$27/FW414*(HH414-1)-HJ414-HI414*(2*FS414/FV414-$N$27/FW414)</f>
        <v>0.198812070380318</v>
      </c>
      <c r="HU414" s="60" t="n">
        <f aca="false">$O$27/FW414*(HH414-1)-HJ414-HI414*(2*FT414/FV414-$O$27/FW414)</f>
        <v>0.198812070380318</v>
      </c>
      <c r="HV414" s="60" t="n">
        <f aca="false">$P$27/FW414*(HH414-1)-HJ414-HI414*(2*FU414/FV414-$P$27/FW414)</f>
        <v>0.198812070380318</v>
      </c>
      <c r="HW414" s="60" t="n">
        <f aca="false">FY414/HH414&gt;$C$22</f>
        <v>0</v>
      </c>
      <c r="HX414" s="60" t="n">
        <f aca="false">IF($E$13&gt;0,MAX(-300,MIN(300,EW414-HK414)),0)</f>
        <v>0</v>
      </c>
      <c r="HY414" s="60" t="n">
        <f aca="false">IF($F$13&gt;0,MAX(-300,MIN(300,EX414-HL414)),0)</f>
        <v>0</v>
      </c>
      <c r="HZ414" s="60" t="n">
        <f aca="false">IF($G$13&gt;0,MAX(-300,MIN(300,EY414-HM414)),0)</f>
        <v>0</v>
      </c>
      <c r="IA414" s="60" t="n">
        <f aca="false">IF($H$13&gt;0,MAX(-300,MIN(300,EZ414-HN414)),0)</f>
        <v>0</v>
      </c>
      <c r="IB414" s="60" t="n">
        <f aca="false">IF($I$13&gt;0,MAX(-300,MIN(300,FA414-HO414)),0)</f>
        <v>0</v>
      </c>
      <c r="IC414" s="60" t="n">
        <f aca="false">IF($J$13&gt;0,MAX(-300,MIN(300,FB414-HP414)),0)</f>
        <v>0</v>
      </c>
      <c r="ID414" s="60" t="n">
        <f aca="false">IF($K$13&gt;0,MAX(-300,MIN(300,FC414-HQ414)),0)</f>
        <v>0</v>
      </c>
      <c r="IE414" s="60" t="n">
        <f aca="false">IF($L$13&gt;0,MAX(-300,MIN(300,FD414-HR414)),0)</f>
        <v>0</v>
      </c>
      <c r="IF414" s="60" t="n">
        <f aca="false">IF($M$13&gt;0,MAX(-300,MIN(300,FE414-HS414)),0)</f>
        <v>0</v>
      </c>
      <c r="IG414" s="60" t="n">
        <f aca="false">IF($N$13&gt;0,MAX(-300,MIN(300,FF414-HT414)),0)</f>
        <v>0</v>
      </c>
      <c r="IH414" s="60" t="n">
        <f aca="false">IF($O$13&gt;0,MAX(-300,MIN(300,FG414-HU414)),0)</f>
        <v>0</v>
      </c>
      <c r="II414" s="60" t="n">
        <f aca="false">IF($P$13&gt;0,MAX(-300,MIN(300,FH414-HV414)),0)</f>
        <v>0</v>
      </c>
      <c r="IJ414" s="60" t="n">
        <f aca="false">SUMXMY2(HX414:II414,B414:M414)</f>
        <v>0</v>
      </c>
      <c r="IK414" s="60" t="n">
        <f aca="false">SUMSQ(B414:M414)</f>
        <v>0</v>
      </c>
    </row>
    <row r="415" customFormat="false" ht="15" hidden="false" customHeight="false" outlineLevel="0" collapsed="false">
      <c r="A415" s="59" t="n">
        <v>54</v>
      </c>
      <c r="B415" s="60" t="n">
        <f aca="false">HX414</f>
        <v>0</v>
      </c>
      <c r="C415" s="60" t="n">
        <f aca="false">HY414</f>
        <v>0</v>
      </c>
      <c r="D415" s="60" t="n">
        <f aca="false">HZ414</f>
        <v>0</v>
      </c>
      <c r="E415" s="60" t="n">
        <f aca="false">IA414</f>
        <v>0</v>
      </c>
      <c r="F415" s="60" t="n">
        <f aca="false">IB414</f>
        <v>0</v>
      </c>
      <c r="G415" s="60" t="n">
        <f aca="false">IC414</f>
        <v>0</v>
      </c>
      <c r="H415" s="60" t="n">
        <f aca="false">ID414</f>
        <v>0</v>
      </c>
      <c r="I415" s="60" t="n">
        <f aca="false">IE414</f>
        <v>0</v>
      </c>
      <c r="J415" s="60" t="n">
        <f aca="false">IF414</f>
        <v>0</v>
      </c>
      <c r="K415" s="60" t="n">
        <f aca="false">IG414</f>
        <v>0</v>
      </c>
      <c r="L415" s="60" t="n">
        <f aca="false">IH414</f>
        <v>0</v>
      </c>
      <c r="M415" s="60" t="n">
        <f aca="false">II414</f>
        <v>0</v>
      </c>
      <c r="N415" s="60" t="n">
        <f aca="false">EXP(B415)</f>
        <v>1</v>
      </c>
      <c r="O415" s="60" t="n">
        <f aca="false">EXP(C415)</f>
        <v>1</v>
      </c>
      <c r="P415" s="60" t="n">
        <f aca="false">EXP(D415)</f>
        <v>1</v>
      </c>
      <c r="Q415" s="60" t="n">
        <f aca="false">EXP(E415)</f>
        <v>1</v>
      </c>
      <c r="R415" s="60" t="n">
        <f aca="false">EXP(F415)</f>
        <v>1</v>
      </c>
      <c r="S415" s="60" t="n">
        <f aca="false">EXP(G415)</f>
        <v>1</v>
      </c>
      <c r="T415" s="60" t="n">
        <f aca="false">EXP(H415)</f>
        <v>1</v>
      </c>
      <c r="U415" s="60" t="n">
        <f aca="false">EXP(I415)</f>
        <v>1</v>
      </c>
      <c r="V415" s="60" t="n">
        <f aca="false">EXP(J415)</f>
        <v>1</v>
      </c>
      <c r="W415" s="60" t="n">
        <f aca="false">EXP(K415)</f>
        <v>1</v>
      </c>
      <c r="X415" s="60" t="n">
        <f aca="false">EXP(L415)</f>
        <v>1</v>
      </c>
      <c r="Y415" s="60" t="n">
        <f aca="false">EXP(M415)</f>
        <v>1</v>
      </c>
      <c r="Z415" s="60" t="n">
        <f aca="false">MAX(N415:Y415)</f>
        <v>1</v>
      </c>
      <c r="AA415" s="60" t="n">
        <f aca="false">MIN(N415:Y415)</f>
        <v>1</v>
      </c>
      <c r="AB415" s="60" t="n">
        <f aca="false">AND(Z415&gt;1,AA415&lt;1)</f>
        <v>0</v>
      </c>
      <c r="AC415" s="60" t="n">
        <f aca="false">IF(AB415,1/(1-Z415),0)</f>
        <v>0</v>
      </c>
      <c r="AD415" s="60" t="n">
        <f aca="false">IF(AB415,1/(1-AA415),1)</f>
        <v>1</v>
      </c>
      <c r="AE415" s="60" t="n">
        <f aca="false">IF(AB415,MIN(MAX(BI414,AC415+0.000000001*(AD415-AC415)),AD415-0.000000001*(AD415-AC415)),IF(AA415&gt;=1,1,0))</f>
        <v>1</v>
      </c>
      <c r="AF415" s="60" t="n">
        <f aca="false">SUMPRODUCT($E$13:$P$13*(N415:Y415-1)/(1+AE415*(N415:Y415-1)))</f>
        <v>0</v>
      </c>
      <c r="AG415" s="60" t="n">
        <f aca="false">-SUMPRODUCT($E$13:$P$13*(N415:Y415-1)^2/(1+AE415*(N415:Y415-1))^2)</f>
        <v>-0</v>
      </c>
      <c r="AH415" s="60" t="n">
        <f aca="false">IF(OR(NOT(AB415),AG415=0),AE415,IF(AE415-AF415/AG415&lt;=AC415,(AE415+AC415)/2,IF(AE415-AF415/AG415&gt;=AD415,(AE415+AD415)/2,AE415-AF415/AG415)))</f>
        <v>1</v>
      </c>
      <c r="AI415" s="60" t="n">
        <f aca="false">SUMPRODUCT($E$13:$P$13*(N415:Y415-1)/(1+AH415*(N415:Y415-1)))</f>
        <v>0</v>
      </c>
      <c r="AJ415" s="60" t="n">
        <f aca="false">-SUMPRODUCT($E$13:$P$13*(N415:Y415-1)^2/(1+AH415*(N415:Y415-1))^2)</f>
        <v>-0</v>
      </c>
      <c r="AK415" s="60" t="n">
        <f aca="false">IF(OR(NOT(AB415),AJ415=0),AH415,IF(AH415-AI415/AJ415&lt;=AC415,(AH415+AC415)/2,IF(AH415-AI415/AJ415&gt;=AD415,(AH415+AD415)/2,AH415-AI415/AJ415)))</f>
        <v>1</v>
      </c>
      <c r="AL415" s="60" t="n">
        <f aca="false">SUMPRODUCT($E$13:$P$13*(N415:Y415-1)/(1+AK415*(N415:Y415-1)))</f>
        <v>0</v>
      </c>
      <c r="AM415" s="60" t="n">
        <f aca="false">-SUMPRODUCT($E$13:$P$13*(N415:Y415-1)^2/(1+AK415*(N415:Y415-1))^2)</f>
        <v>-0</v>
      </c>
      <c r="AN415" s="60" t="n">
        <f aca="false">IF(OR(NOT(AB415),AM415=0),AK415,IF(AK415-AL415/AM415&lt;=AC415,(AK415+AC415)/2,IF(AK415-AL415/AM415&gt;=AD415,(AK415+AD415)/2,AK415-AL415/AM415)))</f>
        <v>1</v>
      </c>
      <c r="AO415" s="60" t="n">
        <f aca="false">SUMPRODUCT($E$13:$P$13*(N415:Y415-1)/(1+AN415*(N415:Y415-1)))</f>
        <v>0</v>
      </c>
      <c r="AP415" s="60" t="n">
        <f aca="false">-SUMPRODUCT($E$13:$P$13*(N415:Y415-1)^2/(1+AN415*(N415:Y415-1))^2)</f>
        <v>-0</v>
      </c>
      <c r="AQ415" s="60" t="n">
        <f aca="false">IF(OR(NOT(AB415),AP415=0),AN415,IF(AN415-AO415/AP415&lt;=AC415,(AN415+AC415)/2,IF(AN415-AO415/AP415&gt;=AD415,(AN415+AD415)/2,AN415-AO415/AP415)))</f>
        <v>1</v>
      </c>
      <c r="AR415" s="60" t="n">
        <f aca="false">SUMPRODUCT($E$13:$P$13*(N415:Y415-1)/(1+AQ415*(N415:Y415-1)))</f>
        <v>0</v>
      </c>
      <c r="AS415" s="60" t="n">
        <f aca="false">-SUMPRODUCT($E$13:$P$13*(N415:Y415-1)^2/(1+AQ415*(N415:Y415-1))^2)</f>
        <v>-0</v>
      </c>
      <c r="AT415" s="60" t="n">
        <f aca="false">IF(OR(NOT(AB415),AS415=0),AQ415,IF(AQ415-AR415/AS415&lt;=AC415,(AQ415+AC415)/2,IF(AQ415-AR415/AS415&gt;=AD415,(AQ415+AD415)/2,AQ415-AR415/AS415)))</f>
        <v>1</v>
      </c>
      <c r="AU415" s="60" t="n">
        <f aca="false">SUMPRODUCT($E$13:$P$13*(N415:Y415-1)/(1+AT415*(N415:Y415-1)))</f>
        <v>0</v>
      </c>
      <c r="AV415" s="60" t="n">
        <f aca="false">-SUMPRODUCT($E$13:$P$13*(N415:Y415-1)^2/(1+AT415*(N415:Y415-1))^2)</f>
        <v>-0</v>
      </c>
      <c r="AW415" s="60" t="n">
        <f aca="false">IF(OR(NOT(AB415),AV415=0),AT415,IF(AT415-AU415/AV415&lt;=AC415,(AT415+AC415)/2,IF(AT415-AU415/AV415&gt;=AD415,(AT415+AD415)/2,AT415-AU415/AV415)))</f>
        <v>1</v>
      </c>
      <c r="AX415" s="60" t="n">
        <f aca="false">SUMPRODUCT($E$13:$P$13*(N415:Y415-1)/(1+AW415*(N415:Y415-1)))</f>
        <v>0</v>
      </c>
      <c r="AY415" s="60" t="n">
        <f aca="false">-SUMPRODUCT($E$13:$P$13*(N415:Y415-1)^2/(1+AW415*(N415:Y415-1))^2)</f>
        <v>-0</v>
      </c>
      <c r="AZ415" s="60" t="n">
        <f aca="false">IF(OR(NOT(AB415),AY415=0),AW415,IF(AW415-AX415/AY415&lt;=AC415,(AW415+AC415)/2,IF(AW415-AX415/AY415&gt;=AD415,(AW415+AD415)/2,AW415-AX415/AY415)))</f>
        <v>1</v>
      </c>
      <c r="BA415" s="60" t="n">
        <f aca="false">SUMPRODUCT($E$13:$P$13*(N415:Y415-1)/(1+AZ415*(N415:Y415-1)))</f>
        <v>0</v>
      </c>
      <c r="BB415" s="60" t="n">
        <f aca="false">-SUMPRODUCT($E$13:$P$13*(N415:Y415-1)^2/(1+AZ415*(N415:Y415-1))^2)</f>
        <v>-0</v>
      </c>
      <c r="BC415" s="60" t="n">
        <f aca="false">IF(OR(NOT(AB415),BB415=0),AZ415,IF(AZ415-BA415/BB415&lt;=AC415,(AZ415+AC415)/2,IF(AZ415-BA415/BB415&gt;=AD415,(AZ415+AD415)/2,AZ415-BA415/BB415)))</f>
        <v>1</v>
      </c>
      <c r="BD415" s="60" t="n">
        <f aca="false">SUMPRODUCT($E$13:$P$13*(N415:Y415-1)/(1+BC415*(N415:Y415-1)))</f>
        <v>0</v>
      </c>
      <c r="BE415" s="60" t="n">
        <f aca="false">-SUMPRODUCT($E$13:$P$13*(N415:Y415-1)^2/(1+BC415*(N415:Y415-1))^2)</f>
        <v>-0</v>
      </c>
      <c r="BF415" s="60" t="n">
        <f aca="false">IF(OR(NOT(AB415),BE415=0),BC415,IF(BC415-BD415/BE415&lt;=AC415,(BC415+AC415)/2,IF(BC415-BD415/BE415&gt;=AD415,(BC415+AD415)/2,BC415-BD415/BE415)))</f>
        <v>1</v>
      </c>
      <c r="BG415" s="60" t="n">
        <f aca="false">SUMPRODUCT($E$13:$P$13*(N415:Y415-1)/(1+BF415*(N415:Y415-1)))</f>
        <v>0</v>
      </c>
      <c r="BH415" s="60" t="n">
        <f aca="false">-SUMPRODUCT($E$13:$P$13*(N415:Y415-1)^2/(1+BF415*(N415:Y415-1))^2)</f>
        <v>-0</v>
      </c>
      <c r="BI415" s="60" t="n">
        <f aca="false">IF(OR(NOT(AB415),BH415=0),BF415,IF(BF415-BG415/BH415&lt;=AC415,(BF415+AC415)/2,IF(BF415-BG415/BH415&gt;=AD415,(BF415+AD415)/2,BF415-BG415/BH415)))</f>
        <v>1</v>
      </c>
      <c r="BJ415" s="60" t="n">
        <f aca="false">$E$13/(1+BI415*(N415-1))</f>
        <v>1</v>
      </c>
      <c r="BK415" s="60" t="n">
        <f aca="false">$F$13/(1+BI415*(O415-1))</f>
        <v>0</v>
      </c>
      <c r="BL415" s="60" t="n">
        <f aca="false">$G$13/(1+BI415*(P415-1))</f>
        <v>0</v>
      </c>
      <c r="BM415" s="60" t="n">
        <f aca="false">$H$13/(1+BI415*(Q415-1))</f>
        <v>0</v>
      </c>
      <c r="BN415" s="60" t="n">
        <f aca="false">$I$13/(1+BI415*(R415-1))</f>
        <v>0</v>
      </c>
      <c r="BO415" s="60" t="n">
        <f aca="false">$J$13/(1+BI415*(S415-1))</f>
        <v>0</v>
      </c>
      <c r="BP415" s="60" t="n">
        <f aca="false">$K$13/(1+BI415*(T415-1))</f>
        <v>0</v>
      </c>
      <c r="BQ415" s="60" t="n">
        <f aca="false">$L$13/(1+BI415*(U415-1))</f>
        <v>0</v>
      </c>
      <c r="BR415" s="60" t="n">
        <f aca="false">$M$13/(1+BI415*(V415-1))</f>
        <v>0</v>
      </c>
      <c r="BS415" s="60" t="n">
        <f aca="false">$N$13/(1+BI415*(W415-1))</f>
        <v>0</v>
      </c>
      <c r="BT415" s="60" t="n">
        <f aca="false">$O$13/(1+BI415*(X415-1))</f>
        <v>0</v>
      </c>
      <c r="BU415" s="60" t="n">
        <f aca="false">$P$13/(1+BI415*(Y415-1))</f>
        <v>0</v>
      </c>
      <c r="BV415" s="60" t="n">
        <f aca="false">SUM(BJ415:BU415)</f>
        <v>1</v>
      </c>
      <c r="BW415" s="60" t="n">
        <f aca="false">SUMPRODUCT(N415:Y415,BJ415:BU415)</f>
        <v>1</v>
      </c>
      <c r="BX415" s="60" t="n">
        <f aca="false">BJ415/BV415</f>
        <v>1</v>
      </c>
      <c r="BY415" s="60" t="n">
        <f aca="false">BK415/BV415</f>
        <v>0</v>
      </c>
      <c r="BZ415" s="60" t="n">
        <f aca="false">BL415/BV415</f>
        <v>0</v>
      </c>
      <c r="CA415" s="60" t="n">
        <f aca="false">BM415/BV415</f>
        <v>0</v>
      </c>
      <c r="CB415" s="60" t="n">
        <f aca="false">BN415/BV415</f>
        <v>0</v>
      </c>
      <c r="CC415" s="60" t="n">
        <f aca="false">BO415/BV415</f>
        <v>0</v>
      </c>
      <c r="CD415" s="60" t="n">
        <f aca="false">BP415/BV415</f>
        <v>0</v>
      </c>
      <c r="CE415" s="60" t="n">
        <f aca="false">BQ415/BV415</f>
        <v>0</v>
      </c>
      <c r="CF415" s="60" t="n">
        <f aca="false">BR415/BV415</f>
        <v>0</v>
      </c>
      <c r="CG415" s="60" t="n">
        <f aca="false">BS415/BV415</f>
        <v>0</v>
      </c>
      <c r="CH415" s="60" t="n">
        <f aca="false">BT415/BV415</f>
        <v>0</v>
      </c>
      <c r="CI415" s="60" t="n">
        <f aca="false">BU415/BV415</f>
        <v>0</v>
      </c>
      <c r="CJ415" s="60" t="n">
        <f aca="false">N415*BJ415/BW415</f>
        <v>1</v>
      </c>
      <c r="CK415" s="60" t="n">
        <f aca="false">O415*BK415/BW415</f>
        <v>0</v>
      </c>
      <c r="CL415" s="60" t="n">
        <f aca="false">P415*BL415/BW415</f>
        <v>0</v>
      </c>
      <c r="CM415" s="60" t="n">
        <f aca="false">Q415*BM415/BW415</f>
        <v>0</v>
      </c>
      <c r="CN415" s="60" t="n">
        <f aca="false">R415*BN415/BW415</f>
        <v>0</v>
      </c>
      <c r="CO415" s="60" t="n">
        <f aca="false">S415*BO415/BW415</f>
        <v>0</v>
      </c>
      <c r="CP415" s="60" t="n">
        <f aca="false">T415*BP415/BW415</f>
        <v>0</v>
      </c>
      <c r="CQ415" s="60" t="n">
        <f aca="false">U415*BQ415/BW415</f>
        <v>0</v>
      </c>
      <c r="CR415" s="60" t="n">
        <f aca="false">V415*BR415/BW415</f>
        <v>0</v>
      </c>
      <c r="CS415" s="60" t="n">
        <f aca="false">W415*BS415/BW415</f>
        <v>0</v>
      </c>
      <c r="CT415" s="60" t="n">
        <f aca="false">X415*BT415/BW415</f>
        <v>0</v>
      </c>
      <c r="CU415" s="60" t="n">
        <f aca="false">Y415*BU415/BW415</f>
        <v>0</v>
      </c>
      <c r="CV415" s="60" t="n">
        <f aca="false">$E$28*SUMPRODUCT($E$31:$P$31,BX415:CI415,$E$28:$P$28)</f>
        <v>0.184416866619846</v>
      </c>
      <c r="CW415" s="60" t="n">
        <f aca="false">$F$28*SUMPRODUCT($E$32:$P$32,BX415:CI415,$E$28:$P$28)</f>
        <v>0</v>
      </c>
      <c r="CX415" s="60" t="n">
        <f aca="false">$G$28*SUMPRODUCT($E$33:$P$33,BX415:CI415,$E$28:$P$28)</f>
        <v>0</v>
      </c>
      <c r="CY415" s="60" t="n">
        <f aca="false">$H$28*SUMPRODUCT($E$34:$P$34,BX415:CI415,$E$28:$P$28)</f>
        <v>0</v>
      </c>
      <c r="CZ415" s="60" t="n">
        <f aca="false">$I$28*SUMPRODUCT($E$35:$P$35,BX415:CI415,$E$28:$P$28)</f>
        <v>0</v>
      </c>
      <c r="DA415" s="60" t="n">
        <f aca="false">$J$28*SUMPRODUCT($E$36:$P$36,BX415:CI415,$E$28:$P$28)</f>
        <v>0</v>
      </c>
      <c r="DB415" s="60" t="n">
        <f aca="false">$K$28*SUMPRODUCT($E$37:$P$37,BX415:CI415,$E$28:$P$28)</f>
        <v>0</v>
      </c>
      <c r="DC415" s="60" t="n">
        <f aca="false">$L$28*SUMPRODUCT($E$38:$P$38,BX415:CI415,$E$28:$P$28)</f>
        <v>0</v>
      </c>
      <c r="DD415" s="60" t="n">
        <f aca="false">$M$28*SUMPRODUCT($E$39:$P$39,BX415:CI415,$E$28:$P$28)</f>
        <v>0</v>
      </c>
      <c r="DE415" s="60" t="n">
        <f aca="false">$N$28*SUMPRODUCT($E$40:$P$40,BX415:CI415,$E$28:$P$28)</f>
        <v>0</v>
      </c>
      <c r="DF415" s="60" t="n">
        <f aca="false">$O$28*SUMPRODUCT($E$41:$P$41,BX415:CI415,$E$28:$P$28)</f>
        <v>0</v>
      </c>
      <c r="DG415" s="60" t="n">
        <f aca="false">$P$28*SUMPRODUCT($E$42:$P$42,BX415:CI415,$E$28:$P$28)</f>
        <v>0</v>
      </c>
      <c r="DH415" s="60" t="n">
        <f aca="false">SUMPRODUCT(BX415:CI415,CV415:DG415)</f>
        <v>0.184416866619846</v>
      </c>
      <c r="DI415" s="60" t="n">
        <f aca="false">SUMPRODUCT(BX415:CI415,$E$27:$P$27)</f>
        <v>2.67389635063809E-005</v>
      </c>
      <c r="DJ415" s="60" t="n">
        <f aca="false">DH415*$C$9/($C$10*$C$8)^2</f>
        <v>0.21776909410545</v>
      </c>
      <c r="DK415" s="60" t="n">
        <f aca="false">DI415*$C$9/($C$10*$C$8)</f>
        <v>0.0918845243259994</v>
      </c>
      <c r="DL415" s="60" t="n">
        <f aca="false">CHOOSE($C$7,-(1+DK415),-1,-(1-DK415))</f>
        <v>-0.908115475674001</v>
      </c>
      <c r="DM415" s="60" t="n">
        <f aca="false">CHOOSE($C$7,DJ415,DJ415-DK415-DK415^2,DJ415-3*DK415^2-2*DK415)</f>
        <v>0.00867174802160559</v>
      </c>
      <c r="DN415" s="60" t="n">
        <f aca="false">CHOOSE($C$7,-DJ415*DK415,-DJ415*DK415,-(DJ415*DK415-DK415^2-DK415^3))</f>
        <v>-0.0107910842936637</v>
      </c>
      <c r="DO415" s="60" t="n">
        <f aca="false">DM415-DL415^2/3</f>
        <v>-0.266219491031267</v>
      </c>
      <c r="DP415" s="60" t="n">
        <f aca="false">2*DL415^3/27-DL415*DM415/3+DN415</f>
        <v>-0.0636400988362784</v>
      </c>
      <c r="DQ415" s="60" t="n">
        <f aca="false">DP415^2/4+DO415^3/27</f>
        <v>0.000313710901361829</v>
      </c>
      <c r="DR415" s="60" t="n">
        <f aca="false">-DP415/2-IF(DP415&gt;=0,1,-1)*SQRT(MAX(DQ415,0))</f>
        <v>0.0495319352963236</v>
      </c>
      <c r="DS415" s="60" t="n">
        <f aca="false">SIGN(DR415)*ABS(DR415)^(1/3)</f>
        <v>0.367249967174439</v>
      </c>
      <c r="DT415" s="60" t="n">
        <f aca="false">IF(DS415=0,0,DS415-DO415/(3*DS415))</f>
        <v>0.60888329127384</v>
      </c>
      <c r="DU415" s="60" t="n">
        <f aca="false">2*SQRT(MAX(-DO415,0)/3)</f>
        <v>0.595784626668918</v>
      </c>
      <c r="DV415" s="60" t="n">
        <f aca="false">ACOS(IF(DU415=0,0,MAX(-1,MIN(1,3*DP415/(DO415*DU415)))))</f>
        <v>0</v>
      </c>
      <c r="DW415" s="60" t="n">
        <f aca="false">DU415*COS(DV415/3)</f>
        <v>0.595784626668918</v>
      </c>
      <c r="DX415" s="60" t="n">
        <f aca="false">IF(DQ415&lt;0,DW415,DT415)-DL415/3</f>
        <v>0.91158844983184</v>
      </c>
      <c r="DY415" s="60" t="n">
        <f aca="false">IFERROR((((DX415+DL415)*DX415+DM415)*DX415+DN415)/((3*DX415+2*DL415)*DX415+DM415),0)</f>
        <v>0</v>
      </c>
      <c r="DZ415" s="60" t="n">
        <f aca="false">IF(ABS(DY415)&lt;0.1*ABS(DX415),DX415-DY415,DX415)</f>
        <v>0.91158844983184</v>
      </c>
      <c r="EA415" s="60" t="n">
        <f aca="false">IFERROR((((DZ415+DL415)*DZ415+DM415)*DZ415+DN415)/((3*DZ415+2*DL415)*DZ415+DM415),0)</f>
        <v>0</v>
      </c>
      <c r="EB415" s="60" t="n">
        <f aca="false">IF(ABS(EA415)&lt;0.1*ABS(DZ415),DZ415-EA415,DZ415)</f>
        <v>0.91158844983184</v>
      </c>
      <c r="EC415" s="60" t="n">
        <f aca="false">-DN415/EB415</f>
        <v>0.0118376711504565</v>
      </c>
      <c r="ED415" s="60" t="n">
        <f aca="false">(DM415-EC415)/EB415</f>
        <v>-0.00347297415783941</v>
      </c>
      <c r="EE415" s="60" t="n">
        <f aca="false">ED415^2-4*EC415</f>
        <v>-0.0473386230523248</v>
      </c>
      <c r="EF415" s="60" t="n">
        <f aca="false">IF(EE415&gt;=0,(ED415+IF(ED415&gt;=0,1,-1)*SQRT(EE415))/2,0)</f>
        <v>0</v>
      </c>
      <c r="EG415" s="60" t="n">
        <f aca="false">IF(AND(EE415&gt;=0,EF415&lt;&gt;0),MIN(EF415,EC415/EF415),-1)</f>
        <v>-1</v>
      </c>
      <c r="EH415" s="60" t="n">
        <f aca="false">AND(EE415&gt;=0,EG415&gt;DK415,ABS(EB415-EG415)&gt;=0.00005*MAX(EB415,EG415))</f>
        <v>0</v>
      </c>
      <c r="EI415" s="60" t="n">
        <f aca="false">IF(EH415,IFERROR((((EG415+DL415)*EG415+DM415)*EG415+DN415)/((3*EG415+2*DL415)*EG415+DM415),0),0)</f>
        <v>0</v>
      </c>
      <c r="EJ415" s="60" t="n">
        <f aca="false">IF(ABS(EI415)&lt;0.1*ABS(EG415),EG415-EI415,EG415)</f>
        <v>-1</v>
      </c>
      <c r="EK415" s="60" t="n">
        <f aca="false">IF(EH415,IFERROR((((EJ415+DL415)*EJ415+DM415)*EJ415+DN415)/((3*EJ415+2*DL415)*EJ415+DM415),0),0)</f>
        <v>0</v>
      </c>
      <c r="EL415" s="60" t="n">
        <f aca="false">IF(ABS(EK415)&lt;0.1*ABS(EJ415),EJ415-EK415,EJ415)</f>
        <v>-1</v>
      </c>
      <c r="EM415" s="60" t="n">
        <f aca="false">IF(EH415,MAX(EB415,EL415),EB415)</f>
        <v>0.91158844983184</v>
      </c>
      <c r="EN415" s="60" t="n">
        <f aca="false">IF(EH415,MIN(EB415,EL415),-1)</f>
        <v>-1</v>
      </c>
      <c r="EO415" s="60" t="n">
        <f aca="false">CHOOSE($C$7,DJ415/EM415,DJ415/DK415*LN(1+DK415/EM415),DJ415/(2*SQRT(2)*DK415)*LN((EM415+(1+SQRT(2))*DK415)/(EM415+(1-SQRT(2))*DK415)))</f>
        <v>0.218240791233887</v>
      </c>
      <c r="EP415" s="60" t="n">
        <f aca="false">EM415-1-LN(EM415-DK415)-EO415</f>
        <v>-0.107840271021729</v>
      </c>
      <c r="EQ415" s="60" t="n">
        <f aca="false">IF(EH415,CHOOSE($C$7,DJ415/EN415,DJ415/DK415*LN(1+DK415/EN415),DJ415/(2*SQRT(2)*DK415)*LN((EN415+(1+SQRT(2))*DK415)/(EN415+(1-SQRT(2))*DK415))),0)</f>
        <v>0</v>
      </c>
      <c r="ER415" s="60" t="n">
        <f aca="false">IF(EH415,EN415-1-LN(EN415-DK415)-EQ415,0)</f>
        <v>0</v>
      </c>
      <c r="ES415" s="60" t="n">
        <f aca="false">AND(EH415,ER415&lt;EP415)</f>
        <v>0</v>
      </c>
      <c r="ET415" s="60" t="n">
        <f aca="false">IF(ES415,EN415,EM415)</f>
        <v>0.91158844983184</v>
      </c>
      <c r="EU415" s="60" t="n">
        <f aca="false">IF(ES415,EQ415,EO415)</f>
        <v>0.218240791233887</v>
      </c>
      <c r="EV415" s="60" t="n">
        <f aca="false">LN(ET415-DK415)</f>
        <v>-0.198812070380318</v>
      </c>
      <c r="EW415" s="60" t="n">
        <f aca="false">$E$27/DI415*(ET415-1)-EV415-EU415*(2*CV415/DH415-$E$27/DI415)</f>
        <v>-0.107840271021729</v>
      </c>
      <c r="EX415" s="60" t="n">
        <f aca="false">$F$27/DI415*(ET415-1)-EV415-EU415*(2*CW415/DH415-$F$27/DI415)</f>
        <v>0.198812070380318</v>
      </c>
      <c r="EY415" s="60" t="n">
        <f aca="false">$G$27/DI415*(ET415-1)-EV415-EU415*(2*CX415/DH415-$G$27/DI415)</f>
        <v>0.198812070380318</v>
      </c>
      <c r="EZ415" s="60" t="n">
        <f aca="false">$H$27/DI415*(ET415-1)-EV415-EU415*(2*CY415/DH415-$H$27/DI415)</f>
        <v>0.198812070380318</v>
      </c>
      <c r="FA415" s="60" t="n">
        <f aca="false">$I$27/DI415*(ET415-1)-EV415-EU415*(2*CZ415/DH415-$I$27/DI415)</f>
        <v>0.198812070380318</v>
      </c>
      <c r="FB415" s="60" t="n">
        <f aca="false">$J$27/DI415*(ET415-1)-EV415-EU415*(2*DA415/DH415-$J$27/DI415)</f>
        <v>0.198812070380318</v>
      </c>
      <c r="FC415" s="60" t="n">
        <f aca="false">$K$27/DI415*(ET415-1)-EV415-EU415*(2*DB415/DH415-$K$27/DI415)</f>
        <v>0.198812070380318</v>
      </c>
      <c r="FD415" s="60" t="n">
        <f aca="false">$L$27/DI415*(ET415-1)-EV415-EU415*(2*DC415/DH415-$L$27/DI415)</f>
        <v>0.198812070380318</v>
      </c>
      <c r="FE415" s="60" t="n">
        <f aca="false">$M$27/DI415*(ET415-1)-EV415-EU415*(2*DD415/DH415-$M$27/DI415)</f>
        <v>0.198812070380318</v>
      </c>
      <c r="FF415" s="60" t="n">
        <f aca="false">$N$27/DI415*(ET415-1)-EV415-EU415*(2*DE415/DH415-$N$27/DI415)</f>
        <v>0.198812070380318</v>
      </c>
      <c r="FG415" s="60" t="n">
        <f aca="false">$O$27/DI415*(ET415-1)-EV415-EU415*(2*DF415/DH415-$O$27/DI415)</f>
        <v>0.198812070380318</v>
      </c>
      <c r="FH415" s="60" t="n">
        <f aca="false">$P$27/DI415*(ET415-1)-EV415-EU415*(2*DG415/DH415-$P$27/DI415)</f>
        <v>0.198812070380318</v>
      </c>
      <c r="FI415" s="60" t="n">
        <f aca="false">DK415/ET415&gt;$C$22</f>
        <v>0</v>
      </c>
      <c r="FJ415" s="60" t="n">
        <f aca="false">$E$28*SUMPRODUCT($E$31:$P$31,CJ415:CU415,$E$28:$P$28)</f>
        <v>0.184416866619846</v>
      </c>
      <c r="FK415" s="60" t="n">
        <f aca="false">$F$28*SUMPRODUCT($E$32:$P$32,CJ415:CU415,$E$28:$P$28)</f>
        <v>0</v>
      </c>
      <c r="FL415" s="60" t="n">
        <f aca="false">$G$28*SUMPRODUCT($E$33:$P$33,CJ415:CU415,$E$28:$P$28)</f>
        <v>0</v>
      </c>
      <c r="FM415" s="60" t="n">
        <f aca="false">$H$28*SUMPRODUCT($E$34:$P$34,CJ415:CU415,$E$28:$P$28)</f>
        <v>0</v>
      </c>
      <c r="FN415" s="60" t="n">
        <f aca="false">$I$28*SUMPRODUCT($E$35:$P$35,CJ415:CU415,$E$28:$P$28)</f>
        <v>0</v>
      </c>
      <c r="FO415" s="60" t="n">
        <f aca="false">$J$28*SUMPRODUCT($E$36:$P$36,CJ415:CU415,$E$28:$P$28)</f>
        <v>0</v>
      </c>
      <c r="FP415" s="60" t="n">
        <f aca="false">$K$28*SUMPRODUCT($E$37:$P$37,CJ415:CU415,$E$28:$P$28)</f>
        <v>0</v>
      </c>
      <c r="FQ415" s="60" t="n">
        <f aca="false">$L$28*SUMPRODUCT($E$38:$P$38,CJ415:CU415,$E$28:$P$28)</f>
        <v>0</v>
      </c>
      <c r="FR415" s="60" t="n">
        <f aca="false">$M$28*SUMPRODUCT($E$39:$P$39,CJ415:CU415,$E$28:$P$28)</f>
        <v>0</v>
      </c>
      <c r="FS415" s="60" t="n">
        <f aca="false">$N$28*SUMPRODUCT($E$40:$P$40,CJ415:CU415,$E$28:$P$28)</f>
        <v>0</v>
      </c>
      <c r="FT415" s="60" t="n">
        <f aca="false">$O$28*SUMPRODUCT($E$41:$P$41,CJ415:CU415,$E$28:$P$28)</f>
        <v>0</v>
      </c>
      <c r="FU415" s="60" t="n">
        <f aca="false">$P$28*SUMPRODUCT($E$42:$P$42,CJ415:CU415,$E$28:$P$28)</f>
        <v>0</v>
      </c>
      <c r="FV415" s="60" t="n">
        <f aca="false">SUMPRODUCT(CJ415:CU415,FJ415:FU415)</f>
        <v>0.184416866619846</v>
      </c>
      <c r="FW415" s="60" t="n">
        <f aca="false">SUMPRODUCT(CJ415:CU415,$E$27:$P$27)</f>
        <v>2.67389635063809E-005</v>
      </c>
      <c r="FX415" s="60" t="n">
        <f aca="false">FV415*$C$9/($C$10*$C$8)^2</f>
        <v>0.21776909410545</v>
      </c>
      <c r="FY415" s="60" t="n">
        <f aca="false">FW415*$C$9/($C$10*$C$8)</f>
        <v>0.0918845243259994</v>
      </c>
      <c r="FZ415" s="60" t="n">
        <f aca="false">CHOOSE($C$7,-(1+FY415),-1,-(1-FY415))</f>
        <v>-0.908115475674001</v>
      </c>
      <c r="GA415" s="60" t="n">
        <f aca="false">CHOOSE($C$7,FX415,FX415-FY415-FY415^2,FX415-3*FY415^2-2*FY415)</f>
        <v>0.00867174802160559</v>
      </c>
      <c r="GB415" s="60" t="n">
        <f aca="false">CHOOSE($C$7,-FX415*FY415,-FX415*FY415,-(FX415*FY415-FY415^2-FY415^3))</f>
        <v>-0.0107910842936637</v>
      </c>
      <c r="GC415" s="60" t="n">
        <f aca="false">GA415-FZ415^2/3</f>
        <v>-0.266219491031267</v>
      </c>
      <c r="GD415" s="60" t="n">
        <f aca="false">2*FZ415^3/27-FZ415*GA415/3+GB415</f>
        <v>-0.0636400988362784</v>
      </c>
      <c r="GE415" s="60" t="n">
        <f aca="false">GD415^2/4+GC415^3/27</f>
        <v>0.000313710901361829</v>
      </c>
      <c r="GF415" s="60" t="n">
        <f aca="false">-GD415/2-IF(GD415&gt;=0,1,-1)*SQRT(MAX(GE415,0))</f>
        <v>0.0495319352963236</v>
      </c>
      <c r="GG415" s="60" t="n">
        <f aca="false">SIGN(GF415)*ABS(GF415)^(1/3)</f>
        <v>0.367249967174439</v>
      </c>
      <c r="GH415" s="60" t="n">
        <f aca="false">IF(GG415=0,0,GG415-GC415/(3*GG415))</f>
        <v>0.60888329127384</v>
      </c>
      <c r="GI415" s="60" t="n">
        <f aca="false">2*SQRT(MAX(-GC415,0)/3)</f>
        <v>0.595784626668918</v>
      </c>
      <c r="GJ415" s="60" t="n">
        <f aca="false">ACOS(IF(GI415=0,0,MAX(-1,MIN(1,3*GD415/(GC415*GI415)))))</f>
        <v>0</v>
      </c>
      <c r="GK415" s="60" t="n">
        <f aca="false">GI415*COS(GJ415/3)</f>
        <v>0.595784626668918</v>
      </c>
      <c r="GL415" s="60" t="n">
        <f aca="false">IF(GE415&lt;0,GK415,GH415)-FZ415/3</f>
        <v>0.91158844983184</v>
      </c>
      <c r="GM415" s="60" t="n">
        <f aca="false">IFERROR((((GL415+FZ415)*GL415+GA415)*GL415+GB415)/((3*GL415+2*FZ415)*GL415+GA415),0)</f>
        <v>0</v>
      </c>
      <c r="GN415" s="60" t="n">
        <f aca="false">IF(ABS(GM415)&lt;0.1*ABS(GL415),GL415-GM415,GL415)</f>
        <v>0.91158844983184</v>
      </c>
      <c r="GO415" s="60" t="n">
        <f aca="false">IFERROR((((GN415+FZ415)*GN415+GA415)*GN415+GB415)/((3*GN415+2*FZ415)*GN415+GA415),0)</f>
        <v>0</v>
      </c>
      <c r="GP415" s="60" t="n">
        <f aca="false">IF(ABS(GO415)&lt;0.1*ABS(GN415),GN415-GO415,GN415)</f>
        <v>0.91158844983184</v>
      </c>
      <c r="GQ415" s="60" t="n">
        <f aca="false">-GB415/GP415</f>
        <v>0.0118376711504565</v>
      </c>
      <c r="GR415" s="60" t="n">
        <f aca="false">(GA415-GQ415)/GP415</f>
        <v>-0.00347297415783941</v>
      </c>
      <c r="GS415" s="60" t="n">
        <f aca="false">GR415^2-4*GQ415</f>
        <v>-0.0473386230523248</v>
      </c>
      <c r="GT415" s="60" t="n">
        <f aca="false">IF(GS415&gt;=0,(GR415+IF(GR415&gt;=0,1,-1)*SQRT(GS415))/2,0)</f>
        <v>0</v>
      </c>
      <c r="GU415" s="60" t="n">
        <f aca="false">IF(AND(GS415&gt;=0,GT415&lt;&gt;0),MIN(GT415,GQ415/GT415),-1)</f>
        <v>-1</v>
      </c>
      <c r="GV415" s="60" t="n">
        <f aca="false">AND(GS415&gt;=0,GU415&gt;FY415,ABS(GP415-GU415)&gt;=0.00005*MAX(GP415,GU415))</f>
        <v>0</v>
      </c>
      <c r="GW415" s="60" t="n">
        <f aca="false">IF(GV415,IFERROR((((GU415+FZ415)*GU415+GA415)*GU415+GB415)/((3*GU415+2*FZ415)*GU415+GA415),0),0)</f>
        <v>0</v>
      </c>
      <c r="GX415" s="60" t="n">
        <f aca="false">IF(ABS(GW415)&lt;0.1*ABS(GU415),GU415-GW415,GU415)</f>
        <v>-1</v>
      </c>
      <c r="GY415" s="60" t="n">
        <f aca="false">IF(GV415,IFERROR((((GX415+FZ415)*GX415+GA415)*GX415+GB415)/((3*GX415+2*FZ415)*GX415+GA415),0),0)</f>
        <v>0</v>
      </c>
      <c r="GZ415" s="60" t="n">
        <f aca="false">IF(ABS(GY415)&lt;0.1*ABS(GX415),GX415-GY415,GX415)</f>
        <v>-1</v>
      </c>
      <c r="HA415" s="60" t="n">
        <f aca="false">IF(GV415,MAX(GP415,GZ415),GP415)</f>
        <v>0.91158844983184</v>
      </c>
      <c r="HB415" s="60" t="n">
        <f aca="false">IF(GV415,MIN(GP415,GZ415),-1)</f>
        <v>-1</v>
      </c>
      <c r="HC415" s="60" t="n">
        <f aca="false">CHOOSE($C$7,FX415/HA415,FX415/FY415*LN(1+FY415/HA415),FX415/(2*SQRT(2)*FY415)*LN((HA415+(1+SQRT(2))*FY415)/(HA415+(1-SQRT(2))*FY415)))</f>
        <v>0.218240791233887</v>
      </c>
      <c r="HD415" s="60" t="n">
        <f aca="false">HA415-1-LN(HA415-FY415)-HC415</f>
        <v>-0.107840271021729</v>
      </c>
      <c r="HE415" s="60" t="n">
        <f aca="false">IF(GV415,CHOOSE($C$7,FX415/HB415,FX415/FY415*LN(1+FY415/HB415),FX415/(2*SQRT(2)*FY415)*LN((HB415+(1+SQRT(2))*FY415)/(HB415+(1-SQRT(2))*FY415))),0)</f>
        <v>0</v>
      </c>
      <c r="HF415" s="60" t="n">
        <f aca="false">IF(GV415,HB415-1-LN(HB415-FY415)-HE415,0)</f>
        <v>0</v>
      </c>
      <c r="HG415" s="60" t="n">
        <f aca="false">AND(GV415,HF415&lt;HD415)</f>
        <v>0</v>
      </c>
      <c r="HH415" s="60" t="n">
        <f aca="false">IF(HG415,HB415,HA415)</f>
        <v>0.91158844983184</v>
      </c>
      <c r="HI415" s="60" t="n">
        <f aca="false">IF(HG415,HE415,HC415)</f>
        <v>0.218240791233887</v>
      </c>
      <c r="HJ415" s="60" t="n">
        <f aca="false">LN(HH415-FY415)</f>
        <v>-0.198812070380318</v>
      </c>
      <c r="HK415" s="60" t="n">
        <f aca="false">$E$27/FW415*(HH415-1)-HJ415-HI415*(2*FJ415/FV415-$E$27/FW415)</f>
        <v>-0.107840271021729</v>
      </c>
      <c r="HL415" s="60" t="n">
        <f aca="false">$F$27/FW415*(HH415-1)-HJ415-HI415*(2*FK415/FV415-$F$27/FW415)</f>
        <v>0.198812070380318</v>
      </c>
      <c r="HM415" s="60" t="n">
        <f aca="false">$G$27/FW415*(HH415-1)-HJ415-HI415*(2*FL415/FV415-$G$27/FW415)</f>
        <v>0.198812070380318</v>
      </c>
      <c r="HN415" s="60" t="n">
        <f aca="false">$H$27/FW415*(HH415-1)-HJ415-HI415*(2*FM415/FV415-$H$27/FW415)</f>
        <v>0.198812070380318</v>
      </c>
      <c r="HO415" s="60" t="n">
        <f aca="false">$I$27/FW415*(HH415-1)-HJ415-HI415*(2*FN415/FV415-$I$27/FW415)</f>
        <v>0.198812070380318</v>
      </c>
      <c r="HP415" s="60" t="n">
        <f aca="false">$J$27/FW415*(HH415-1)-HJ415-HI415*(2*FO415/FV415-$J$27/FW415)</f>
        <v>0.198812070380318</v>
      </c>
      <c r="HQ415" s="60" t="n">
        <f aca="false">$K$27/FW415*(HH415-1)-HJ415-HI415*(2*FP415/FV415-$K$27/FW415)</f>
        <v>0.198812070380318</v>
      </c>
      <c r="HR415" s="60" t="n">
        <f aca="false">$L$27/FW415*(HH415-1)-HJ415-HI415*(2*FQ415/FV415-$L$27/FW415)</f>
        <v>0.198812070380318</v>
      </c>
      <c r="HS415" s="60" t="n">
        <f aca="false">$M$27/FW415*(HH415-1)-HJ415-HI415*(2*FR415/FV415-$M$27/FW415)</f>
        <v>0.198812070380318</v>
      </c>
      <c r="HT415" s="60" t="n">
        <f aca="false">$N$27/FW415*(HH415-1)-HJ415-HI415*(2*FS415/FV415-$N$27/FW415)</f>
        <v>0.198812070380318</v>
      </c>
      <c r="HU415" s="60" t="n">
        <f aca="false">$O$27/FW415*(HH415-1)-HJ415-HI415*(2*FT415/FV415-$O$27/FW415)</f>
        <v>0.198812070380318</v>
      </c>
      <c r="HV415" s="60" t="n">
        <f aca="false">$P$27/FW415*(HH415-1)-HJ415-HI415*(2*FU415/FV415-$P$27/FW415)</f>
        <v>0.198812070380318</v>
      </c>
      <c r="HW415" s="60" t="n">
        <f aca="false">FY415/HH415&gt;$C$22</f>
        <v>0</v>
      </c>
      <c r="HX415" s="60" t="n">
        <f aca="false">IF($E$13&gt;0,MAX(-300,MIN(300,EW415-HK415)),0)</f>
        <v>0</v>
      </c>
      <c r="HY415" s="60" t="n">
        <f aca="false">IF($F$13&gt;0,MAX(-300,MIN(300,EX415-HL415)),0)</f>
        <v>0</v>
      </c>
      <c r="HZ415" s="60" t="n">
        <f aca="false">IF($G$13&gt;0,MAX(-300,MIN(300,EY415-HM415)),0)</f>
        <v>0</v>
      </c>
      <c r="IA415" s="60" t="n">
        <f aca="false">IF($H$13&gt;0,MAX(-300,MIN(300,EZ415-HN415)),0)</f>
        <v>0</v>
      </c>
      <c r="IB415" s="60" t="n">
        <f aca="false">IF($I$13&gt;0,MAX(-300,MIN(300,FA415-HO415)),0)</f>
        <v>0</v>
      </c>
      <c r="IC415" s="60" t="n">
        <f aca="false">IF($J$13&gt;0,MAX(-300,MIN(300,FB415-HP415)),0)</f>
        <v>0</v>
      </c>
      <c r="ID415" s="60" t="n">
        <f aca="false">IF($K$13&gt;0,MAX(-300,MIN(300,FC415-HQ415)),0)</f>
        <v>0</v>
      </c>
      <c r="IE415" s="60" t="n">
        <f aca="false">IF($L$13&gt;0,MAX(-300,MIN(300,FD415-HR415)),0)</f>
        <v>0</v>
      </c>
      <c r="IF415" s="60" t="n">
        <f aca="false">IF($M$13&gt;0,MAX(-300,MIN(300,FE415-HS415)),0)</f>
        <v>0</v>
      </c>
      <c r="IG415" s="60" t="n">
        <f aca="false">IF($N$13&gt;0,MAX(-300,MIN(300,FF415-HT415)),0)</f>
        <v>0</v>
      </c>
      <c r="IH415" s="60" t="n">
        <f aca="false">IF($O$13&gt;0,MAX(-300,MIN(300,FG415-HU415)),0)</f>
        <v>0</v>
      </c>
      <c r="II415" s="60" t="n">
        <f aca="false">IF($P$13&gt;0,MAX(-300,MIN(300,FH415-HV415)),0)</f>
        <v>0</v>
      </c>
      <c r="IJ415" s="60" t="n">
        <f aca="false">SUMXMY2(HX415:II415,B415:M415)</f>
        <v>0</v>
      </c>
      <c r="IK415" s="60" t="n">
        <f aca="false">SUMSQ(B415:M415)</f>
        <v>0</v>
      </c>
    </row>
    <row r="416" customFormat="false" ht="15" hidden="false" customHeight="false" outlineLevel="0" collapsed="false">
      <c r="A416" s="59" t="n">
        <v>55</v>
      </c>
      <c r="B416" s="60" t="n">
        <f aca="false">HX415</f>
        <v>0</v>
      </c>
      <c r="C416" s="60" t="n">
        <f aca="false">HY415</f>
        <v>0</v>
      </c>
      <c r="D416" s="60" t="n">
        <f aca="false">HZ415</f>
        <v>0</v>
      </c>
      <c r="E416" s="60" t="n">
        <f aca="false">IA415</f>
        <v>0</v>
      </c>
      <c r="F416" s="60" t="n">
        <f aca="false">IB415</f>
        <v>0</v>
      </c>
      <c r="G416" s="60" t="n">
        <f aca="false">IC415</f>
        <v>0</v>
      </c>
      <c r="H416" s="60" t="n">
        <f aca="false">ID415</f>
        <v>0</v>
      </c>
      <c r="I416" s="60" t="n">
        <f aca="false">IE415</f>
        <v>0</v>
      </c>
      <c r="J416" s="60" t="n">
        <f aca="false">IF415</f>
        <v>0</v>
      </c>
      <c r="K416" s="60" t="n">
        <f aca="false">IG415</f>
        <v>0</v>
      </c>
      <c r="L416" s="60" t="n">
        <f aca="false">IH415</f>
        <v>0</v>
      </c>
      <c r="M416" s="60" t="n">
        <f aca="false">II415</f>
        <v>0</v>
      </c>
      <c r="N416" s="60" t="n">
        <f aca="false">EXP(B416)</f>
        <v>1</v>
      </c>
      <c r="O416" s="60" t="n">
        <f aca="false">EXP(C416)</f>
        <v>1</v>
      </c>
      <c r="P416" s="60" t="n">
        <f aca="false">EXP(D416)</f>
        <v>1</v>
      </c>
      <c r="Q416" s="60" t="n">
        <f aca="false">EXP(E416)</f>
        <v>1</v>
      </c>
      <c r="R416" s="60" t="n">
        <f aca="false">EXP(F416)</f>
        <v>1</v>
      </c>
      <c r="S416" s="60" t="n">
        <f aca="false">EXP(G416)</f>
        <v>1</v>
      </c>
      <c r="T416" s="60" t="n">
        <f aca="false">EXP(H416)</f>
        <v>1</v>
      </c>
      <c r="U416" s="60" t="n">
        <f aca="false">EXP(I416)</f>
        <v>1</v>
      </c>
      <c r="V416" s="60" t="n">
        <f aca="false">EXP(J416)</f>
        <v>1</v>
      </c>
      <c r="W416" s="60" t="n">
        <f aca="false">EXP(K416)</f>
        <v>1</v>
      </c>
      <c r="X416" s="60" t="n">
        <f aca="false">EXP(L416)</f>
        <v>1</v>
      </c>
      <c r="Y416" s="60" t="n">
        <f aca="false">EXP(M416)</f>
        <v>1</v>
      </c>
      <c r="Z416" s="60" t="n">
        <f aca="false">MAX(N416:Y416)</f>
        <v>1</v>
      </c>
      <c r="AA416" s="60" t="n">
        <f aca="false">MIN(N416:Y416)</f>
        <v>1</v>
      </c>
      <c r="AB416" s="60" t="n">
        <f aca="false">AND(Z416&gt;1,AA416&lt;1)</f>
        <v>0</v>
      </c>
      <c r="AC416" s="60" t="n">
        <f aca="false">IF(AB416,1/(1-Z416),0)</f>
        <v>0</v>
      </c>
      <c r="AD416" s="60" t="n">
        <f aca="false">IF(AB416,1/(1-AA416),1)</f>
        <v>1</v>
      </c>
      <c r="AE416" s="60" t="n">
        <f aca="false">IF(AB416,MIN(MAX(BI415,AC416+0.000000001*(AD416-AC416)),AD416-0.000000001*(AD416-AC416)),IF(AA416&gt;=1,1,0))</f>
        <v>1</v>
      </c>
      <c r="AF416" s="60" t="n">
        <f aca="false">SUMPRODUCT($E$13:$P$13*(N416:Y416-1)/(1+AE416*(N416:Y416-1)))</f>
        <v>0</v>
      </c>
      <c r="AG416" s="60" t="n">
        <f aca="false">-SUMPRODUCT($E$13:$P$13*(N416:Y416-1)^2/(1+AE416*(N416:Y416-1))^2)</f>
        <v>-0</v>
      </c>
      <c r="AH416" s="60" t="n">
        <f aca="false">IF(OR(NOT(AB416),AG416=0),AE416,IF(AE416-AF416/AG416&lt;=AC416,(AE416+AC416)/2,IF(AE416-AF416/AG416&gt;=AD416,(AE416+AD416)/2,AE416-AF416/AG416)))</f>
        <v>1</v>
      </c>
      <c r="AI416" s="60" t="n">
        <f aca="false">SUMPRODUCT($E$13:$P$13*(N416:Y416-1)/(1+AH416*(N416:Y416-1)))</f>
        <v>0</v>
      </c>
      <c r="AJ416" s="60" t="n">
        <f aca="false">-SUMPRODUCT($E$13:$P$13*(N416:Y416-1)^2/(1+AH416*(N416:Y416-1))^2)</f>
        <v>-0</v>
      </c>
      <c r="AK416" s="60" t="n">
        <f aca="false">IF(OR(NOT(AB416),AJ416=0),AH416,IF(AH416-AI416/AJ416&lt;=AC416,(AH416+AC416)/2,IF(AH416-AI416/AJ416&gt;=AD416,(AH416+AD416)/2,AH416-AI416/AJ416)))</f>
        <v>1</v>
      </c>
      <c r="AL416" s="60" t="n">
        <f aca="false">SUMPRODUCT($E$13:$P$13*(N416:Y416-1)/(1+AK416*(N416:Y416-1)))</f>
        <v>0</v>
      </c>
      <c r="AM416" s="60" t="n">
        <f aca="false">-SUMPRODUCT($E$13:$P$13*(N416:Y416-1)^2/(1+AK416*(N416:Y416-1))^2)</f>
        <v>-0</v>
      </c>
      <c r="AN416" s="60" t="n">
        <f aca="false">IF(OR(NOT(AB416),AM416=0),AK416,IF(AK416-AL416/AM416&lt;=AC416,(AK416+AC416)/2,IF(AK416-AL416/AM416&gt;=AD416,(AK416+AD416)/2,AK416-AL416/AM416)))</f>
        <v>1</v>
      </c>
      <c r="AO416" s="60" t="n">
        <f aca="false">SUMPRODUCT($E$13:$P$13*(N416:Y416-1)/(1+AN416*(N416:Y416-1)))</f>
        <v>0</v>
      </c>
      <c r="AP416" s="60" t="n">
        <f aca="false">-SUMPRODUCT($E$13:$P$13*(N416:Y416-1)^2/(1+AN416*(N416:Y416-1))^2)</f>
        <v>-0</v>
      </c>
      <c r="AQ416" s="60" t="n">
        <f aca="false">IF(OR(NOT(AB416),AP416=0),AN416,IF(AN416-AO416/AP416&lt;=AC416,(AN416+AC416)/2,IF(AN416-AO416/AP416&gt;=AD416,(AN416+AD416)/2,AN416-AO416/AP416)))</f>
        <v>1</v>
      </c>
      <c r="AR416" s="60" t="n">
        <f aca="false">SUMPRODUCT($E$13:$P$13*(N416:Y416-1)/(1+AQ416*(N416:Y416-1)))</f>
        <v>0</v>
      </c>
      <c r="AS416" s="60" t="n">
        <f aca="false">-SUMPRODUCT($E$13:$P$13*(N416:Y416-1)^2/(1+AQ416*(N416:Y416-1))^2)</f>
        <v>-0</v>
      </c>
      <c r="AT416" s="60" t="n">
        <f aca="false">IF(OR(NOT(AB416),AS416=0),AQ416,IF(AQ416-AR416/AS416&lt;=AC416,(AQ416+AC416)/2,IF(AQ416-AR416/AS416&gt;=AD416,(AQ416+AD416)/2,AQ416-AR416/AS416)))</f>
        <v>1</v>
      </c>
      <c r="AU416" s="60" t="n">
        <f aca="false">SUMPRODUCT($E$13:$P$13*(N416:Y416-1)/(1+AT416*(N416:Y416-1)))</f>
        <v>0</v>
      </c>
      <c r="AV416" s="60" t="n">
        <f aca="false">-SUMPRODUCT($E$13:$P$13*(N416:Y416-1)^2/(1+AT416*(N416:Y416-1))^2)</f>
        <v>-0</v>
      </c>
      <c r="AW416" s="60" t="n">
        <f aca="false">IF(OR(NOT(AB416),AV416=0),AT416,IF(AT416-AU416/AV416&lt;=AC416,(AT416+AC416)/2,IF(AT416-AU416/AV416&gt;=AD416,(AT416+AD416)/2,AT416-AU416/AV416)))</f>
        <v>1</v>
      </c>
      <c r="AX416" s="60" t="n">
        <f aca="false">SUMPRODUCT($E$13:$P$13*(N416:Y416-1)/(1+AW416*(N416:Y416-1)))</f>
        <v>0</v>
      </c>
      <c r="AY416" s="60" t="n">
        <f aca="false">-SUMPRODUCT($E$13:$P$13*(N416:Y416-1)^2/(1+AW416*(N416:Y416-1))^2)</f>
        <v>-0</v>
      </c>
      <c r="AZ416" s="60" t="n">
        <f aca="false">IF(OR(NOT(AB416),AY416=0),AW416,IF(AW416-AX416/AY416&lt;=AC416,(AW416+AC416)/2,IF(AW416-AX416/AY416&gt;=AD416,(AW416+AD416)/2,AW416-AX416/AY416)))</f>
        <v>1</v>
      </c>
      <c r="BA416" s="60" t="n">
        <f aca="false">SUMPRODUCT($E$13:$P$13*(N416:Y416-1)/(1+AZ416*(N416:Y416-1)))</f>
        <v>0</v>
      </c>
      <c r="BB416" s="60" t="n">
        <f aca="false">-SUMPRODUCT($E$13:$P$13*(N416:Y416-1)^2/(1+AZ416*(N416:Y416-1))^2)</f>
        <v>-0</v>
      </c>
      <c r="BC416" s="60" t="n">
        <f aca="false">IF(OR(NOT(AB416),BB416=0),AZ416,IF(AZ416-BA416/BB416&lt;=AC416,(AZ416+AC416)/2,IF(AZ416-BA416/BB416&gt;=AD416,(AZ416+AD416)/2,AZ416-BA416/BB416)))</f>
        <v>1</v>
      </c>
      <c r="BD416" s="60" t="n">
        <f aca="false">SUMPRODUCT($E$13:$P$13*(N416:Y416-1)/(1+BC416*(N416:Y416-1)))</f>
        <v>0</v>
      </c>
      <c r="BE416" s="60" t="n">
        <f aca="false">-SUMPRODUCT($E$13:$P$13*(N416:Y416-1)^2/(1+BC416*(N416:Y416-1))^2)</f>
        <v>-0</v>
      </c>
      <c r="BF416" s="60" t="n">
        <f aca="false">IF(OR(NOT(AB416),BE416=0),BC416,IF(BC416-BD416/BE416&lt;=AC416,(BC416+AC416)/2,IF(BC416-BD416/BE416&gt;=AD416,(BC416+AD416)/2,BC416-BD416/BE416)))</f>
        <v>1</v>
      </c>
      <c r="BG416" s="60" t="n">
        <f aca="false">SUMPRODUCT($E$13:$P$13*(N416:Y416-1)/(1+BF416*(N416:Y416-1)))</f>
        <v>0</v>
      </c>
      <c r="BH416" s="60" t="n">
        <f aca="false">-SUMPRODUCT($E$13:$P$13*(N416:Y416-1)^2/(1+BF416*(N416:Y416-1))^2)</f>
        <v>-0</v>
      </c>
      <c r="BI416" s="60" t="n">
        <f aca="false">IF(OR(NOT(AB416),BH416=0),BF416,IF(BF416-BG416/BH416&lt;=AC416,(BF416+AC416)/2,IF(BF416-BG416/BH416&gt;=AD416,(BF416+AD416)/2,BF416-BG416/BH416)))</f>
        <v>1</v>
      </c>
      <c r="BJ416" s="60" t="n">
        <f aca="false">$E$13/(1+BI416*(N416-1))</f>
        <v>1</v>
      </c>
      <c r="BK416" s="60" t="n">
        <f aca="false">$F$13/(1+BI416*(O416-1))</f>
        <v>0</v>
      </c>
      <c r="BL416" s="60" t="n">
        <f aca="false">$G$13/(1+BI416*(P416-1))</f>
        <v>0</v>
      </c>
      <c r="BM416" s="60" t="n">
        <f aca="false">$H$13/(1+BI416*(Q416-1))</f>
        <v>0</v>
      </c>
      <c r="BN416" s="60" t="n">
        <f aca="false">$I$13/(1+BI416*(R416-1))</f>
        <v>0</v>
      </c>
      <c r="BO416" s="60" t="n">
        <f aca="false">$J$13/(1+BI416*(S416-1))</f>
        <v>0</v>
      </c>
      <c r="BP416" s="60" t="n">
        <f aca="false">$K$13/(1+BI416*(T416-1))</f>
        <v>0</v>
      </c>
      <c r="BQ416" s="60" t="n">
        <f aca="false">$L$13/(1+BI416*(U416-1))</f>
        <v>0</v>
      </c>
      <c r="BR416" s="60" t="n">
        <f aca="false">$M$13/(1+BI416*(V416-1))</f>
        <v>0</v>
      </c>
      <c r="BS416" s="60" t="n">
        <f aca="false">$N$13/(1+BI416*(W416-1))</f>
        <v>0</v>
      </c>
      <c r="BT416" s="60" t="n">
        <f aca="false">$O$13/(1+BI416*(X416-1))</f>
        <v>0</v>
      </c>
      <c r="BU416" s="60" t="n">
        <f aca="false">$P$13/(1+BI416*(Y416-1))</f>
        <v>0</v>
      </c>
      <c r="BV416" s="60" t="n">
        <f aca="false">SUM(BJ416:BU416)</f>
        <v>1</v>
      </c>
      <c r="BW416" s="60" t="n">
        <f aca="false">SUMPRODUCT(N416:Y416,BJ416:BU416)</f>
        <v>1</v>
      </c>
      <c r="BX416" s="60" t="n">
        <f aca="false">BJ416/BV416</f>
        <v>1</v>
      </c>
      <c r="BY416" s="60" t="n">
        <f aca="false">BK416/BV416</f>
        <v>0</v>
      </c>
      <c r="BZ416" s="60" t="n">
        <f aca="false">BL416/BV416</f>
        <v>0</v>
      </c>
      <c r="CA416" s="60" t="n">
        <f aca="false">BM416/BV416</f>
        <v>0</v>
      </c>
      <c r="CB416" s="60" t="n">
        <f aca="false">BN416/BV416</f>
        <v>0</v>
      </c>
      <c r="CC416" s="60" t="n">
        <f aca="false">BO416/BV416</f>
        <v>0</v>
      </c>
      <c r="CD416" s="60" t="n">
        <f aca="false">BP416/BV416</f>
        <v>0</v>
      </c>
      <c r="CE416" s="60" t="n">
        <f aca="false">BQ416/BV416</f>
        <v>0</v>
      </c>
      <c r="CF416" s="60" t="n">
        <f aca="false">BR416/BV416</f>
        <v>0</v>
      </c>
      <c r="CG416" s="60" t="n">
        <f aca="false">BS416/BV416</f>
        <v>0</v>
      </c>
      <c r="CH416" s="60" t="n">
        <f aca="false">BT416/BV416</f>
        <v>0</v>
      </c>
      <c r="CI416" s="60" t="n">
        <f aca="false">BU416/BV416</f>
        <v>0</v>
      </c>
      <c r="CJ416" s="60" t="n">
        <f aca="false">N416*BJ416/BW416</f>
        <v>1</v>
      </c>
      <c r="CK416" s="60" t="n">
        <f aca="false">O416*BK416/BW416</f>
        <v>0</v>
      </c>
      <c r="CL416" s="60" t="n">
        <f aca="false">P416*BL416/BW416</f>
        <v>0</v>
      </c>
      <c r="CM416" s="60" t="n">
        <f aca="false">Q416*BM416/BW416</f>
        <v>0</v>
      </c>
      <c r="CN416" s="60" t="n">
        <f aca="false">R416*BN416/BW416</f>
        <v>0</v>
      </c>
      <c r="CO416" s="60" t="n">
        <f aca="false">S416*BO416/BW416</f>
        <v>0</v>
      </c>
      <c r="CP416" s="60" t="n">
        <f aca="false">T416*BP416/BW416</f>
        <v>0</v>
      </c>
      <c r="CQ416" s="60" t="n">
        <f aca="false">U416*BQ416/BW416</f>
        <v>0</v>
      </c>
      <c r="CR416" s="60" t="n">
        <f aca="false">V416*BR416/BW416</f>
        <v>0</v>
      </c>
      <c r="CS416" s="60" t="n">
        <f aca="false">W416*BS416/BW416</f>
        <v>0</v>
      </c>
      <c r="CT416" s="60" t="n">
        <f aca="false">X416*BT416/BW416</f>
        <v>0</v>
      </c>
      <c r="CU416" s="60" t="n">
        <f aca="false">Y416*BU416/BW416</f>
        <v>0</v>
      </c>
      <c r="CV416" s="60" t="n">
        <f aca="false">$E$28*SUMPRODUCT($E$31:$P$31,BX416:CI416,$E$28:$P$28)</f>
        <v>0.184416866619846</v>
      </c>
      <c r="CW416" s="60" t="n">
        <f aca="false">$F$28*SUMPRODUCT($E$32:$P$32,BX416:CI416,$E$28:$P$28)</f>
        <v>0</v>
      </c>
      <c r="CX416" s="60" t="n">
        <f aca="false">$G$28*SUMPRODUCT($E$33:$P$33,BX416:CI416,$E$28:$P$28)</f>
        <v>0</v>
      </c>
      <c r="CY416" s="60" t="n">
        <f aca="false">$H$28*SUMPRODUCT($E$34:$P$34,BX416:CI416,$E$28:$P$28)</f>
        <v>0</v>
      </c>
      <c r="CZ416" s="60" t="n">
        <f aca="false">$I$28*SUMPRODUCT($E$35:$P$35,BX416:CI416,$E$28:$P$28)</f>
        <v>0</v>
      </c>
      <c r="DA416" s="60" t="n">
        <f aca="false">$J$28*SUMPRODUCT($E$36:$P$36,BX416:CI416,$E$28:$P$28)</f>
        <v>0</v>
      </c>
      <c r="DB416" s="60" t="n">
        <f aca="false">$K$28*SUMPRODUCT($E$37:$P$37,BX416:CI416,$E$28:$P$28)</f>
        <v>0</v>
      </c>
      <c r="DC416" s="60" t="n">
        <f aca="false">$L$28*SUMPRODUCT($E$38:$P$38,BX416:CI416,$E$28:$P$28)</f>
        <v>0</v>
      </c>
      <c r="DD416" s="60" t="n">
        <f aca="false">$M$28*SUMPRODUCT($E$39:$P$39,BX416:CI416,$E$28:$P$28)</f>
        <v>0</v>
      </c>
      <c r="DE416" s="60" t="n">
        <f aca="false">$N$28*SUMPRODUCT($E$40:$P$40,BX416:CI416,$E$28:$P$28)</f>
        <v>0</v>
      </c>
      <c r="DF416" s="60" t="n">
        <f aca="false">$O$28*SUMPRODUCT($E$41:$P$41,BX416:CI416,$E$28:$P$28)</f>
        <v>0</v>
      </c>
      <c r="DG416" s="60" t="n">
        <f aca="false">$P$28*SUMPRODUCT($E$42:$P$42,BX416:CI416,$E$28:$P$28)</f>
        <v>0</v>
      </c>
      <c r="DH416" s="60" t="n">
        <f aca="false">SUMPRODUCT(BX416:CI416,CV416:DG416)</f>
        <v>0.184416866619846</v>
      </c>
      <c r="DI416" s="60" t="n">
        <f aca="false">SUMPRODUCT(BX416:CI416,$E$27:$P$27)</f>
        <v>2.67389635063809E-005</v>
      </c>
      <c r="DJ416" s="60" t="n">
        <f aca="false">DH416*$C$9/($C$10*$C$8)^2</f>
        <v>0.21776909410545</v>
      </c>
      <c r="DK416" s="60" t="n">
        <f aca="false">DI416*$C$9/($C$10*$C$8)</f>
        <v>0.0918845243259994</v>
      </c>
      <c r="DL416" s="60" t="n">
        <f aca="false">CHOOSE($C$7,-(1+DK416),-1,-(1-DK416))</f>
        <v>-0.908115475674001</v>
      </c>
      <c r="DM416" s="60" t="n">
        <f aca="false">CHOOSE($C$7,DJ416,DJ416-DK416-DK416^2,DJ416-3*DK416^2-2*DK416)</f>
        <v>0.00867174802160559</v>
      </c>
      <c r="DN416" s="60" t="n">
        <f aca="false">CHOOSE($C$7,-DJ416*DK416,-DJ416*DK416,-(DJ416*DK416-DK416^2-DK416^3))</f>
        <v>-0.0107910842936637</v>
      </c>
      <c r="DO416" s="60" t="n">
        <f aca="false">DM416-DL416^2/3</f>
        <v>-0.266219491031267</v>
      </c>
      <c r="DP416" s="60" t="n">
        <f aca="false">2*DL416^3/27-DL416*DM416/3+DN416</f>
        <v>-0.0636400988362784</v>
      </c>
      <c r="DQ416" s="60" t="n">
        <f aca="false">DP416^2/4+DO416^3/27</f>
        <v>0.000313710901361829</v>
      </c>
      <c r="DR416" s="60" t="n">
        <f aca="false">-DP416/2-IF(DP416&gt;=0,1,-1)*SQRT(MAX(DQ416,0))</f>
        <v>0.0495319352963236</v>
      </c>
      <c r="DS416" s="60" t="n">
        <f aca="false">SIGN(DR416)*ABS(DR416)^(1/3)</f>
        <v>0.367249967174439</v>
      </c>
      <c r="DT416" s="60" t="n">
        <f aca="false">IF(DS416=0,0,DS416-DO416/(3*DS416))</f>
        <v>0.60888329127384</v>
      </c>
      <c r="DU416" s="60" t="n">
        <f aca="false">2*SQRT(MAX(-DO416,0)/3)</f>
        <v>0.595784626668918</v>
      </c>
      <c r="DV416" s="60" t="n">
        <f aca="false">ACOS(IF(DU416=0,0,MAX(-1,MIN(1,3*DP416/(DO416*DU416)))))</f>
        <v>0</v>
      </c>
      <c r="DW416" s="60" t="n">
        <f aca="false">DU416*COS(DV416/3)</f>
        <v>0.595784626668918</v>
      </c>
      <c r="DX416" s="60" t="n">
        <f aca="false">IF(DQ416&lt;0,DW416,DT416)-DL416/3</f>
        <v>0.91158844983184</v>
      </c>
      <c r="DY416" s="60" t="n">
        <f aca="false">IFERROR((((DX416+DL416)*DX416+DM416)*DX416+DN416)/((3*DX416+2*DL416)*DX416+DM416),0)</f>
        <v>0</v>
      </c>
      <c r="DZ416" s="60" t="n">
        <f aca="false">IF(ABS(DY416)&lt;0.1*ABS(DX416),DX416-DY416,DX416)</f>
        <v>0.91158844983184</v>
      </c>
      <c r="EA416" s="60" t="n">
        <f aca="false">IFERROR((((DZ416+DL416)*DZ416+DM416)*DZ416+DN416)/((3*DZ416+2*DL416)*DZ416+DM416),0)</f>
        <v>0</v>
      </c>
      <c r="EB416" s="60" t="n">
        <f aca="false">IF(ABS(EA416)&lt;0.1*ABS(DZ416),DZ416-EA416,DZ416)</f>
        <v>0.91158844983184</v>
      </c>
      <c r="EC416" s="60" t="n">
        <f aca="false">-DN416/EB416</f>
        <v>0.0118376711504565</v>
      </c>
      <c r="ED416" s="60" t="n">
        <f aca="false">(DM416-EC416)/EB416</f>
        <v>-0.00347297415783941</v>
      </c>
      <c r="EE416" s="60" t="n">
        <f aca="false">ED416^2-4*EC416</f>
        <v>-0.0473386230523248</v>
      </c>
      <c r="EF416" s="60" t="n">
        <f aca="false">IF(EE416&gt;=0,(ED416+IF(ED416&gt;=0,1,-1)*SQRT(EE416))/2,0)</f>
        <v>0</v>
      </c>
      <c r="EG416" s="60" t="n">
        <f aca="false">IF(AND(EE416&gt;=0,EF416&lt;&gt;0),MIN(EF416,EC416/EF416),-1)</f>
        <v>-1</v>
      </c>
      <c r="EH416" s="60" t="n">
        <f aca="false">AND(EE416&gt;=0,EG416&gt;DK416,ABS(EB416-EG416)&gt;=0.00005*MAX(EB416,EG416))</f>
        <v>0</v>
      </c>
      <c r="EI416" s="60" t="n">
        <f aca="false">IF(EH416,IFERROR((((EG416+DL416)*EG416+DM416)*EG416+DN416)/((3*EG416+2*DL416)*EG416+DM416),0),0)</f>
        <v>0</v>
      </c>
      <c r="EJ416" s="60" t="n">
        <f aca="false">IF(ABS(EI416)&lt;0.1*ABS(EG416),EG416-EI416,EG416)</f>
        <v>-1</v>
      </c>
      <c r="EK416" s="60" t="n">
        <f aca="false">IF(EH416,IFERROR((((EJ416+DL416)*EJ416+DM416)*EJ416+DN416)/((3*EJ416+2*DL416)*EJ416+DM416),0),0)</f>
        <v>0</v>
      </c>
      <c r="EL416" s="60" t="n">
        <f aca="false">IF(ABS(EK416)&lt;0.1*ABS(EJ416),EJ416-EK416,EJ416)</f>
        <v>-1</v>
      </c>
      <c r="EM416" s="60" t="n">
        <f aca="false">IF(EH416,MAX(EB416,EL416),EB416)</f>
        <v>0.91158844983184</v>
      </c>
      <c r="EN416" s="60" t="n">
        <f aca="false">IF(EH416,MIN(EB416,EL416),-1)</f>
        <v>-1</v>
      </c>
      <c r="EO416" s="60" t="n">
        <f aca="false">CHOOSE($C$7,DJ416/EM416,DJ416/DK416*LN(1+DK416/EM416),DJ416/(2*SQRT(2)*DK416)*LN((EM416+(1+SQRT(2))*DK416)/(EM416+(1-SQRT(2))*DK416)))</f>
        <v>0.218240791233887</v>
      </c>
      <c r="EP416" s="60" t="n">
        <f aca="false">EM416-1-LN(EM416-DK416)-EO416</f>
        <v>-0.107840271021729</v>
      </c>
      <c r="EQ416" s="60" t="n">
        <f aca="false">IF(EH416,CHOOSE($C$7,DJ416/EN416,DJ416/DK416*LN(1+DK416/EN416),DJ416/(2*SQRT(2)*DK416)*LN((EN416+(1+SQRT(2))*DK416)/(EN416+(1-SQRT(2))*DK416))),0)</f>
        <v>0</v>
      </c>
      <c r="ER416" s="60" t="n">
        <f aca="false">IF(EH416,EN416-1-LN(EN416-DK416)-EQ416,0)</f>
        <v>0</v>
      </c>
      <c r="ES416" s="60" t="n">
        <f aca="false">AND(EH416,ER416&lt;EP416)</f>
        <v>0</v>
      </c>
      <c r="ET416" s="60" t="n">
        <f aca="false">IF(ES416,EN416,EM416)</f>
        <v>0.91158844983184</v>
      </c>
      <c r="EU416" s="60" t="n">
        <f aca="false">IF(ES416,EQ416,EO416)</f>
        <v>0.218240791233887</v>
      </c>
      <c r="EV416" s="60" t="n">
        <f aca="false">LN(ET416-DK416)</f>
        <v>-0.198812070380318</v>
      </c>
      <c r="EW416" s="60" t="n">
        <f aca="false">$E$27/DI416*(ET416-1)-EV416-EU416*(2*CV416/DH416-$E$27/DI416)</f>
        <v>-0.107840271021729</v>
      </c>
      <c r="EX416" s="60" t="n">
        <f aca="false">$F$27/DI416*(ET416-1)-EV416-EU416*(2*CW416/DH416-$F$27/DI416)</f>
        <v>0.198812070380318</v>
      </c>
      <c r="EY416" s="60" t="n">
        <f aca="false">$G$27/DI416*(ET416-1)-EV416-EU416*(2*CX416/DH416-$G$27/DI416)</f>
        <v>0.198812070380318</v>
      </c>
      <c r="EZ416" s="60" t="n">
        <f aca="false">$H$27/DI416*(ET416-1)-EV416-EU416*(2*CY416/DH416-$H$27/DI416)</f>
        <v>0.198812070380318</v>
      </c>
      <c r="FA416" s="60" t="n">
        <f aca="false">$I$27/DI416*(ET416-1)-EV416-EU416*(2*CZ416/DH416-$I$27/DI416)</f>
        <v>0.198812070380318</v>
      </c>
      <c r="FB416" s="60" t="n">
        <f aca="false">$J$27/DI416*(ET416-1)-EV416-EU416*(2*DA416/DH416-$J$27/DI416)</f>
        <v>0.198812070380318</v>
      </c>
      <c r="FC416" s="60" t="n">
        <f aca="false">$K$27/DI416*(ET416-1)-EV416-EU416*(2*DB416/DH416-$K$27/DI416)</f>
        <v>0.198812070380318</v>
      </c>
      <c r="FD416" s="60" t="n">
        <f aca="false">$L$27/DI416*(ET416-1)-EV416-EU416*(2*DC416/DH416-$L$27/DI416)</f>
        <v>0.198812070380318</v>
      </c>
      <c r="FE416" s="60" t="n">
        <f aca="false">$M$27/DI416*(ET416-1)-EV416-EU416*(2*DD416/DH416-$M$27/DI416)</f>
        <v>0.198812070380318</v>
      </c>
      <c r="FF416" s="60" t="n">
        <f aca="false">$N$27/DI416*(ET416-1)-EV416-EU416*(2*DE416/DH416-$N$27/DI416)</f>
        <v>0.198812070380318</v>
      </c>
      <c r="FG416" s="60" t="n">
        <f aca="false">$O$27/DI416*(ET416-1)-EV416-EU416*(2*DF416/DH416-$O$27/DI416)</f>
        <v>0.198812070380318</v>
      </c>
      <c r="FH416" s="60" t="n">
        <f aca="false">$P$27/DI416*(ET416-1)-EV416-EU416*(2*DG416/DH416-$P$27/DI416)</f>
        <v>0.198812070380318</v>
      </c>
      <c r="FI416" s="60" t="n">
        <f aca="false">DK416/ET416&gt;$C$22</f>
        <v>0</v>
      </c>
      <c r="FJ416" s="60" t="n">
        <f aca="false">$E$28*SUMPRODUCT($E$31:$P$31,CJ416:CU416,$E$28:$P$28)</f>
        <v>0.184416866619846</v>
      </c>
      <c r="FK416" s="60" t="n">
        <f aca="false">$F$28*SUMPRODUCT($E$32:$P$32,CJ416:CU416,$E$28:$P$28)</f>
        <v>0</v>
      </c>
      <c r="FL416" s="60" t="n">
        <f aca="false">$G$28*SUMPRODUCT($E$33:$P$33,CJ416:CU416,$E$28:$P$28)</f>
        <v>0</v>
      </c>
      <c r="FM416" s="60" t="n">
        <f aca="false">$H$28*SUMPRODUCT($E$34:$P$34,CJ416:CU416,$E$28:$P$28)</f>
        <v>0</v>
      </c>
      <c r="FN416" s="60" t="n">
        <f aca="false">$I$28*SUMPRODUCT($E$35:$P$35,CJ416:CU416,$E$28:$P$28)</f>
        <v>0</v>
      </c>
      <c r="FO416" s="60" t="n">
        <f aca="false">$J$28*SUMPRODUCT($E$36:$P$36,CJ416:CU416,$E$28:$P$28)</f>
        <v>0</v>
      </c>
      <c r="FP416" s="60" t="n">
        <f aca="false">$K$28*SUMPRODUCT($E$37:$P$37,CJ416:CU416,$E$28:$P$28)</f>
        <v>0</v>
      </c>
      <c r="FQ416" s="60" t="n">
        <f aca="false">$L$28*SUMPRODUCT($E$38:$P$38,CJ416:CU416,$E$28:$P$28)</f>
        <v>0</v>
      </c>
      <c r="FR416" s="60" t="n">
        <f aca="false">$M$28*SUMPRODUCT($E$39:$P$39,CJ416:CU416,$E$28:$P$28)</f>
        <v>0</v>
      </c>
      <c r="FS416" s="60" t="n">
        <f aca="false">$N$28*SUMPRODUCT($E$40:$P$40,CJ416:CU416,$E$28:$P$28)</f>
        <v>0</v>
      </c>
      <c r="FT416" s="60" t="n">
        <f aca="false">$O$28*SUMPRODUCT($E$41:$P$41,CJ416:CU416,$E$28:$P$28)</f>
        <v>0</v>
      </c>
      <c r="FU416" s="60" t="n">
        <f aca="false">$P$28*SUMPRODUCT($E$42:$P$42,CJ416:CU416,$E$28:$P$28)</f>
        <v>0</v>
      </c>
      <c r="FV416" s="60" t="n">
        <f aca="false">SUMPRODUCT(CJ416:CU416,FJ416:FU416)</f>
        <v>0.184416866619846</v>
      </c>
      <c r="FW416" s="60" t="n">
        <f aca="false">SUMPRODUCT(CJ416:CU416,$E$27:$P$27)</f>
        <v>2.67389635063809E-005</v>
      </c>
      <c r="FX416" s="60" t="n">
        <f aca="false">FV416*$C$9/($C$10*$C$8)^2</f>
        <v>0.21776909410545</v>
      </c>
      <c r="FY416" s="60" t="n">
        <f aca="false">FW416*$C$9/($C$10*$C$8)</f>
        <v>0.0918845243259994</v>
      </c>
      <c r="FZ416" s="60" t="n">
        <f aca="false">CHOOSE($C$7,-(1+FY416),-1,-(1-FY416))</f>
        <v>-0.908115475674001</v>
      </c>
      <c r="GA416" s="60" t="n">
        <f aca="false">CHOOSE($C$7,FX416,FX416-FY416-FY416^2,FX416-3*FY416^2-2*FY416)</f>
        <v>0.00867174802160559</v>
      </c>
      <c r="GB416" s="60" t="n">
        <f aca="false">CHOOSE($C$7,-FX416*FY416,-FX416*FY416,-(FX416*FY416-FY416^2-FY416^3))</f>
        <v>-0.0107910842936637</v>
      </c>
      <c r="GC416" s="60" t="n">
        <f aca="false">GA416-FZ416^2/3</f>
        <v>-0.266219491031267</v>
      </c>
      <c r="GD416" s="60" t="n">
        <f aca="false">2*FZ416^3/27-FZ416*GA416/3+GB416</f>
        <v>-0.0636400988362784</v>
      </c>
      <c r="GE416" s="60" t="n">
        <f aca="false">GD416^2/4+GC416^3/27</f>
        <v>0.000313710901361829</v>
      </c>
      <c r="GF416" s="60" t="n">
        <f aca="false">-GD416/2-IF(GD416&gt;=0,1,-1)*SQRT(MAX(GE416,0))</f>
        <v>0.0495319352963236</v>
      </c>
      <c r="GG416" s="60" t="n">
        <f aca="false">SIGN(GF416)*ABS(GF416)^(1/3)</f>
        <v>0.367249967174439</v>
      </c>
      <c r="GH416" s="60" t="n">
        <f aca="false">IF(GG416=0,0,GG416-GC416/(3*GG416))</f>
        <v>0.60888329127384</v>
      </c>
      <c r="GI416" s="60" t="n">
        <f aca="false">2*SQRT(MAX(-GC416,0)/3)</f>
        <v>0.595784626668918</v>
      </c>
      <c r="GJ416" s="60" t="n">
        <f aca="false">ACOS(IF(GI416=0,0,MAX(-1,MIN(1,3*GD416/(GC416*GI416)))))</f>
        <v>0</v>
      </c>
      <c r="GK416" s="60" t="n">
        <f aca="false">GI416*COS(GJ416/3)</f>
        <v>0.595784626668918</v>
      </c>
      <c r="GL416" s="60" t="n">
        <f aca="false">IF(GE416&lt;0,GK416,GH416)-FZ416/3</f>
        <v>0.91158844983184</v>
      </c>
      <c r="GM416" s="60" t="n">
        <f aca="false">IFERROR((((GL416+FZ416)*GL416+GA416)*GL416+GB416)/((3*GL416+2*FZ416)*GL416+GA416),0)</f>
        <v>0</v>
      </c>
      <c r="GN416" s="60" t="n">
        <f aca="false">IF(ABS(GM416)&lt;0.1*ABS(GL416),GL416-GM416,GL416)</f>
        <v>0.91158844983184</v>
      </c>
      <c r="GO416" s="60" t="n">
        <f aca="false">IFERROR((((GN416+FZ416)*GN416+GA416)*GN416+GB416)/((3*GN416+2*FZ416)*GN416+GA416),0)</f>
        <v>0</v>
      </c>
      <c r="GP416" s="60" t="n">
        <f aca="false">IF(ABS(GO416)&lt;0.1*ABS(GN416),GN416-GO416,GN416)</f>
        <v>0.91158844983184</v>
      </c>
      <c r="GQ416" s="60" t="n">
        <f aca="false">-GB416/GP416</f>
        <v>0.0118376711504565</v>
      </c>
      <c r="GR416" s="60" t="n">
        <f aca="false">(GA416-GQ416)/GP416</f>
        <v>-0.00347297415783941</v>
      </c>
      <c r="GS416" s="60" t="n">
        <f aca="false">GR416^2-4*GQ416</f>
        <v>-0.0473386230523248</v>
      </c>
      <c r="GT416" s="60" t="n">
        <f aca="false">IF(GS416&gt;=0,(GR416+IF(GR416&gt;=0,1,-1)*SQRT(GS416))/2,0)</f>
        <v>0</v>
      </c>
      <c r="GU416" s="60" t="n">
        <f aca="false">IF(AND(GS416&gt;=0,GT416&lt;&gt;0),MIN(GT416,GQ416/GT416),-1)</f>
        <v>-1</v>
      </c>
      <c r="GV416" s="60" t="n">
        <f aca="false">AND(GS416&gt;=0,GU416&gt;FY416,ABS(GP416-GU416)&gt;=0.00005*MAX(GP416,GU416))</f>
        <v>0</v>
      </c>
      <c r="GW416" s="60" t="n">
        <f aca="false">IF(GV416,IFERROR((((GU416+FZ416)*GU416+GA416)*GU416+GB416)/((3*GU416+2*FZ416)*GU416+GA416),0),0)</f>
        <v>0</v>
      </c>
      <c r="GX416" s="60" t="n">
        <f aca="false">IF(ABS(GW416)&lt;0.1*ABS(GU416),GU416-GW416,GU416)</f>
        <v>-1</v>
      </c>
      <c r="GY416" s="60" t="n">
        <f aca="false">IF(GV416,IFERROR((((GX416+FZ416)*GX416+GA416)*GX416+GB416)/((3*GX416+2*FZ416)*GX416+GA416),0),0)</f>
        <v>0</v>
      </c>
      <c r="GZ416" s="60" t="n">
        <f aca="false">IF(ABS(GY416)&lt;0.1*ABS(GX416),GX416-GY416,GX416)</f>
        <v>-1</v>
      </c>
      <c r="HA416" s="60" t="n">
        <f aca="false">IF(GV416,MAX(GP416,GZ416),GP416)</f>
        <v>0.91158844983184</v>
      </c>
      <c r="HB416" s="60" t="n">
        <f aca="false">IF(GV416,MIN(GP416,GZ416),-1)</f>
        <v>-1</v>
      </c>
      <c r="HC416" s="60" t="n">
        <f aca="false">CHOOSE($C$7,FX416/HA416,FX416/FY416*LN(1+FY416/HA416),FX416/(2*SQRT(2)*FY416)*LN((HA416+(1+SQRT(2))*FY416)/(HA416+(1-SQRT(2))*FY416)))</f>
        <v>0.218240791233887</v>
      </c>
      <c r="HD416" s="60" t="n">
        <f aca="false">HA416-1-LN(HA416-FY416)-HC416</f>
        <v>-0.107840271021729</v>
      </c>
      <c r="HE416" s="60" t="n">
        <f aca="false">IF(GV416,CHOOSE($C$7,FX416/HB416,FX416/FY416*LN(1+FY416/HB416),FX416/(2*SQRT(2)*FY416)*LN((HB416+(1+SQRT(2))*FY416)/(HB416+(1-SQRT(2))*FY416))),0)</f>
        <v>0</v>
      </c>
      <c r="HF416" s="60" t="n">
        <f aca="false">IF(GV416,HB416-1-LN(HB416-FY416)-HE416,0)</f>
        <v>0</v>
      </c>
      <c r="HG416" s="60" t="n">
        <f aca="false">AND(GV416,HF416&lt;HD416)</f>
        <v>0</v>
      </c>
      <c r="HH416" s="60" t="n">
        <f aca="false">IF(HG416,HB416,HA416)</f>
        <v>0.91158844983184</v>
      </c>
      <c r="HI416" s="60" t="n">
        <f aca="false">IF(HG416,HE416,HC416)</f>
        <v>0.218240791233887</v>
      </c>
      <c r="HJ416" s="60" t="n">
        <f aca="false">LN(HH416-FY416)</f>
        <v>-0.198812070380318</v>
      </c>
      <c r="HK416" s="60" t="n">
        <f aca="false">$E$27/FW416*(HH416-1)-HJ416-HI416*(2*FJ416/FV416-$E$27/FW416)</f>
        <v>-0.107840271021729</v>
      </c>
      <c r="HL416" s="60" t="n">
        <f aca="false">$F$27/FW416*(HH416-1)-HJ416-HI416*(2*FK416/FV416-$F$27/FW416)</f>
        <v>0.198812070380318</v>
      </c>
      <c r="HM416" s="60" t="n">
        <f aca="false">$G$27/FW416*(HH416-1)-HJ416-HI416*(2*FL416/FV416-$G$27/FW416)</f>
        <v>0.198812070380318</v>
      </c>
      <c r="HN416" s="60" t="n">
        <f aca="false">$H$27/FW416*(HH416-1)-HJ416-HI416*(2*FM416/FV416-$H$27/FW416)</f>
        <v>0.198812070380318</v>
      </c>
      <c r="HO416" s="60" t="n">
        <f aca="false">$I$27/FW416*(HH416-1)-HJ416-HI416*(2*FN416/FV416-$I$27/FW416)</f>
        <v>0.198812070380318</v>
      </c>
      <c r="HP416" s="60" t="n">
        <f aca="false">$J$27/FW416*(HH416-1)-HJ416-HI416*(2*FO416/FV416-$J$27/FW416)</f>
        <v>0.198812070380318</v>
      </c>
      <c r="HQ416" s="60" t="n">
        <f aca="false">$K$27/FW416*(HH416-1)-HJ416-HI416*(2*FP416/FV416-$K$27/FW416)</f>
        <v>0.198812070380318</v>
      </c>
      <c r="HR416" s="60" t="n">
        <f aca="false">$L$27/FW416*(HH416-1)-HJ416-HI416*(2*FQ416/FV416-$L$27/FW416)</f>
        <v>0.198812070380318</v>
      </c>
      <c r="HS416" s="60" t="n">
        <f aca="false">$M$27/FW416*(HH416-1)-HJ416-HI416*(2*FR416/FV416-$M$27/FW416)</f>
        <v>0.198812070380318</v>
      </c>
      <c r="HT416" s="60" t="n">
        <f aca="false">$N$27/FW416*(HH416-1)-HJ416-HI416*(2*FS416/FV416-$N$27/FW416)</f>
        <v>0.198812070380318</v>
      </c>
      <c r="HU416" s="60" t="n">
        <f aca="false">$O$27/FW416*(HH416-1)-HJ416-HI416*(2*FT416/FV416-$O$27/FW416)</f>
        <v>0.198812070380318</v>
      </c>
      <c r="HV416" s="60" t="n">
        <f aca="false">$P$27/FW416*(HH416-1)-HJ416-HI416*(2*FU416/FV416-$P$27/FW416)</f>
        <v>0.198812070380318</v>
      </c>
      <c r="HW416" s="60" t="n">
        <f aca="false">FY416/HH416&gt;$C$22</f>
        <v>0</v>
      </c>
      <c r="HX416" s="60" t="n">
        <f aca="false">IF($E$13&gt;0,MAX(-300,MIN(300,EW416-HK416)),0)</f>
        <v>0</v>
      </c>
      <c r="HY416" s="60" t="n">
        <f aca="false">IF($F$13&gt;0,MAX(-300,MIN(300,EX416-HL416)),0)</f>
        <v>0</v>
      </c>
      <c r="HZ416" s="60" t="n">
        <f aca="false">IF($G$13&gt;0,MAX(-300,MIN(300,EY416-HM416)),0)</f>
        <v>0</v>
      </c>
      <c r="IA416" s="60" t="n">
        <f aca="false">IF($H$13&gt;0,MAX(-300,MIN(300,EZ416-HN416)),0)</f>
        <v>0</v>
      </c>
      <c r="IB416" s="60" t="n">
        <f aca="false">IF($I$13&gt;0,MAX(-300,MIN(300,FA416-HO416)),0)</f>
        <v>0</v>
      </c>
      <c r="IC416" s="60" t="n">
        <f aca="false">IF($J$13&gt;0,MAX(-300,MIN(300,FB416-HP416)),0)</f>
        <v>0</v>
      </c>
      <c r="ID416" s="60" t="n">
        <f aca="false">IF($K$13&gt;0,MAX(-300,MIN(300,FC416-HQ416)),0)</f>
        <v>0</v>
      </c>
      <c r="IE416" s="60" t="n">
        <f aca="false">IF($L$13&gt;0,MAX(-300,MIN(300,FD416-HR416)),0)</f>
        <v>0</v>
      </c>
      <c r="IF416" s="60" t="n">
        <f aca="false">IF($M$13&gt;0,MAX(-300,MIN(300,FE416-HS416)),0)</f>
        <v>0</v>
      </c>
      <c r="IG416" s="60" t="n">
        <f aca="false">IF($N$13&gt;0,MAX(-300,MIN(300,FF416-HT416)),0)</f>
        <v>0</v>
      </c>
      <c r="IH416" s="60" t="n">
        <f aca="false">IF($O$13&gt;0,MAX(-300,MIN(300,FG416-HU416)),0)</f>
        <v>0</v>
      </c>
      <c r="II416" s="60" t="n">
        <f aca="false">IF($P$13&gt;0,MAX(-300,MIN(300,FH416-HV416)),0)</f>
        <v>0</v>
      </c>
      <c r="IJ416" s="60" t="n">
        <f aca="false">SUMXMY2(HX416:II416,B416:M416)</f>
        <v>0</v>
      </c>
      <c r="IK416" s="60" t="n">
        <f aca="false">SUMSQ(B416:M416)</f>
        <v>0</v>
      </c>
    </row>
    <row r="417" customFormat="false" ht="15" hidden="false" customHeight="false" outlineLevel="0" collapsed="false">
      <c r="A417" s="59" t="n">
        <v>56</v>
      </c>
      <c r="B417" s="60" t="n">
        <f aca="false">HX416</f>
        <v>0</v>
      </c>
      <c r="C417" s="60" t="n">
        <f aca="false">HY416</f>
        <v>0</v>
      </c>
      <c r="D417" s="60" t="n">
        <f aca="false">HZ416</f>
        <v>0</v>
      </c>
      <c r="E417" s="60" t="n">
        <f aca="false">IA416</f>
        <v>0</v>
      </c>
      <c r="F417" s="60" t="n">
        <f aca="false">IB416</f>
        <v>0</v>
      </c>
      <c r="G417" s="60" t="n">
        <f aca="false">IC416</f>
        <v>0</v>
      </c>
      <c r="H417" s="60" t="n">
        <f aca="false">ID416</f>
        <v>0</v>
      </c>
      <c r="I417" s="60" t="n">
        <f aca="false">IE416</f>
        <v>0</v>
      </c>
      <c r="J417" s="60" t="n">
        <f aca="false">IF416</f>
        <v>0</v>
      </c>
      <c r="K417" s="60" t="n">
        <f aca="false">IG416</f>
        <v>0</v>
      </c>
      <c r="L417" s="60" t="n">
        <f aca="false">IH416</f>
        <v>0</v>
      </c>
      <c r="M417" s="60" t="n">
        <f aca="false">II416</f>
        <v>0</v>
      </c>
      <c r="N417" s="60" t="n">
        <f aca="false">EXP(B417)</f>
        <v>1</v>
      </c>
      <c r="O417" s="60" t="n">
        <f aca="false">EXP(C417)</f>
        <v>1</v>
      </c>
      <c r="P417" s="60" t="n">
        <f aca="false">EXP(D417)</f>
        <v>1</v>
      </c>
      <c r="Q417" s="60" t="n">
        <f aca="false">EXP(E417)</f>
        <v>1</v>
      </c>
      <c r="R417" s="60" t="n">
        <f aca="false">EXP(F417)</f>
        <v>1</v>
      </c>
      <c r="S417" s="60" t="n">
        <f aca="false">EXP(G417)</f>
        <v>1</v>
      </c>
      <c r="T417" s="60" t="n">
        <f aca="false">EXP(H417)</f>
        <v>1</v>
      </c>
      <c r="U417" s="60" t="n">
        <f aca="false">EXP(I417)</f>
        <v>1</v>
      </c>
      <c r="V417" s="60" t="n">
        <f aca="false">EXP(J417)</f>
        <v>1</v>
      </c>
      <c r="W417" s="60" t="n">
        <f aca="false">EXP(K417)</f>
        <v>1</v>
      </c>
      <c r="X417" s="60" t="n">
        <f aca="false">EXP(L417)</f>
        <v>1</v>
      </c>
      <c r="Y417" s="60" t="n">
        <f aca="false">EXP(M417)</f>
        <v>1</v>
      </c>
      <c r="Z417" s="60" t="n">
        <f aca="false">MAX(N417:Y417)</f>
        <v>1</v>
      </c>
      <c r="AA417" s="60" t="n">
        <f aca="false">MIN(N417:Y417)</f>
        <v>1</v>
      </c>
      <c r="AB417" s="60" t="n">
        <f aca="false">AND(Z417&gt;1,AA417&lt;1)</f>
        <v>0</v>
      </c>
      <c r="AC417" s="60" t="n">
        <f aca="false">IF(AB417,1/(1-Z417),0)</f>
        <v>0</v>
      </c>
      <c r="AD417" s="60" t="n">
        <f aca="false">IF(AB417,1/(1-AA417),1)</f>
        <v>1</v>
      </c>
      <c r="AE417" s="60" t="n">
        <f aca="false">IF(AB417,MIN(MAX(BI416,AC417+0.000000001*(AD417-AC417)),AD417-0.000000001*(AD417-AC417)),IF(AA417&gt;=1,1,0))</f>
        <v>1</v>
      </c>
      <c r="AF417" s="60" t="n">
        <f aca="false">SUMPRODUCT($E$13:$P$13*(N417:Y417-1)/(1+AE417*(N417:Y417-1)))</f>
        <v>0</v>
      </c>
      <c r="AG417" s="60" t="n">
        <f aca="false">-SUMPRODUCT($E$13:$P$13*(N417:Y417-1)^2/(1+AE417*(N417:Y417-1))^2)</f>
        <v>-0</v>
      </c>
      <c r="AH417" s="60" t="n">
        <f aca="false">IF(OR(NOT(AB417),AG417=0),AE417,IF(AE417-AF417/AG417&lt;=AC417,(AE417+AC417)/2,IF(AE417-AF417/AG417&gt;=AD417,(AE417+AD417)/2,AE417-AF417/AG417)))</f>
        <v>1</v>
      </c>
      <c r="AI417" s="60" t="n">
        <f aca="false">SUMPRODUCT($E$13:$P$13*(N417:Y417-1)/(1+AH417*(N417:Y417-1)))</f>
        <v>0</v>
      </c>
      <c r="AJ417" s="60" t="n">
        <f aca="false">-SUMPRODUCT($E$13:$P$13*(N417:Y417-1)^2/(1+AH417*(N417:Y417-1))^2)</f>
        <v>-0</v>
      </c>
      <c r="AK417" s="60" t="n">
        <f aca="false">IF(OR(NOT(AB417),AJ417=0),AH417,IF(AH417-AI417/AJ417&lt;=AC417,(AH417+AC417)/2,IF(AH417-AI417/AJ417&gt;=AD417,(AH417+AD417)/2,AH417-AI417/AJ417)))</f>
        <v>1</v>
      </c>
      <c r="AL417" s="60" t="n">
        <f aca="false">SUMPRODUCT($E$13:$P$13*(N417:Y417-1)/(1+AK417*(N417:Y417-1)))</f>
        <v>0</v>
      </c>
      <c r="AM417" s="60" t="n">
        <f aca="false">-SUMPRODUCT($E$13:$P$13*(N417:Y417-1)^2/(1+AK417*(N417:Y417-1))^2)</f>
        <v>-0</v>
      </c>
      <c r="AN417" s="60" t="n">
        <f aca="false">IF(OR(NOT(AB417),AM417=0),AK417,IF(AK417-AL417/AM417&lt;=AC417,(AK417+AC417)/2,IF(AK417-AL417/AM417&gt;=AD417,(AK417+AD417)/2,AK417-AL417/AM417)))</f>
        <v>1</v>
      </c>
      <c r="AO417" s="60" t="n">
        <f aca="false">SUMPRODUCT($E$13:$P$13*(N417:Y417-1)/(1+AN417*(N417:Y417-1)))</f>
        <v>0</v>
      </c>
      <c r="AP417" s="60" t="n">
        <f aca="false">-SUMPRODUCT($E$13:$P$13*(N417:Y417-1)^2/(1+AN417*(N417:Y417-1))^2)</f>
        <v>-0</v>
      </c>
      <c r="AQ417" s="60" t="n">
        <f aca="false">IF(OR(NOT(AB417),AP417=0),AN417,IF(AN417-AO417/AP417&lt;=AC417,(AN417+AC417)/2,IF(AN417-AO417/AP417&gt;=AD417,(AN417+AD417)/2,AN417-AO417/AP417)))</f>
        <v>1</v>
      </c>
      <c r="AR417" s="60" t="n">
        <f aca="false">SUMPRODUCT($E$13:$P$13*(N417:Y417-1)/(1+AQ417*(N417:Y417-1)))</f>
        <v>0</v>
      </c>
      <c r="AS417" s="60" t="n">
        <f aca="false">-SUMPRODUCT($E$13:$P$13*(N417:Y417-1)^2/(1+AQ417*(N417:Y417-1))^2)</f>
        <v>-0</v>
      </c>
      <c r="AT417" s="60" t="n">
        <f aca="false">IF(OR(NOT(AB417),AS417=0),AQ417,IF(AQ417-AR417/AS417&lt;=AC417,(AQ417+AC417)/2,IF(AQ417-AR417/AS417&gt;=AD417,(AQ417+AD417)/2,AQ417-AR417/AS417)))</f>
        <v>1</v>
      </c>
      <c r="AU417" s="60" t="n">
        <f aca="false">SUMPRODUCT($E$13:$P$13*(N417:Y417-1)/(1+AT417*(N417:Y417-1)))</f>
        <v>0</v>
      </c>
      <c r="AV417" s="60" t="n">
        <f aca="false">-SUMPRODUCT($E$13:$P$13*(N417:Y417-1)^2/(1+AT417*(N417:Y417-1))^2)</f>
        <v>-0</v>
      </c>
      <c r="AW417" s="60" t="n">
        <f aca="false">IF(OR(NOT(AB417),AV417=0),AT417,IF(AT417-AU417/AV417&lt;=AC417,(AT417+AC417)/2,IF(AT417-AU417/AV417&gt;=AD417,(AT417+AD417)/2,AT417-AU417/AV417)))</f>
        <v>1</v>
      </c>
      <c r="AX417" s="60" t="n">
        <f aca="false">SUMPRODUCT($E$13:$P$13*(N417:Y417-1)/(1+AW417*(N417:Y417-1)))</f>
        <v>0</v>
      </c>
      <c r="AY417" s="60" t="n">
        <f aca="false">-SUMPRODUCT($E$13:$P$13*(N417:Y417-1)^2/(1+AW417*(N417:Y417-1))^2)</f>
        <v>-0</v>
      </c>
      <c r="AZ417" s="60" t="n">
        <f aca="false">IF(OR(NOT(AB417),AY417=0),AW417,IF(AW417-AX417/AY417&lt;=AC417,(AW417+AC417)/2,IF(AW417-AX417/AY417&gt;=AD417,(AW417+AD417)/2,AW417-AX417/AY417)))</f>
        <v>1</v>
      </c>
      <c r="BA417" s="60" t="n">
        <f aca="false">SUMPRODUCT($E$13:$P$13*(N417:Y417-1)/(1+AZ417*(N417:Y417-1)))</f>
        <v>0</v>
      </c>
      <c r="BB417" s="60" t="n">
        <f aca="false">-SUMPRODUCT($E$13:$P$13*(N417:Y417-1)^2/(1+AZ417*(N417:Y417-1))^2)</f>
        <v>-0</v>
      </c>
      <c r="BC417" s="60" t="n">
        <f aca="false">IF(OR(NOT(AB417),BB417=0),AZ417,IF(AZ417-BA417/BB417&lt;=AC417,(AZ417+AC417)/2,IF(AZ417-BA417/BB417&gt;=AD417,(AZ417+AD417)/2,AZ417-BA417/BB417)))</f>
        <v>1</v>
      </c>
      <c r="BD417" s="60" t="n">
        <f aca="false">SUMPRODUCT($E$13:$P$13*(N417:Y417-1)/(1+BC417*(N417:Y417-1)))</f>
        <v>0</v>
      </c>
      <c r="BE417" s="60" t="n">
        <f aca="false">-SUMPRODUCT($E$13:$P$13*(N417:Y417-1)^2/(1+BC417*(N417:Y417-1))^2)</f>
        <v>-0</v>
      </c>
      <c r="BF417" s="60" t="n">
        <f aca="false">IF(OR(NOT(AB417),BE417=0),BC417,IF(BC417-BD417/BE417&lt;=AC417,(BC417+AC417)/2,IF(BC417-BD417/BE417&gt;=AD417,(BC417+AD417)/2,BC417-BD417/BE417)))</f>
        <v>1</v>
      </c>
      <c r="BG417" s="60" t="n">
        <f aca="false">SUMPRODUCT($E$13:$P$13*(N417:Y417-1)/(1+BF417*(N417:Y417-1)))</f>
        <v>0</v>
      </c>
      <c r="BH417" s="60" t="n">
        <f aca="false">-SUMPRODUCT($E$13:$P$13*(N417:Y417-1)^2/(1+BF417*(N417:Y417-1))^2)</f>
        <v>-0</v>
      </c>
      <c r="BI417" s="60" t="n">
        <f aca="false">IF(OR(NOT(AB417),BH417=0),BF417,IF(BF417-BG417/BH417&lt;=AC417,(BF417+AC417)/2,IF(BF417-BG417/BH417&gt;=AD417,(BF417+AD417)/2,BF417-BG417/BH417)))</f>
        <v>1</v>
      </c>
      <c r="BJ417" s="60" t="n">
        <f aca="false">$E$13/(1+BI417*(N417-1))</f>
        <v>1</v>
      </c>
      <c r="BK417" s="60" t="n">
        <f aca="false">$F$13/(1+BI417*(O417-1))</f>
        <v>0</v>
      </c>
      <c r="BL417" s="60" t="n">
        <f aca="false">$G$13/(1+BI417*(P417-1))</f>
        <v>0</v>
      </c>
      <c r="BM417" s="60" t="n">
        <f aca="false">$H$13/(1+BI417*(Q417-1))</f>
        <v>0</v>
      </c>
      <c r="BN417" s="60" t="n">
        <f aca="false">$I$13/(1+BI417*(R417-1))</f>
        <v>0</v>
      </c>
      <c r="BO417" s="60" t="n">
        <f aca="false">$J$13/(1+BI417*(S417-1))</f>
        <v>0</v>
      </c>
      <c r="BP417" s="60" t="n">
        <f aca="false">$K$13/(1+BI417*(T417-1))</f>
        <v>0</v>
      </c>
      <c r="BQ417" s="60" t="n">
        <f aca="false">$L$13/(1+BI417*(U417-1))</f>
        <v>0</v>
      </c>
      <c r="BR417" s="60" t="n">
        <f aca="false">$M$13/(1+BI417*(V417-1))</f>
        <v>0</v>
      </c>
      <c r="BS417" s="60" t="n">
        <f aca="false">$N$13/(1+BI417*(W417-1))</f>
        <v>0</v>
      </c>
      <c r="BT417" s="60" t="n">
        <f aca="false">$O$13/(1+BI417*(X417-1))</f>
        <v>0</v>
      </c>
      <c r="BU417" s="60" t="n">
        <f aca="false">$P$13/(1+BI417*(Y417-1))</f>
        <v>0</v>
      </c>
      <c r="BV417" s="60" t="n">
        <f aca="false">SUM(BJ417:BU417)</f>
        <v>1</v>
      </c>
      <c r="BW417" s="60" t="n">
        <f aca="false">SUMPRODUCT(N417:Y417,BJ417:BU417)</f>
        <v>1</v>
      </c>
      <c r="BX417" s="60" t="n">
        <f aca="false">BJ417/BV417</f>
        <v>1</v>
      </c>
      <c r="BY417" s="60" t="n">
        <f aca="false">BK417/BV417</f>
        <v>0</v>
      </c>
      <c r="BZ417" s="60" t="n">
        <f aca="false">BL417/BV417</f>
        <v>0</v>
      </c>
      <c r="CA417" s="60" t="n">
        <f aca="false">BM417/BV417</f>
        <v>0</v>
      </c>
      <c r="CB417" s="60" t="n">
        <f aca="false">BN417/BV417</f>
        <v>0</v>
      </c>
      <c r="CC417" s="60" t="n">
        <f aca="false">BO417/BV417</f>
        <v>0</v>
      </c>
      <c r="CD417" s="60" t="n">
        <f aca="false">BP417/BV417</f>
        <v>0</v>
      </c>
      <c r="CE417" s="60" t="n">
        <f aca="false">BQ417/BV417</f>
        <v>0</v>
      </c>
      <c r="CF417" s="60" t="n">
        <f aca="false">BR417/BV417</f>
        <v>0</v>
      </c>
      <c r="CG417" s="60" t="n">
        <f aca="false">BS417/BV417</f>
        <v>0</v>
      </c>
      <c r="CH417" s="60" t="n">
        <f aca="false">BT417/BV417</f>
        <v>0</v>
      </c>
      <c r="CI417" s="60" t="n">
        <f aca="false">BU417/BV417</f>
        <v>0</v>
      </c>
      <c r="CJ417" s="60" t="n">
        <f aca="false">N417*BJ417/BW417</f>
        <v>1</v>
      </c>
      <c r="CK417" s="60" t="n">
        <f aca="false">O417*BK417/BW417</f>
        <v>0</v>
      </c>
      <c r="CL417" s="60" t="n">
        <f aca="false">P417*BL417/BW417</f>
        <v>0</v>
      </c>
      <c r="CM417" s="60" t="n">
        <f aca="false">Q417*BM417/BW417</f>
        <v>0</v>
      </c>
      <c r="CN417" s="60" t="n">
        <f aca="false">R417*BN417/BW417</f>
        <v>0</v>
      </c>
      <c r="CO417" s="60" t="n">
        <f aca="false">S417*BO417/BW417</f>
        <v>0</v>
      </c>
      <c r="CP417" s="60" t="n">
        <f aca="false">T417*BP417/BW417</f>
        <v>0</v>
      </c>
      <c r="CQ417" s="60" t="n">
        <f aca="false">U417*BQ417/BW417</f>
        <v>0</v>
      </c>
      <c r="CR417" s="60" t="n">
        <f aca="false">V417*BR417/BW417</f>
        <v>0</v>
      </c>
      <c r="CS417" s="60" t="n">
        <f aca="false">W417*BS417/BW417</f>
        <v>0</v>
      </c>
      <c r="CT417" s="60" t="n">
        <f aca="false">X417*BT417/BW417</f>
        <v>0</v>
      </c>
      <c r="CU417" s="60" t="n">
        <f aca="false">Y417*BU417/BW417</f>
        <v>0</v>
      </c>
      <c r="CV417" s="60" t="n">
        <f aca="false">$E$28*SUMPRODUCT($E$31:$P$31,BX417:CI417,$E$28:$P$28)</f>
        <v>0.184416866619846</v>
      </c>
      <c r="CW417" s="60" t="n">
        <f aca="false">$F$28*SUMPRODUCT($E$32:$P$32,BX417:CI417,$E$28:$P$28)</f>
        <v>0</v>
      </c>
      <c r="CX417" s="60" t="n">
        <f aca="false">$G$28*SUMPRODUCT($E$33:$P$33,BX417:CI417,$E$28:$P$28)</f>
        <v>0</v>
      </c>
      <c r="CY417" s="60" t="n">
        <f aca="false">$H$28*SUMPRODUCT($E$34:$P$34,BX417:CI417,$E$28:$P$28)</f>
        <v>0</v>
      </c>
      <c r="CZ417" s="60" t="n">
        <f aca="false">$I$28*SUMPRODUCT($E$35:$P$35,BX417:CI417,$E$28:$P$28)</f>
        <v>0</v>
      </c>
      <c r="DA417" s="60" t="n">
        <f aca="false">$J$28*SUMPRODUCT($E$36:$P$36,BX417:CI417,$E$28:$P$28)</f>
        <v>0</v>
      </c>
      <c r="DB417" s="60" t="n">
        <f aca="false">$K$28*SUMPRODUCT($E$37:$P$37,BX417:CI417,$E$28:$P$28)</f>
        <v>0</v>
      </c>
      <c r="DC417" s="60" t="n">
        <f aca="false">$L$28*SUMPRODUCT($E$38:$P$38,BX417:CI417,$E$28:$P$28)</f>
        <v>0</v>
      </c>
      <c r="DD417" s="60" t="n">
        <f aca="false">$M$28*SUMPRODUCT($E$39:$P$39,BX417:CI417,$E$28:$P$28)</f>
        <v>0</v>
      </c>
      <c r="DE417" s="60" t="n">
        <f aca="false">$N$28*SUMPRODUCT($E$40:$P$40,BX417:CI417,$E$28:$P$28)</f>
        <v>0</v>
      </c>
      <c r="DF417" s="60" t="n">
        <f aca="false">$O$28*SUMPRODUCT($E$41:$P$41,BX417:CI417,$E$28:$P$28)</f>
        <v>0</v>
      </c>
      <c r="DG417" s="60" t="n">
        <f aca="false">$P$28*SUMPRODUCT($E$42:$P$42,BX417:CI417,$E$28:$P$28)</f>
        <v>0</v>
      </c>
      <c r="DH417" s="60" t="n">
        <f aca="false">SUMPRODUCT(BX417:CI417,CV417:DG417)</f>
        <v>0.184416866619846</v>
      </c>
      <c r="DI417" s="60" t="n">
        <f aca="false">SUMPRODUCT(BX417:CI417,$E$27:$P$27)</f>
        <v>2.67389635063809E-005</v>
      </c>
      <c r="DJ417" s="60" t="n">
        <f aca="false">DH417*$C$9/($C$10*$C$8)^2</f>
        <v>0.21776909410545</v>
      </c>
      <c r="DK417" s="60" t="n">
        <f aca="false">DI417*$C$9/($C$10*$C$8)</f>
        <v>0.0918845243259994</v>
      </c>
      <c r="DL417" s="60" t="n">
        <f aca="false">CHOOSE($C$7,-(1+DK417),-1,-(1-DK417))</f>
        <v>-0.908115475674001</v>
      </c>
      <c r="DM417" s="60" t="n">
        <f aca="false">CHOOSE($C$7,DJ417,DJ417-DK417-DK417^2,DJ417-3*DK417^2-2*DK417)</f>
        <v>0.00867174802160559</v>
      </c>
      <c r="DN417" s="60" t="n">
        <f aca="false">CHOOSE($C$7,-DJ417*DK417,-DJ417*DK417,-(DJ417*DK417-DK417^2-DK417^3))</f>
        <v>-0.0107910842936637</v>
      </c>
      <c r="DO417" s="60" t="n">
        <f aca="false">DM417-DL417^2/3</f>
        <v>-0.266219491031267</v>
      </c>
      <c r="DP417" s="60" t="n">
        <f aca="false">2*DL417^3/27-DL417*DM417/3+DN417</f>
        <v>-0.0636400988362784</v>
      </c>
      <c r="DQ417" s="60" t="n">
        <f aca="false">DP417^2/4+DO417^3/27</f>
        <v>0.000313710901361829</v>
      </c>
      <c r="DR417" s="60" t="n">
        <f aca="false">-DP417/2-IF(DP417&gt;=0,1,-1)*SQRT(MAX(DQ417,0))</f>
        <v>0.0495319352963236</v>
      </c>
      <c r="DS417" s="60" t="n">
        <f aca="false">SIGN(DR417)*ABS(DR417)^(1/3)</f>
        <v>0.367249967174439</v>
      </c>
      <c r="DT417" s="60" t="n">
        <f aca="false">IF(DS417=0,0,DS417-DO417/(3*DS417))</f>
        <v>0.60888329127384</v>
      </c>
      <c r="DU417" s="60" t="n">
        <f aca="false">2*SQRT(MAX(-DO417,0)/3)</f>
        <v>0.595784626668918</v>
      </c>
      <c r="DV417" s="60" t="n">
        <f aca="false">ACOS(IF(DU417=0,0,MAX(-1,MIN(1,3*DP417/(DO417*DU417)))))</f>
        <v>0</v>
      </c>
      <c r="DW417" s="60" t="n">
        <f aca="false">DU417*COS(DV417/3)</f>
        <v>0.595784626668918</v>
      </c>
      <c r="DX417" s="60" t="n">
        <f aca="false">IF(DQ417&lt;0,DW417,DT417)-DL417/3</f>
        <v>0.91158844983184</v>
      </c>
      <c r="DY417" s="60" t="n">
        <f aca="false">IFERROR((((DX417+DL417)*DX417+DM417)*DX417+DN417)/((3*DX417+2*DL417)*DX417+DM417),0)</f>
        <v>0</v>
      </c>
      <c r="DZ417" s="60" t="n">
        <f aca="false">IF(ABS(DY417)&lt;0.1*ABS(DX417),DX417-DY417,DX417)</f>
        <v>0.91158844983184</v>
      </c>
      <c r="EA417" s="60" t="n">
        <f aca="false">IFERROR((((DZ417+DL417)*DZ417+DM417)*DZ417+DN417)/((3*DZ417+2*DL417)*DZ417+DM417),0)</f>
        <v>0</v>
      </c>
      <c r="EB417" s="60" t="n">
        <f aca="false">IF(ABS(EA417)&lt;0.1*ABS(DZ417),DZ417-EA417,DZ417)</f>
        <v>0.91158844983184</v>
      </c>
      <c r="EC417" s="60" t="n">
        <f aca="false">-DN417/EB417</f>
        <v>0.0118376711504565</v>
      </c>
      <c r="ED417" s="60" t="n">
        <f aca="false">(DM417-EC417)/EB417</f>
        <v>-0.00347297415783941</v>
      </c>
      <c r="EE417" s="60" t="n">
        <f aca="false">ED417^2-4*EC417</f>
        <v>-0.0473386230523248</v>
      </c>
      <c r="EF417" s="60" t="n">
        <f aca="false">IF(EE417&gt;=0,(ED417+IF(ED417&gt;=0,1,-1)*SQRT(EE417))/2,0)</f>
        <v>0</v>
      </c>
      <c r="EG417" s="60" t="n">
        <f aca="false">IF(AND(EE417&gt;=0,EF417&lt;&gt;0),MIN(EF417,EC417/EF417),-1)</f>
        <v>-1</v>
      </c>
      <c r="EH417" s="60" t="n">
        <f aca="false">AND(EE417&gt;=0,EG417&gt;DK417,ABS(EB417-EG417)&gt;=0.00005*MAX(EB417,EG417))</f>
        <v>0</v>
      </c>
      <c r="EI417" s="60" t="n">
        <f aca="false">IF(EH417,IFERROR((((EG417+DL417)*EG417+DM417)*EG417+DN417)/((3*EG417+2*DL417)*EG417+DM417),0),0)</f>
        <v>0</v>
      </c>
      <c r="EJ417" s="60" t="n">
        <f aca="false">IF(ABS(EI417)&lt;0.1*ABS(EG417),EG417-EI417,EG417)</f>
        <v>-1</v>
      </c>
      <c r="EK417" s="60" t="n">
        <f aca="false">IF(EH417,IFERROR((((EJ417+DL417)*EJ417+DM417)*EJ417+DN417)/((3*EJ417+2*DL417)*EJ417+DM417),0),0)</f>
        <v>0</v>
      </c>
      <c r="EL417" s="60" t="n">
        <f aca="false">IF(ABS(EK417)&lt;0.1*ABS(EJ417),EJ417-EK417,EJ417)</f>
        <v>-1</v>
      </c>
      <c r="EM417" s="60" t="n">
        <f aca="false">IF(EH417,MAX(EB417,EL417),EB417)</f>
        <v>0.91158844983184</v>
      </c>
      <c r="EN417" s="60" t="n">
        <f aca="false">IF(EH417,MIN(EB417,EL417),-1)</f>
        <v>-1</v>
      </c>
      <c r="EO417" s="60" t="n">
        <f aca="false">CHOOSE($C$7,DJ417/EM417,DJ417/DK417*LN(1+DK417/EM417),DJ417/(2*SQRT(2)*DK417)*LN((EM417+(1+SQRT(2))*DK417)/(EM417+(1-SQRT(2))*DK417)))</f>
        <v>0.218240791233887</v>
      </c>
      <c r="EP417" s="60" t="n">
        <f aca="false">EM417-1-LN(EM417-DK417)-EO417</f>
        <v>-0.107840271021729</v>
      </c>
      <c r="EQ417" s="60" t="n">
        <f aca="false">IF(EH417,CHOOSE($C$7,DJ417/EN417,DJ417/DK417*LN(1+DK417/EN417),DJ417/(2*SQRT(2)*DK417)*LN((EN417+(1+SQRT(2))*DK417)/(EN417+(1-SQRT(2))*DK417))),0)</f>
        <v>0</v>
      </c>
      <c r="ER417" s="60" t="n">
        <f aca="false">IF(EH417,EN417-1-LN(EN417-DK417)-EQ417,0)</f>
        <v>0</v>
      </c>
      <c r="ES417" s="60" t="n">
        <f aca="false">AND(EH417,ER417&lt;EP417)</f>
        <v>0</v>
      </c>
      <c r="ET417" s="60" t="n">
        <f aca="false">IF(ES417,EN417,EM417)</f>
        <v>0.91158844983184</v>
      </c>
      <c r="EU417" s="60" t="n">
        <f aca="false">IF(ES417,EQ417,EO417)</f>
        <v>0.218240791233887</v>
      </c>
      <c r="EV417" s="60" t="n">
        <f aca="false">LN(ET417-DK417)</f>
        <v>-0.198812070380318</v>
      </c>
      <c r="EW417" s="60" t="n">
        <f aca="false">$E$27/DI417*(ET417-1)-EV417-EU417*(2*CV417/DH417-$E$27/DI417)</f>
        <v>-0.107840271021729</v>
      </c>
      <c r="EX417" s="60" t="n">
        <f aca="false">$F$27/DI417*(ET417-1)-EV417-EU417*(2*CW417/DH417-$F$27/DI417)</f>
        <v>0.198812070380318</v>
      </c>
      <c r="EY417" s="60" t="n">
        <f aca="false">$G$27/DI417*(ET417-1)-EV417-EU417*(2*CX417/DH417-$G$27/DI417)</f>
        <v>0.198812070380318</v>
      </c>
      <c r="EZ417" s="60" t="n">
        <f aca="false">$H$27/DI417*(ET417-1)-EV417-EU417*(2*CY417/DH417-$H$27/DI417)</f>
        <v>0.198812070380318</v>
      </c>
      <c r="FA417" s="60" t="n">
        <f aca="false">$I$27/DI417*(ET417-1)-EV417-EU417*(2*CZ417/DH417-$I$27/DI417)</f>
        <v>0.198812070380318</v>
      </c>
      <c r="FB417" s="60" t="n">
        <f aca="false">$J$27/DI417*(ET417-1)-EV417-EU417*(2*DA417/DH417-$J$27/DI417)</f>
        <v>0.198812070380318</v>
      </c>
      <c r="FC417" s="60" t="n">
        <f aca="false">$K$27/DI417*(ET417-1)-EV417-EU417*(2*DB417/DH417-$K$27/DI417)</f>
        <v>0.198812070380318</v>
      </c>
      <c r="FD417" s="60" t="n">
        <f aca="false">$L$27/DI417*(ET417-1)-EV417-EU417*(2*DC417/DH417-$L$27/DI417)</f>
        <v>0.198812070380318</v>
      </c>
      <c r="FE417" s="60" t="n">
        <f aca="false">$M$27/DI417*(ET417-1)-EV417-EU417*(2*DD417/DH417-$M$27/DI417)</f>
        <v>0.198812070380318</v>
      </c>
      <c r="FF417" s="60" t="n">
        <f aca="false">$N$27/DI417*(ET417-1)-EV417-EU417*(2*DE417/DH417-$N$27/DI417)</f>
        <v>0.198812070380318</v>
      </c>
      <c r="FG417" s="60" t="n">
        <f aca="false">$O$27/DI417*(ET417-1)-EV417-EU417*(2*DF417/DH417-$O$27/DI417)</f>
        <v>0.198812070380318</v>
      </c>
      <c r="FH417" s="60" t="n">
        <f aca="false">$P$27/DI417*(ET417-1)-EV417-EU417*(2*DG417/DH417-$P$27/DI417)</f>
        <v>0.198812070380318</v>
      </c>
      <c r="FI417" s="60" t="n">
        <f aca="false">DK417/ET417&gt;$C$22</f>
        <v>0</v>
      </c>
      <c r="FJ417" s="60" t="n">
        <f aca="false">$E$28*SUMPRODUCT($E$31:$P$31,CJ417:CU417,$E$28:$P$28)</f>
        <v>0.184416866619846</v>
      </c>
      <c r="FK417" s="60" t="n">
        <f aca="false">$F$28*SUMPRODUCT($E$32:$P$32,CJ417:CU417,$E$28:$P$28)</f>
        <v>0</v>
      </c>
      <c r="FL417" s="60" t="n">
        <f aca="false">$G$28*SUMPRODUCT($E$33:$P$33,CJ417:CU417,$E$28:$P$28)</f>
        <v>0</v>
      </c>
      <c r="FM417" s="60" t="n">
        <f aca="false">$H$28*SUMPRODUCT($E$34:$P$34,CJ417:CU417,$E$28:$P$28)</f>
        <v>0</v>
      </c>
      <c r="FN417" s="60" t="n">
        <f aca="false">$I$28*SUMPRODUCT($E$35:$P$35,CJ417:CU417,$E$28:$P$28)</f>
        <v>0</v>
      </c>
      <c r="FO417" s="60" t="n">
        <f aca="false">$J$28*SUMPRODUCT($E$36:$P$36,CJ417:CU417,$E$28:$P$28)</f>
        <v>0</v>
      </c>
      <c r="FP417" s="60" t="n">
        <f aca="false">$K$28*SUMPRODUCT($E$37:$P$37,CJ417:CU417,$E$28:$P$28)</f>
        <v>0</v>
      </c>
      <c r="FQ417" s="60" t="n">
        <f aca="false">$L$28*SUMPRODUCT($E$38:$P$38,CJ417:CU417,$E$28:$P$28)</f>
        <v>0</v>
      </c>
      <c r="FR417" s="60" t="n">
        <f aca="false">$M$28*SUMPRODUCT($E$39:$P$39,CJ417:CU417,$E$28:$P$28)</f>
        <v>0</v>
      </c>
      <c r="FS417" s="60" t="n">
        <f aca="false">$N$28*SUMPRODUCT($E$40:$P$40,CJ417:CU417,$E$28:$P$28)</f>
        <v>0</v>
      </c>
      <c r="FT417" s="60" t="n">
        <f aca="false">$O$28*SUMPRODUCT($E$41:$P$41,CJ417:CU417,$E$28:$P$28)</f>
        <v>0</v>
      </c>
      <c r="FU417" s="60" t="n">
        <f aca="false">$P$28*SUMPRODUCT($E$42:$P$42,CJ417:CU417,$E$28:$P$28)</f>
        <v>0</v>
      </c>
      <c r="FV417" s="60" t="n">
        <f aca="false">SUMPRODUCT(CJ417:CU417,FJ417:FU417)</f>
        <v>0.184416866619846</v>
      </c>
      <c r="FW417" s="60" t="n">
        <f aca="false">SUMPRODUCT(CJ417:CU417,$E$27:$P$27)</f>
        <v>2.67389635063809E-005</v>
      </c>
      <c r="FX417" s="60" t="n">
        <f aca="false">FV417*$C$9/($C$10*$C$8)^2</f>
        <v>0.21776909410545</v>
      </c>
      <c r="FY417" s="60" t="n">
        <f aca="false">FW417*$C$9/($C$10*$C$8)</f>
        <v>0.0918845243259994</v>
      </c>
      <c r="FZ417" s="60" t="n">
        <f aca="false">CHOOSE($C$7,-(1+FY417),-1,-(1-FY417))</f>
        <v>-0.908115475674001</v>
      </c>
      <c r="GA417" s="60" t="n">
        <f aca="false">CHOOSE($C$7,FX417,FX417-FY417-FY417^2,FX417-3*FY417^2-2*FY417)</f>
        <v>0.00867174802160559</v>
      </c>
      <c r="GB417" s="60" t="n">
        <f aca="false">CHOOSE($C$7,-FX417*FY417,-FX417*FY417,-(FX417*FY417-FY417^2-FY417^3))</f>
        <v>-0.0107910842936637</v>
      </c>
      <c r="GC417" s="60" t="n">
        <f aca="false">GA417-FZ417^2/3</f>
        <v>-0.266219491031267</v>
      </c>
      <c r="GD417" s="60" t="n">
        <f aca="false">2*FZ417^3/27-FZ417*GA417/3+GB417</f>
        <v>-0.0636400988362784</v>
      </c>
      <c r="GE417" s="60" t="n">
        <f aca="false">GD417^2/4+GC417^3/27</f>
        <v>0.000313710901361829</v>
      </c>
      <c r="GF417" s="60" t="n">
        <f aca="false">-GD417/2-IF(GD417&gt;=0,1,-1)*SQRT(MAX(GE417,0))</f>
        <v>0.0495319352963236</v>
      </c>
      <c r="GG417" s="60" t="n">
        <f aca="false">SIGN(GF417)*ABS(GF417)^(1/3)</f>
        <v>0.367249967174439</v>
      </c>
      <c r="GH417" s="60" t="n">
        <f aca="false">IF(GG417=0,0,GG417-GC417/(3*GG417))</f>
        <v>0.60888329127384</v>
      </c>
      <c r="GI417" s="60" t="n">
        <f aca="false">2*SQRT(MAX(-GC417,0)/3)</f>
        <v>0.595784626668918</v>
      </c>
      <c r="GJ417" s="60" t="n">
        <f aca="false">ACOS(IF(GI417=0,0,MAX(-1,MIN(1,3*GD417/(GC417*GI417)))))</f>
        <v>0</v>
      </c>
      <c r="GK417" s="60" t="n">
        <f aca="false">GI417*COS(GJ417/3)</f>
        <v>0.595784626668918</v>
      </c>
      <c r="GL417" s="60" t="n">
        <f aca="false">IF(GE417&lt;0,GK417,GH417)-FZ417/3</f>
        <v>0.91158844983184</v>
      </c>
      <c r="GM417" s="60" t="n">
        <f aca="false">IFERROR((((GL417+FZ417)*GL417+GA417)*GL417+GB417)/((3*GL417+2*FZ417)*GL417+GA417),0)</f>
        <v>0</v>
      </c>
      <c r="GN417" s="60" t="n">
        <f aca="false">IF(ABS(GM417)&lt;0.1*ABS(GL417),GL417-GM417,GL417)</f>
        <v>0.91158844983184</v>
      </c>
      <c r="GO417" s="60" t="n">
        <f aca="false">IFERROR((((GN417+FZ417)*GN417+GA417)*GN417+GB417)/((3*GN417+2*FZ417)*GN417+GA417),0)</f>
        <v>0</v>
      </c>
      <c r="GP417" s="60" t="n">
        <f aca="false">IF(ABS(GO417)&lt;0.1*ABS(GN417),GN417-GO417,GN417)</f>
        <v>0.91158844983184</v>
      </c>
      <c r="GQ417" s="60" t="n">
        <f aca="false">-GB417/GP417</f>
        <v>0.0118376711504565</v>
      </c>
      <c r="GR417" s="60" t="n">
        <f aca="false">(GA417-GQ417)/GP417</f>
        <v>-0.00347297415783941</v>
      </c>
      <c r="GS417" s="60" t="n">
        <f aca="false">GR417^2-4*GQ417</f>
        <v>-0.0473386230523248</v>
      </c>
      <c r="GT417" s="60" t="n">
        <f aca="false">IF(GS417&gt;=0,(GR417+IF(GR417&gt;=0,1,-1)*SQRT(GS417))/2,0)</f>
        <v>0</v>
      </c>
      <c r="GU417" s="60" t="n">
        <f aca="false">IF(AND(GS417&gt;=0,GT417&lt;&gt;0),MIN(GT417,GQ417/GT417),-1)</f>
        <v>-1</v>
      </c>
      <c r="GV417" s="60" t="n">
        <f aca="false">AND(GS417&gt;=0,GU417&gt;FY417,ABS(GP417-GU417)&gt;=0.00005*MAX(GP417,GU417))</f>
        <v>0</v>
      </c>
      <c r="GW417" s="60" t="n">
        <f aca="false">IF(GV417,IFERROR((((GU417+FZ417)*GU417+GA417)*GU417+GB417)/((3*GU417+2*FZ417)*GU417+GA417),0),0)</f>
        <v>0</v>
      </c>
      <c r="GX417" s="60" t="n">
        <f aca="false">IF(ABS(GW417)&lt;0.1*ABS(GU417),GU417-GW417,GU417)</f>
        <v>-1</v>
      </c>
      <c r="GY417" s="60" t="n">
        <f aca="false">IF(GV417,IFERROR((((GX417+FZ417)*GX417+GA417)*GX417+GB417)/((3*GX417+2*FZ417)*GX417+GA417),0),0)</f>
        <v>0</v>
      </c>
      <c r="GZ417" s="60" t="n">
        <f aca="false">IF(ABS(GY417)&lt;0.1*ABS(GX417),GX417-GY417,GX417)</f>
        <v>-1</v>
      </c>
      <c r="HA417" s="60" t="n">
        <f aca="false">IF(GV417,MAX(GP417,GZ417),GP417)</f>
        <v>0.91158844983184</v>
      </c>
      <c r="HB417" s="60" t="n">
        <f aca="false">IF(GV417,MIN(GP417,GZ417),-1)</f>
        <v>-1</v>
      </c>
      <c r="HC417" s="60" t="n">
        <f aca="false">CHOOSE($C$7,FX417/HA417,FX417/FY417*LN(1+FY417/HA417),FX417/(2*SQRT(2)*FY417)*LN((HA417+(1+SQRT(2))*FY417)/(HA417+(1-SQRT(2))*FY417)))</f>
        <v>0.218240791233887</v>
      </c>
      <c r="HD417" s="60" t="n">
        <f aca="false">HA417-1-LN(HA417-FY417)-HC417</f>
        <v>-0.107840271021729</v>
      </c>
      <c r="HE417" s="60" t="n">
        <f aca="false">IF(GV417,CHOOSE($C$7,FX417/HB417,FX417/FY417*LN(1+FY417/HB417),FX417/(2*SQRT(2)*FY417)*LN((HB417+(1+SQRT(2))*FY417)/(HB417+(1-SQRT(2))*FY417))),0)</f>
        <v>0</v>
      </c>
      <c r="HF417" s="60" t="n">
        <f aca="false">IF(GV417,HB417-1-LN(HB417-FY417)-HE417,0)</f>
        <v>0</v>
      </c>
      <c r="HG417" s="60" t="n">
        <f aca="false">AND(GV417,HF417&lt;HD417)</f>
        <v>0</v>
      </c>
      <c r="HH417" s="60" t="n">
        <f aca="false">IF(HG417,HB417,HA417)</f>
        <v>0.91158844983184</v>
      </c>
      <c r="HI417" s="60" t="n">
        <f aca="false">IF(HG417,HE417,HC417)</f>
        <v>0.218240791233887</v>
      </c>
      <c r="HJ417" s="60" t="n">
        <f aca="false">LN(HH417-FY417)</f>
        <v>-0.198812070380318</v>
      </c>
      <c r="HK417" s="60" t="n">
        <f aca="false">$E$27/FW417*(HH417-1)-HJ417-HI417*(2*FJ417/FV417-$E$27/FW417)</f>
        <v>-0.107840271021729</v>
      </c>
      <c r="HL417" s="60" t="n">
        <f aca="false">$F$27/FW417*(HH417-1)-HJ417-HI417*(2*FK417/FV417-$F$27/FW417)</f>
        <v>0.198812070380318</v>
      </c>
      <c r="HM417" s="60" t="n">
        <f aca="false">$G$27/FW417*(HH417-1)-HJ417-HI417*(2*FL417/FV417-$G$27/FW417)</f>
        <v>0.198812070380318</v>
      </c>
      <c r="HN417" s="60" t="n">
        <f aca="false">$H$27/FW417*(HH417-1)-HJ417-HI417*(2*FM417/FV417-$H$27/FW417)</f>
        <v>0.198812070380318</v>
      </c>
      <c r="HO417" s="60" t="n">
        <f aca="false">$I$27/FW417*(HH417-1)-HJ417-HI417*(2*FN417/FV417-$I$27/FW417)</f>
        <v>0.198812070380318</v>
      </c>
      <c r="HP417" s="60" t="n">
        <f aca="false">$J$27/FW417*(HH417-1)-HJ417-HI417*(2*FO417/FV417-$J$27/FW417)</f>
        <v>0.198812070380318</v>
      </c>
      <c r="HQ417" s="60" t="n">
        <f aca="false">$K$27/FW417*(HH417-1)-HJ417-HI417*(2*FP417/FV417-$K$27/FW417)</f>
        <v>0.198812070380318</v>
      </c>
      <c r="HR417" s="60" t="n">
        <f aca="false">$L$27/FW417*(HH417-1)-HJ417-HI417*(2*FQ417/FV417-$L$27/FW417)</f>
        <v>0.198812070380318</v>
      </c>
      <c r="HS417" s="60" t="n">
        <f aca="false">$M$27/FW417*(HH417-1)-HJ417-HI417*(2*FR417/FV417-$M$27/FW417)</f>
        <v>0.198812070380318</v>
      </c>
      <c r="HT417" s="60" t="n">
        <f aca="false">$N$27/FW417*(HH417-1)-HJ417-HI417*(2*FS417/FV417-$N$27/FW417)</f>
        <v>0.198812070380318</v>
      </c>
      <c r="HU417" s="60" t="n">
        <f aca="false">$O$27/FW417*(HH417-1)-HJ417-HI417*(2*FT417/FV417-$O$27/FW417)</f>
        <v>0.198812070380318</v>
      </c>
      <c r="HV417" s="60" t="n">
        <f aca="false">$P$27/FW417*(HH417-1)-HJ417-HI417*(2*FU417/FV417-$P$27/FW417)</f>
        <v>0.198812070380318</v>
      </c>
      <c r="HW417" s="60" t="n">
        <f aca="false">FY417/HH417&gt;$C$22</f>
        <v>0</v>
      </c>
      <c r="HX417" s="60" t="n">
        <f aca="false">IF($E$13&gt;0,MAX(-300,MIN(300,EW417-HK417)),0)</f>
        <v>0</v>
      </c>
      <c r="HY417" s="60" t="n">
        <f aca="false">IF($F$13&gt;0,MAX(-300,MIN(300,EX417-HL417)),0)</f>
        <v>0</v>
      </c>
      <c r="HZ417" s="60" t="n">
        <f aca="false">IF($G$13&gt;0,MAX(-300,MIN(300,EY417-HM417)),0)</f>
        <v>0</v>
      </c>
      <c r="IA417" s="60" t="n">
        <f aca="false">IF($H$13&gt;0,MAX(-300,MIN(300,EZ417-HN417)),0)</f>
        <v>0</v>
      </c>
      <c r="IB417" s="60" t="n">
        <f aca="false">IF($I$13&gt;0,MAX(-300,MIN(300,FA417-HO417)),0)</f>
        <v>0</v>
      </c>
      <c r="IC417" s="60" t="n">
        <f aca="false">IF($J$13&gt;0,MAX(-300,MIN(300,FB417-HP417)),0)</f>
        <v>0</v>
      </c>
      <c r="ID417" s="60" t="n">
        <f aca="false">IF($K$13&gt;0,MAX(-300,MIN(300,FC417-HQ417)),0)</f>
        <v>0</v>
      </c>
      <c r="IE417" s="60" t="n">
        <f aca="false">IF($L$13&gt;0,MAX(-300,MIN(300,FD417-HR417)),0)</f>
        <v>0</v>
      </c>
      <c r="IF417" s="60" t="n">
        <f aca="false">IF($M$13&gt;0,MAX(-300,MIN(300,FE417-HS417)),0)</f>
        <v>0</v>
      </c>
      <c r="IG417" s="60" t="n">
        <f aca="false">IF($N$13&gt;0,MAX(-300,MIN(300,FF417-HT417)),0)</f>
        <v>0</v>
      </c>
      <c r="IH417" s="60" t="n">
        <f aca="false">IF($O$13&gt;0,MAX(-300,MIN(300,FG417-HU417)),0)</f>
        <v>0</v>
      </c>
      <c r="II417" s="60" t="n">
        <f aca="false">IF($P$13&gt;0,MAX(-300,MIN(300,FH417-HV417)),0)</f>
        <v>0</v>
      </c>
      <c r="IJ417" s="60" t="n">
        <f aca="false">SUMXMY2(HX417:II417,B417:M417)</f>
        <v>0</v>
      </c>
      <c r="IK417" s="60" t="n">
        <f aca="false">SUMSQ(B417:M417)</f>
        <v>0</v>
      </c>
    </row>
    <row r="418" customFormat="false" ht="15" hidden="false" customHeight="false" outlineLevel="0" collapsed="false">
      <c r="A418" s="59" t="n">
        <v>57</v>
      </c>
      <c r="B418" s="60" t="n">
        <f aca="false">HX417</f>
        <v>0</v>
      </c>
      <c r="C418" s="60" t="n">
        <f aca="false">HY417</f>
        <v>0</v>
      </c>
      <c r="D418" s="60" t="n">
        <f aca="false">HZ417</f>
        <v>0</v>
      </c>
      <c r="E418" s="60" t="n">
        <f aca="false">IA417</f>
        <v>0</v>
      </c>
      <c r="F418" s="60" t="n">
        <f aca="false">IB417</f>
        <v>0</v>
      </c>
      <c r="G418" s="60" t="n">
        <f aca="false">IC417</f>
        <v>0</v>
      </c>
      <c r="H418" s="60" t="n">
        <f aca="false">ID417</f>
        <v>0</v>
      </c>
      <c r="I418" s="60" t="n">
        <f aca="false">IE417</f>
        <v>0</v>
      </c>
      <c r="J418" s="60" t="n">
        <f aca="false">IF417</f>
        <v>0</v>
      </c>
      <c r="K418" s="60" t="n">
        <f aca="false">IG417</f>
        <v>0</v>
      </c>
      <c r="L418" s="60" t="n">
        <f aca="false">IH417</f>
        <v>0</v>
      </c>
      <c r="M418" s="60" t="n">
        <f aca="false">II417</f>
        <v>0</v>
      </c>
      <c r="N418" s="60" t="n">
        <f aca="false">EXP(B418)</f>
        <v>1</v>
      </c>
      <c r="O418" s="60" t="n">
        <f aca="false">EXP(C418)</f>
        <v>1</v>
      </c>
      <c r="P418" s="60" t="n">
        <f aca="false">EXP(D418)</f>
        <v>1</v>
      </c>
      <c r="Q418" s="60" t="n">
        <f aca="false">EXP(E418)</f>
        <v>1</v>
      </c>
      <c r="R418" s="60" t="n">
        <f aca="false">EXP(F418)</f>
        <v>1</v>
      </c>
      <c r="S418" s="60" t="n">
        <f aca="false">EXP(G418)</f>
        <v>1</v>
      </c>
      <c r="T418" s="60" t="n">
        <f aca="false">EXP(H418)</f>
        <v>1</v>
      </c>
      <c r="U418" s="60" t="n">
        <f aca="false">EXP(I418)</f>
        <v>1</v>
      </c>
      <c r="V418" s="60" t="n">
        <f aca="false">EXP(J418)</f>
        <v>1</v>
      </c>
      <c r="W418" s="60" t="n">
        <f aca="false">EXP(K418)</f>
        <v>1</v>
      </c>
      <c r="X418" s="60" t="n">
        <f aca="false">EXP(L418)</f>
        <v>1</v>
      </c>
      <c r="Y418" s="60" t="n">
        <f aca="false">EXP(M418)</f>
        <v>1</v>
      </c>
      <c r="Z418" s="60" t="n">
        <f aca="false">MAX(N418:Y418)</f>
        <v>1</v>
      </c>
      <c r="AA418" s="60" t="n">
        <f aca="false">MIN(N418:Y418)</f>
        <v>1</v>
      </c>
      <c r="AB418" s="60" t="n">
        <f aca="false">AND(Z418&gt;1,AA418&lt;1)</f>
        <v>0</v>
      </c>
      <c r="AC418" s="60" t="n">
        <f aca="false">IF(AB418,1/(1-Z418),0)</f>
        <v>0</v>
      </c>
      <c r="AD418" s="60" t="n">
        <f aca="false">IF(AB418,1/(1-AA418),1)</f>
        <v>1</v>
      </c>
      <c r="AE418" s="60" t="n">
        <f aca="false">IF(AB418,MIN(MAX(BI417,AC418+0.000000001*(AD418-AC418)),AD418-0.000000001*(AD418-AC418)),IF(AA418&gt;=1,1,0))</f>
        <v>1</v>
      </c>
      <c r="AF418" s="60" t="n">
        <f aca="false">SUMPRODUCT($E$13:$P$13*(N418:Y418-1)/(1+AE418*(N418:Y418-1)))</f>
        <v>0</v>
      </c>
      <c r="AG418" s="60" t="n">
        <f aca="false">-SUMPRODUCT($E$13:$P$13*(N418:Y418-1)^2/(1+AE418*(N418:Y418-1))^2)</f>
        <v>-0</v>
      </c>
      <c r="AH418" s="60" t="n">
        <f aca="false">IF(OR(NOT(AB418),AG418=0),AE418,IF(AE418-AF418/AG418&lt;=AC418,(AE418+AC418)/2,IF(AE418-AF418/AG418&gt;=AD418,(AE418+AD418)/2,AE418-AF418/AG418)))</f>
        <v>1</v>
      </c>
      <c r="AI418" s="60" t="n">
        <f aca="false">SUMPRODUCT($E$13:$P$13*(N418:Y418-1)/(1+AH418*(N418:Y418-1)))</f>
        <v>0</v>
      </c>
      <c r="AJ418" s="60" t="n">
        <f aca="false">-SUMPRODUCT($E$13:$P$13*(N418:Y418-1)^2/(1+AH418*(N418:Y418-1))^2)</f>
        <v>-0</v>
      </c>
      <c r="AK418" s="60" t="n">
        <f aca="false">IF(OR(NOT(AB418),AJ418=0),AH418,IF(AH418-AI418/AJ418&lt;=AC418,(AH418+AC418)/2,IF(AH418-AI418/AJ418&gt;=AD418,(AH418+AD418)/2,AH418-AI418/AJ418)))</f>
        <v>1</v>
      </c>
      <c r="AL418" s="60" t="n">
        <f aca="false">SUMPRODUCT($E$13:$P$13*(N418:Y418-1)/(1+AK418*(N418:Y418-1)))</f>
        <v>0</v>
      </c>
      <c r="AM418" s="60" t="n">
        <f aca="false">-SUMPRODUCT($E$13:$P$13*(N418:Y418-1)^2/(1+AK418*(N418:Y418-1))^2)</f>
        <v>-0</v>
      </c>
      <c r="AN418" s="60" t="n">
        <f aca="false">IF(OR(NOT(AB418),AM418=0),AK418,IF(AK418-AL418/AM418&lt;=AC418,(AK418+AC418)/2,IF(AK418-AL418/AM418&gt;=AD418,(AK418+AD418)/2,AK418-AL418/AM418)))</f>
        <v>1</v>
      </c>
      <c r="AO418" s="60" t="n">
        <f aca="false">SUMPRODUCT($E$13:$P$13*(N418:Y418-1)/(1+AN418*(N418:Y418-1)))</f>
        <v>0</v>
      </c>
      <c r="AP418" s="60" t="n">
        <f aca="false">-SUMPRODUCT($E$13:$P$13*(N418:Y418-1)^2/(1+AN418*(N418:Y418-1))^2)</f>
        <v>-0</v>
      </c>
      <c r="AQ418" s="60" t="n">
        <f aca="false">IF(OR(NOT(AB418),AP418=0),AN418,IF(AN418-AO418/AP418&lt;=AC418,(AN418+AC418)/2,IF(AN418-AO418/AP418&gt;=AD418,(AN418+AD418)/2,AN418-AO418/AP418)))</f>
        <v>1</v>
      </c>
      <c r="AR418" s="60" t="n">
        <f aca="false">SUMPRODUCT($E$13:$P$13*(N418:Y418-1)/(1+AQ418*(N418:Y418-1)))</f>
        <v>0</v>
      </c>
      <c r="AS418" s="60" t="n">
        <f aca="false">-SUMPRODUCT($E$13:$P$13*(N418:Y418-1)^2/(1+AQ418*(N418:Y418-1))^2)</f>
        <v>-0</v>
      </c>
      <c r="AT418" s="60" t="n">
        <f aca="false">IF(OR(NOT(AB418),AS418=0),AQ418,IF(AQ418-AR418/AS418&lt;=AC418,(AQ418+AC418)/2,IF(AQ418-AR418/AS418&gt;=AD418,(AQ418+AD418)/2,AQ418-AR418/AS418)))</f>
        <v>1</v>
      </c>
      <c r="AU418" s="60" t="n">
        <f aca="false">SUMPRODUCT($E$13:$P$13*(N418:Y418-1)/(1+AT418*(N418:Y418-1)))</f>
        <v>0</v>
      </c>
      <c r="AV418" s="60" t="n">
        <f aca="false">-SUMPRODUCT($E$13:$P$13*(N418:Y418-1)^2/(1+AT418*(N418:Y418-1))^2)</f>
        <v>-0</v>
      </c>
      <c r="AW418" s="60" t="n">
        <f aca="false">IF(OR(NOT(AB418),AV418=0),AT418,IF(AT418-AU418/AV418&lt;=AC418,(AT418+AC418)/2,IF(AT418-AU418/AV418&gt;=AD418,(AT418+AD418)/2,AT418-AU418/AV418)))</f>
        <v>1</v>
      </c>
      <c r="AX418" s="60" t="n">
        <f aca="false">SUMPRODUCT($E$13:$P$13*(N418:Y418-1)/(1+AW418*(N418:Y418-1)))</f>
        <v>0</v>
      </c>
      <c r="AY418" s="60" t="n">
        <f aca="false">-SUMPRODUCT($E$13:$P$13*(N418:Y418-1)^2/(1+AW418*(N418:Y418-1))^2)</f>
        <v>-0</v>
      </c>
      <c r="AZ418" s="60" t="n">
        <f aca="false">IF(OR(NOT(AB418),AY418=0),AW418,IF(AW418-AX418/AY418&lt;=AC418,(AW418+AC418)/2,IF(AW418-AX418/AY418&gt;=AD418,(AW418+AD418)/2,AW418-AX418/AY418)))</f>
        <v>1</v>
      </c>
      <c r="BA418" s="60" t="n">
        <f aca="false">SUMPRODUCT($E$13:$P$13*(N418:Y418-1)/(1+AZ418*(N418:Y418-1)))</f>
        <v>0</v>
      </c>
      <c r="BB418" s="60" t="n">
        <f aca="false">-SUMPRODUCT($E$13:$P$13*(N418:Y418-1)^2/(1+AZ418*(N418:Y418-1))^2)</f>
        <v>-0</v>
      </c>
      <c r="BC418" s="60" t="n">
        <f aca="false">IF(OR(NOT(AB418),BB418=0),AZ418,IF(AZ418-BA418/BB418&lt;=AC418,(AZ418+AC418)/2,IF(AZ418-BA418/BB418&gt;=AD418,(AZ418+AD418)/2,AZ418-BA418/BB418)))</f>
        <v>1</v>
      </c>
      <c r="BD418" s="60" t="n">
        <f aca="false">SUMPRODUCT($E$13:$P$13*(N418:Y418-1)/(1+BC418*(N418:Y418-1)))</f>
        <v>0</v>
      </c>
      <c r="BE418" s="60" t="n">
        <f aca="false">-SUMPRODUCT($E$13:$P$13*(N418:Y418-1)^2/(1+BC418*(N418:Y418-1))^2)</f>
        <v>-0</v>
      </c>
      <c r="BF418" s="60" t="n">
        <f aca="false">IF(OR(NOT(AB418),BE418=0),BC418,IF(BC418-BD418/BE418&lt;=AC418,(BC418+AC418)/2,IF(BC418-BD418/BE418&gt;=AD418,(BC418+AD418)/2,BC418-BD418/BE418)))</f>
        <v>1</v>
      </c>
      <c r="BG418" s="60" t="n">
        <f aca="false">SUMPRODUCT($E$13:$P$13*(N418:Y418-1)/(1+BF418*(N418:Y418-1)))</f>
        <v>0</v>
      </c>
      <c r="BH418" s="60" t="n">
        <f aca="false">-SUMPRODUCT($E$13:$P$13*(N418:Y418-1)^2/(1+BF418*(N418:Y418-1))^2)</f>
        <v>-0</v>
      </c>
      <c r="BI418" s="60" t="n">
        <f aca="false">IF(OR(NOT(AB418),BH418=0),BF418,IF(BF418-BG418/BH418&lt;=AC418,(BF418+AC418)/2,IF(BF418-BG418/BH418&gt;=AD418,(BF418+AD418)/2,BF418-BG418/BH418)))</f>
        <v>1</v>
      </c>
      <c r="BJ418" s="60" t="n">
        <f aca="false">$E$13/(1+BI418*(N418-1))</f>
        <v>1</v>
      </c>
      <c r="BK418" s="60" t="n">
        <f aca="false">$F$13/(1+BI418*(O418-1))</f>
        <v>0</v>
      </c>
      <c r="BL418" s="60" t="n">
        <f aca="false">$G$13/(1+BI418*(P418-1))</f>
        <v>0</v>
      </c>
      <c r="BM418" s="60" t="n">
        <f aca="false">$H$13/(1+BI418*(Q418-1))</f>
        <v>0</v>
      </c>
      <c r="BN418" s="60" t="n">
        <f aca="false">$I$13/(1+BI418*(R418-1))</f>
        <v>0</v>
      </c>
      <c r="BO418" s="60" t="n">
        <f aca="false">$J$13/(1+BI418*(S418-1))</f>
        <v>0</v>
      </c>
      <c r="BP418" s="60" t="n">
        <f aca="false">$K$13/(1+BI418*(T418-1))</f>
        <v>0</v>
      </c>
      <c r="BQ418" s="60" t="n">
        <f aca="false">$L$13/(1+BI418*(U418-1))</f>
        <v>0</v>
      </c>
      <c r="BR418" s="60" t="n">
        <f aca="false">$M$13/(1+BI418*(V418-1))</f>
        <v>0</v>
      </c>
      <c r="BS418" s="60" t="n">
        <f aca="false">$N$13/(1+BI418*(W418-1))</f>
        <v>0</v>
      </c>
      <c r="BT418" s="60" t="n">
        <f aca="false">$O$13/(1+BI418*(X418-1))</f>
        <v>0</v>
      </c>
      <c r="BU418" s="60" t="n">
        <f aca="false">$P$13/(1+BI418*(Y418-1))</f>
        <v>0</v>
      </c>
      <c r="BV418" s="60" t="n">
        <f aca="false">SUM(BJ418:BU418)</f>
        <v>1</v>
      </c>
      <c r="BW418" s="60" t="n">
        <f aca="false">SUMPRODUCT(N418:Y418,BJ418:BU418)</f>
        <v>1</v>
      </c>
      <c r="BX418" s="60" t="n">
        <f aca="false">BJ418/BV418</f>
        <v>1</v>
      </c>
      <c r="BY418" s="60" t="n">
        <f aca="false">BK418/BV418</f>
        <v>0</v>
      </c>
      <c r="BZ418" s="60" t="n">
        <f aca="false">BL418/BV418</f>
        <v>0</v>
      </c>
      <c r="CA418" s="60" t="n">
        <f aca="false">BM418/BV418</f>
        <v>0</v>
      </c>
      <c r="CB418" s="60" t="n">
        <f aca="false">BN418/BV418</f>
        <v>0</v>
      </c>
      <c r="CC418" s="60" t="n">
        <f aca="false">BO418/BV418</f>
        <v>0</v>
      </c>
      <c r="CD418" s="60" t="n">
        <f aca="false">BP418/BV418</f>
        <v>0</v>
      </c>
      <c r="CE418" s="60" t="n">
        <f aca="false">BQ418/BV418</f>
        <v>0</v>
      </c>
      <c r="CF418" s="60" t="n">
        <f aca="false">BR418/BV418</f>
        <v>0</v>
      </c>
      <c r="CG418" s="60" t="n">
        <f aca="false">BS418/BV418</f>
        <v>0</v>
      </c>
      <c r="CH418" s="60" t="n">
        <f aca="false">BT418/BV418</f>
        <v>0</v>
      </c>
      <c r="CI418" s="60" t="n">
        <f aca="false">BU418/BV418</f>
        <v>0</v>
      </c>
      <c r="CJ418" s="60" t="n">
        <f aca="false">N418*BJ418/BW418</f>
        <v>1</v>
      </c>
      <c r="CK418" s="60" t="n">
        <f aca="false">O418*BK418/BW418</f>
        <v>0</v>
      </c>
      <c r="CL418" s="60" t="n">
        <f aca="false">P418*BL418/BW418</f>
        <v>0</v>
      </c>
      <c r="CM418" s="60" t="n">
        <f aca="false">Q418*BM418/BW418</f>
        <v>0</v>
      </c>
      <c r="CN418" s="60" t="n">
        <f aca="false">R418*BN418/BW418</f>
        <v>0</v>
      </c>
      <c r="CO418" s="60" t="n">
        <f aca="false">S418*BO418/BW418</f>
        <v>0</v>
      </c>
      <c r="CP418" s="60" t="n">
        <f aca="false">T418*BP418/BW418</f>
        <v>0</v>
      </c>
      <c r="CQ418" s="60" t="n">
        <f aca="false">U418*BQ418/BW418</f>
        <v>0</v>
      </c>
      <c r="CR418" s="60" t="n">
        <f aca="false">V418*BR418/BW418</f>
        <v>0</v>
      </c>
      <c r="CS418" s="60" t="n">
        <f aca="false">W418*BS418/BW418</f>
        <v>0</v>
      </c>
      <c r="CT418" s="60" t="n">
        <f aca="false">X418*BT418/BW418</f>
        <v>0</v>
      </c>
      <c r="CU418" s="60" t="n">
        <f aca="false">Y418*BU418/BW418</f>
        <v>0</v>
      </c>
      <c r="CV418" s="60" t="n">
        <f aca="false">$E$28*SUMPRODUCT($E$31:$P$31,BX418:CI418,$E$28:$P$28)</f>
        <v>0.184416866619846</v>
      </c>
      <c r="CW418" s="60" t="n">
        <f aca="false">$F$28*SUMPRODUCT($E$32:$P$32,BX418:CI418,$E$28:$P$28)</f>
        <v>0</v>
      </c>
      <c r="CX418" s="60" t="n">
        <f aca="false">$G$28*SUMPRODUCT($E$33:$P$33,BX418:CI418,$E$28:$P$28)</f>
        <v>0</v>
      </c>
      <c r="CY418" s="60" t="n">
        <f aca="false">$H$28*SUMPRODUCT($E$34:$P$34,BX418:CI418,$E$28:$P$28)</f>
        <v>0</v>
      </c>
      <c r="CZ418" s="60" t="n">
        <f aca="false">$I$28*SUMPRODUCT($E$35:$P$35,BX418:CI418,$E$28:$P$28)</f>
        <v>0</v>
      </c>
      <c r="DA418" s="60" t="n">
        <f aca="false">$J$28*SUMPRODUCT($E$36:$P$36,BX418:CI418,$E$28:$P$28)</f>
        <v>0</v>
      </c>
      <c r="DB418" s="60" t="n">
        <f aca="false">$K$28*SUMPRODUCT($E$37:$P$37,BX418:CI418,$E$28:$P$28)</f>
        <v>0</v>
      </c>
      <c r="DC418" s="60" t="n">
        <f aca="false">$L$28*SUMPRODUCT($E$38:$P$38,BX418:CI418,$E$28:$P$28)</f>
        <v>0</v>
      </c>
      <c r="DD418" s="60" t="n">
        <f aca="false">$M$28*SUMPRODUCT($E$39:$P$39,BX418:CI418,$E$28:$P$28)</f>
        <v>0</v>
      </c>
      <c r="DE418" s="60" t="n">
        <f aca="false">$N$28*SUMPRODUCT($E$40:$P$40,BX418:CI418,$E$28:$P$28)</f>
        <v>0</v>
      </c>
      <c r="DF418" s="60" t="n">
        <f aca="false">$O$28*SUMPRODUCT($E$41:$P$41,BX418:CI418,$E$28:$P$28)</f>
        <v>0</v>
      </c>
      <c r="DG418" s="60" t="n">
        <f aca="false">$P$28*SUMPRODUCT($E$42:$P$42,BX418:CI418,$E$28:$P$28)</f>
        <v>0</v>
      </c>
      <c r="DH418" s="60" t="n">
        <f aca="false">SUMPRODUCT(BX418:CI418,CV418:DG418)</f>
        <v>0.184416866619846</v>
      </c>
      <c r="DI418" s="60" t="n">
        <f aca="false">SUMPRODUCT(BX418:CI418,$E$27:$P$27)</f>
        <v>2.67389635063809E-005</v>
      </c>
      <c r="DJ418" s="60" t="n">
        <f aca="false">DH418*$C$9/($C$10*$C$8)^2</f>
        <v>0.21776909410545</v>
      </c>
      <c r="DK418" s="60" t="n">
        <f aca="false">DI418*$C$9/($C$10*$C$8)</f>
        <v>0.0918845243259994</v>
      </c>
      <c r="DL418" s="60" t="n">
        <f aca="false">CHOOSE($C$7,-(1+DK418),-1,-(1-DK418))</f>
        <v>-0.908115475674001</v>
      </c>
      <c r="DM418" s="60" t="n">
        <f aca="false">CHOOSE($C$7,DJ418,DJ418-DK418-DK418^2,DJ418-3*DK418^2-2*DK418)</f>
        <v>0.00867174802160559</v>
      </c>
      <c r="DN418" s="60" t="n">
        <f aca="false">CHOOSE($C$7,-DJ418*DK418,-DJ418*DK418,-(DJ418*DK418-DK418^2-DK418^3))</f>
        <v>-0.0107910842936637</v>
      </c>
      <c r="DO418" s="60" t="n">
        <f aca="false">DM418-DL418^2/3</f>
        <v>-0.266219491031267</v>
      </c>
      <c r="DP418" s="60" t="n">
        <f aca="false">2*DL418^3/27-DL418*DM418/3+DN418</f>
        <v>-0.0636400988362784</v>
      </c>
      <c r="DQ418" s="60" t="n">
        <f aca="false">DP418^2/4+DO418^3/27</f>
        <v>0.000313710901361829</v>
      </c>
      <c r="DR418" s="60" t="n">
        <f aca="false">-DP418/2-IF(DP418&gt;=0,1,-1)*SQRT(MAX(DQ418,0))</f>
        <v>0.0495319352963236</v>
      </c>
      <c r="DS418" s="60" t="n">
        <f aca="false">SIGN(DR418)*ABS(DR418)^(1/3)</f>
        <v>0.367249967174439</v>
      </c>
      <c r="DT418" s="60" t="n">
        <f aca="false">IF(DS418=0,0,DS418-DO418/(3*DS418))</f>
        <v>0.60888329127384</v>
      </c>
      <c r="DU418" s="60" t="n">
        <f aca="false">2*SQRT(MAX(-DO418,0)/3)</f>
        <v>0.595784626668918</v>
      </c>
      <c r="DV418" s="60" t="n">
        <f aca="false">ACOS(IF(DU418=0,0,MAX(-1,MIN(1,3*DP418/(DO418*DU418)))))</f>
        <v>0</v>
      </c>
      <c r="DW418" s="60" t="n">
        <f aca="false">DU418*COS(DV418/3)</f>
        <v>0.595784626668918</v>
      </c>
      <c r="DX418" s="60" t="n">
        <f aca="false">IF(DQ418&lt;0,DW418,DT418)-DL418/3</f>
        <v>0.91158844983184</v>
      </c>
      <c r="DY418" s="60" t="n">
        <f aca="false">IFERROR((((DX418+DL418)*DX418+DM418)*DX418+DN418)/((3*DX418+2*DL418)*DX418+DM418),0)</f>
        <v>0</v>
      </c>
      <c r="DZ418" s="60" t="n">
        <f aca="false">IF(ABS(DY418)&lt;0.1*ABS(DX418),DX418-DY418,DX418)</f>
        <v>0.91158844983184</v>
      </c>
      <c r="EA418" s="60" t="n">
        <f aca="false">IFERROR((((DZ418+DL418)*DZ418+DM418)*DZ418+DN418)/((3*DZ418+2*DL418)*DZ418+DM418),0)</f>
        <v>0</v>
      </c>
      <c r="EB418" s="60" t="n">
        <f aca="false">IF(ABS(EA418)&lt;0.1*ABS(DZ418),DZ418-EA418,DZ418)</f>
        <v>0.91158844983184</v>
      </c>
      <c r="EC418" s="60" t="n">
        <f aca="false">-DN418/EB418</f>
        <v>0.0118376711504565</v>
      </c>
      <c r="ED418" s="60" t="n">
        <f aca="false">(DM418-EC418)/EB418</f>
        <v>-0.00347297415783941</v>
      </c>
      <c r="EE418" s="60" t="n">
        <f aca="false">ED418^2-4*EC418</f>
        <v>-0.0473386230523248</v>
      </c>
      <c r="EF418" s="60" t="n">
        <f aca="false">IF(EE418&gt;=0,(ED418+IF(ED418&gt;=0,1,-1)*SQRT(EE418))/2,0)</f>
        <v>0</v>
      </c>
      <c r="EG418" s="60" t="n">
        <f aca="false">IF(AND(EE418&gt;=0,EF418&lt;&gt;0),MIN(EF418,EC418/EF418),-1)</f>
        <v>-1</v>
      </c>
      <c r="EH418" s="60" t="n">
        <f aca="false">AND(EE418&gt;=0,EG418&gt;DK418,ABS(EB418-EG418)&gt;=0.00005*MAX(EB418,EG418))</f>
        <v>0</v>
      </c>
      <c r="EI418" s="60" t="n">
        <f aca="false">IF(EH418,IFERROR((((EG418+DL418)*EG418+DM418)*EG418+DN418)/((3*EG418+2*DL418)*EG418+DM418),0),0)</f>
        <v>0</v>
      </c>
      <c r="EJ418" s="60" t="n">
        <f aca="false">IF(ABS(EI418)&lt;0.1*ABS(EG418),EG418-EI418,EG418)</f>
        <v>-1</v>
      </c>
      <c r="EK418" s="60" t="n">
        <f aca="false">IF(EH418,IFERROR((((EJ418+DL418)*EJ418+DM418)*EJ418+DN418)/((3*EJ418+2*DL418)*EJ418+DM418),0),0)</f>
        <v>0</v>
      </c>
      <c r="EL418" s="60" t="n">
        <f aca="false">IF(ABS(EK418)&lt;0.1*ABS(EJ418),EJ418-EK418,EJ418)</f>
        <v>-1</v>
      </c>
      <c r="EM418" s="60" t="n">
        <f aca="false">IF(EH418,MAX(EB418,EL418),EB418)</f>
        <v>0.91158844983184</v>
      </c>
      <c r="EN418" s="60" t="n">
        <f aca="false">IF(EH418,MIN(EB418,EL418),-1)</f>
        <v>-1</v>
      </c>
      <c r="EO418" s="60" t="n">
        <f aca="false">CHOOSE($C$7,DJ418/EM418,DJ418/DK418*LN(1+DK418/EM418),DJ418/(2*SQRT(2)*DK418)*LN((EM418+(1+SQRT(2))*DK418)/(EM418+(1-SQRT(2))*DK418)))</f>
        <v>0.218240791233887</v>
      </c>
      <c r="EP418" s="60" t="n">
        <f aca="false">EM418-1-LN(EM418-DK418)-EO418</f>
        <v>-0.107840271021729</v>
      </c>
      <c r="EQ418" s="60" t="n">
        <f aca="false">IF(EH418,CHOOSE($C$7,DJ418/EN418,DJ418/DK418*LN(1+DK418/EN418),DJ418/(2*SQRT(2)*DK418)*LN((EN418+(1+SQRT(2))*DK418)/(EN418+(1-SQRT(2))*DK418))),0)</f>
        <v>0</v>
      </c>
      <c r="ER418" s="60" t="n">
        <f aca="false">IF(EH418,EN418-1-LN(EN418-DK418)-EQ418,0)</f>
        <v>0</v>
      </c>
      <c r="ES418" s="60" t="n">
        <f aca="false">AND(EH418,ER418&lt;EP418)</f>
        <v>0</v>
      </c>
      <c r="ET418" s="60" t="n">
        <f aca="false">IF(ES418,EN418,EM418)</f>
        <v>0.91158844983184</v>
      </c>
      <c r="EU418" s="60" t="n">
        <f aca="false">IF(ES418,EQ418,EO418)</f>
        <v>0.218240791233887</v>
      </c>
      <c r="EV418" s="60" t="n">
        <f aca="false">LN(ET418-DK418)</f>
        <v>-0.198812070380318</v>
      </c>
      <c r="EW418" s="60" t="n">
        <f aca="false">$E$27/DI418*(ET418-1)-EV418-EU418*(2*CV418/DH418-$E$27/DI418)</f>
        <v>-0.107840271021729</v>
      </c>
      <c r="EX418" s="60" t="n">
        <f aca="false">$F$27/DI418*(ET418-1)-EV418-EU418*(2*CW418/DH418-$F$27/DI418)</f>
        <v>0.198812070380318</v>
      </c>
      <c r="EY418" s="60" t="n">
        <f aca="false">$G$27/DI418*(ET418-1)-EV418-EU418*(2*CX418/DH418-$G$27/DI418)</f>
        <v>0.198812070380318</v>
      </c>
      <c r="EZ418" s="60" t="n">
        <f aca="false">$H$27/DI418*(ET418-1)-EV418-EU418*(2*CY418/DH418-$H$27/DI418)</f>
        <v>0.198812070380318</v>
      </c>
      <c r="FA418" s="60" t="n">
        <f aca="false">$I$27/DI418*(ET418-1)-EV418-EU418*(2*CZ418/DH418-$I$27/DI418)</f>
        <v>0.198812070380318</v>
      </c>
      <c r="FB418" s="60" t="n">
        <f aca="false">$J$27/DI418*(ET418-1)-EV418-EU418*(2*DA418/DH418-$J$27/DI418)</f>
        <v>0.198812070380318</v>
      </c>
      <c r="FC418" s="60" t="n">
        <f aca="false">$K$27/DI418*(ET418-1)-EV418-EU418*(2*DB418/DH418-$K$27/DI418)</f>
        <v>0.198812070380318</v>
      </c>
      <c r="FD418" s="60" t="n">
        <f aca="false">$L$27/DI418*(ET418-1)-EV418-EU418*(2*DC418/DH418-$L$27/DI418)</f>
        <v>0.198812070380318</v>
      </c>
      <c r="FE418" s="60" t="n">
        <f aca="false">$M$27/DI418*(ET418-1)-EV418-EU418*(2*DD418/DH418-$M$27/DI418)</f>
        <v>0.198812070380318</v>
      </c>
      <c r="FF418" s="60" t="n">
        <f aca="false">$N$27/DI418*(ET418-1)-EV418-EU418*(2*DE418/DH418-$N$27/DI418)</f>
        <v>0.198812070380318</v>
      </c>
      <c r="FG418" s="60" t="n">
        <f aca="false">$O$27/DI418*(ET418-1)-EV418-EU418*(2*DF418/DH418-$O$27/DI418)</f>
        <v>0.198812070380318</v>
      </c>
      <c r="FH418" s="60" t="n">
        <f aca="false">$P$27/DI418*(ET418-1)-EV418-EU418*(2*DG418/DH418-$P$27/DI418)</f>
        <v>0.198812070380318</v>
      </c>
      <c r="FI418" s="60" t="n">
        <f aca="false">DK418/ET418&gt;$C$22</f>
        <v>0</v>
      </c>
      <c r="FJ418" s="60" t="n">
        <f aca="false">$E$28*SUMPRODUCT($E$31:$P$31,CJ418:CU418,$E$28:$P$28)</f>
        <v>0.184416866619846</v>
      </c>
      <c r="FK418" s="60" t="n">
        <f aca="false">$F$28*SUMPRODUCT($E$32:$P$32,CJ418:CU418,$E$28:$P$28)</f>
        <v>0</v>
      </c>
      <c r="FL418" s="60" t="n">
        <f aca="false">$G$28*SUMPRODUCT($E$33:$P$33,CJ418:CU418,$E$28:$P$28)</f>
        <v>0</v>
      </c>
      <c r="FM418" s="60" t="n">
        <f aca="false">$H$28*SUMPRODUCT($E$34:$P$34,CJ418:CU418,$E$28:$P$28)</f>
        <v>0</v>
      </c>
      <c r="FN418" s="60" t="n">
        <f aca="false">$I$28*SUMPRODUCT($E$35:$P$35,CJ418:CU418,$E$28:$P$28)</f>
        <v>0</v>
      </c>
      <c r="FO418" s="60" t="n">
        <f aca="false">$J$28*SUMPRODUCT($E$36:$P$36,CJ418:CU418,$E$28:$P$28)</f>
        <v>0</v>
      </c>
      <c r="FP418" s="60" t="n">
        <f aca="false">$K$28*SUMPRODUCT($E$37:$P$37,CJ418:CU418,$E$28:$P$28)</f>
        <v>0</v>
      </c>
      <c r="FQ418" s="60" t="n">
        <f aca="false">$L$28*SUMPRODUCT($E$38:$P$38,CJ418:CU418,$E$28:$P$28)</f>
        <v>0</v>
      </c>
      <c r="FR418" s="60" t="n">
        <f aca="false">$M$28*SUMPRODUCT($E$39:$P$39,CJ418:CU418,$E$28:$P$28)</f>
        <v>0</v>
      </c>
      <c r="FS418" s="60" t="n">
        <f aca="false">$N$28*SUMPRODUCT($E$40:$P$40,CJ418:CU418,$E$28:$P$28)</f>
        <v>0</v>
      </c>
      <c r="FT418" s="60" t="n">
        <f aca="false">$O$28*SUMPRODUCT($E$41:$P$41,CJ418:CU418,$E$28:$P$28)</f>
        <v>0</v>
      </c>
      <c r="FU418" s="60" t="n">
        <f aca="false">$P$28*SUMPRODUCT($E$42:$P$42,CJ418:CU418,$E$28:$P$28)</f>
        <v>0</v>
      </c>
      <c r="FV418" s="60" t="n">
        <f aca="false">SUMPRODUCT(CJ418:CU418,FJ418:FU418)</f>
        <v>0.184416866619846</v>
      </c>
      <c r="FW418" s="60" t="n">
        <f aca="false">SUMPRODUCT(CJ418:CU418,$E$27:$P$27)</f>
        <v>2.67389635063809E-005</v>
      </c>
      <c r="FX418" s="60" t="n">
        <f aca="false">FV418*$C$9/($C$10*$C$8)^2</f>
        <v>0.21776909410545</v>
      </c>
      <c r="FY418" s="60" t="n">
        <f aca="false">FW418*$C$9/($C$10*$C$8)</f>
        <v>0.0918845243259994</v>
      </c>
      <c r="FZ418" s="60" t="n">
        <f aca="false">CHOOSE($C$7,-(1+FY418),-1,-(1-FY418))</f>
        <v>-0.908115475674001</v>
      </c>
      <c r="GA418" s="60" t="n">
        <f aca="false">CHOOSE($C$7,FX418,FX418-FY418-FY418^2,FX418-3*FY418^2-2*FY418)</f>
        <v>0.00867174802160559</v>
      </c>
      <c r="GB418" s="60" t="n">
        <f aca="false">CHOOSE($C$7,-FX418*FY418,-FX418*FY418,-(FX418*FY418-FY418^2-FY418^3))</f>
        <v>-0.0107910842936637</v>
      </c>
      <c r="GC418" s="60" t="n">
        <f aca="false">GA418-FZ418^2/3</f>
        <v>-0.266219491031267</v>
      </c>
      <c r="GD418" s="60" t="n">
        <f aca="false">2*FZ418^3/27-FZ418*GA418/3+GB418</f>
        <v>-0.0636400988362784</v>
      </c>
      <c r="GE418" s="60" t="n">
        <f aca="false">GD418^2/4+GC418^3/27</f>
        <v>0.000313710901361829</v>
      </c>
      <c r="GF418" s="60" t="n">
        <f aca="false">-GD418/2-IF(GD418&gt;=0,1,-1)*SQRT(MAX(GE418,0))</f>
        <v>0.0495319352963236</v>
      </c>
      <c r="GG418" s="60" t="n">
        <f aca="false">SIGN(GF418)*ABS(GF418)^(1/3)</f>
        <v>0.367249967174439</v>
      </c>
      <c r="GH418" s="60" t="n">
        <f aca="false">IF(GG418=0,0,GG418-GC418/(3*GG418))</f>
        <v>0.60888329127384</v>
      </c>
      <c r="GI418" s="60" t="n">
        <f aca="false">2*SQRT(MAX(-GC418,0)/3)</f>
        <v>0.595784626668918</v>
      </c>
      <c r="GJ418" s="60" t="n">
        <f aca="false">ACOS(IF(GI418=0,0,MAX(-1,MIN(1,3*GD418/(GC418*GI418)))))</f>
        <v>0</v>
      </c>
      <c r="GK418" s="60" t="n">
        <f aca="false">GI418*COS(GJ418/3)</f>
        <v>0.595784626668918</v>
      </c>
      <c r="GL418" s="60" t="n">
        <f aca="false">IF(GE418&lt;0,GK418,GH418)-FZ418/3</f>
        <v>0.91158844983184</v>
      </c>
      <c r="GM418" s="60" t="n">
        <f aca="false">IFERROR((((GL418+FZ418)*GL418+GA418)*GL418+GB418)/((3*GL418+2*FZ418)*GL418+GA418),0)</f>
        <v>0</v>
      </c>
      <c r="GN418" s="60" t="n">
        <f aca="false">IF(ABS(GM418)&lt;0.1*ABS(GL418),GL418-GM418,GL418)</f>
        <v>0.91158844983184</v>
      </c>
      <c r="GO418" s="60" t="n">
        <f aca="false">IFERROR((((GN418+FZ418)*GN418+GA418)*GN418+GB418)/((3*GN418+2*FZ418)*GN418+GA418),0)</f>
        <v>0</v>
      </c>
      <c r="GP418" s="60" t="n">
        <f aca="false">IF(ABS(GO418)&lt;0.1*ABS(GN418),GN418-GO418,GN418)</f>
        <v>0.91158844983184</v>
      </c>
      <c r="GQ418" s="60" t="n">
        <f aca="false">-GB418/GP418</f>
        <v>0.0118376711504565</v>
      </c>
      <c r="GR418" s="60" t="n">
        <f aca="false">(GA418-GQ418)/GP418</f>
        <v>-0.00347297415783941</v>
      </c>
      <c r="GS418" s="60" t="n">
        <f aca="false">GR418^2-4*GQ418</f>
        <v>-0.0473386230523248</v>
      </c>
      <c r="GT418" s="60" t="n">
        <f aca="false">IF(GS418&gt;=0,(GR418+IF(GR418&gt;=0,1,-1)*SQRT(GS418))/2,0)</f>
        <v>0</v>
      </c>
      <c r="GU418" s="60" t="n">
        <f aca="false">IF(AND(GS418&gt;=0,GT418&lt;&gt;0),MIN(GT418,GQ418/GT418),-1)</f>
        <v>-1</v>
      </c>
      <c r="GV418" s="60" t="n">
        <f aca="false">AND(GS418&gt;=0,GU418&gt;FY418,ABS(GP418-GU418)&gt;=0.00005*MAX(GP418,GU418))</f>
        <v>0</v>
      </c>
      <c r="GW418" s="60" t="n">
        <f aca="false">IF(GV418,IFERROR((((GU418+FZ418)*GU418+GA418)*GU418+GB418)/((3*GU418+2*FZ418)*GU418+GA418),0),0)</f>
        <v>0</v>
      </c>
      <c r="GX418" s="60" t="n">
        <f aca="false">IF(ABS(GW418)&lt;0.1*ABS(GU418),GU418-GW418,GU418)</f>
        <v>-1</v>
      </c>
      <c r="GY418" s="60" t="n">
        <f aca="false">IF(GV418,IFERROR((((GX418+FZ418)*GX418+GA418)*GX418+GB418)/((3*GX418+2*FZ418)*GX418+GA418),0),0)</f>
        <v>0</v>
      </c>
      <c r="GZ418" s="60" t="n">
        <f aca="false">IF(ABS(GY418)&lt;0.1*ABS(GX418),GX418-GY418,GX418)</f>
        <v>-1</v>
      </c>
      <c r="HA418" s="60" t="n">
        <f aca="false">IF(GV418,MAX(GP418,GZ418),GP418)</f>
        <v>0.91158844983184</v>
      </c>
      <c r="HB418" s="60" t="n">
        <f aca="false">IF(GV418,MIN(GP418,GZ418),-1)</f>
        <v>-1</v>
      </c>
      <c r="HC418" s="60" t="n">
        <f aca="false">CHOOSE($C$7,FX418/HA418,FX418/FY418*LN(1+FY418/HA418),FX418/(2*SQRT(2)*FY418)*LN((HA418+(1+SQRT(2))*FY418)/(HA418+(1-SQRT(2))*FY418)))</f>
        <v>0.218240791233887</v>
      </c>
      <c r="HD418" s="60" t="n">
        <f aca="false">HA418-1-LN(HA418-FY418)-HC418</f>
        <v>-0.107840271021729</v>
      </c>
      <c r="HE418" s="60" t="n">
        <f aca="false">IF(GV418,CHOOSE($C$7,FX418/HB418,FX418/FY418*LN(1+FY418/HB418),FX418/(2*SQRT(2)*FY418)*LN((HB418+(1+SQRT(2))*FY418)/(HB418+(1-SQRT(2))*FY418))),0)</f>
        <v>0</v>
      </c>
      <c r="HF418" s="60" t="n">
        <f aca="false">IF(GV418,HB418-1-LN(HB418-FY418)-HE418,0)</f>
        <v>0</v>
      </c>
      <c r="HG418" s="60" t="n">
        <f aca="false">AND(GV418,HF418&lt;HD418)</f>
        <v>0</v>
      </c>
      <c r="HH418" s="60" t="n">
        <f aca="false">IF(HG418,HB418,HA418)</f>
        <v>0.91158844983184</v>
      </c>
      <c r="HI418" s="60" t="n">
        <f aca="false">IF(HG418,HE418,HC418)</f>
        <v>0.218240791233887</v>
      </c>
      <c r="HJ418" s="60" t="n">
        <f aca="false">LN(HH418-FY418)</f>
        <v>-0.198812070380318</v>
      </c>
      <c r="HK418" s="60" t="n">
        <f aca="false">$E$27/FW418*(HH418-1)-HJ418-HI418*(2*FJ418/FV418-$E$27/FW418)</f>
        <v>-0.107840271021729</v>
      </c>
      <c r="HL418" s="60" t="n">
        <f aca="false">$F$27/FW418*(HH418-1)-HJ418-HI418*(2*FK418/FV418-$F$27/FW418)</f>
        <v>0.198812070380318</v>
      </c>
      <c r="HM418" s="60" t="n">
        <f aca="false">$G$27/FW418*(HH418-1)-HJ418-HI418*(2*FL418/FV418-$G$27/FW418)</f>
        <v>0.198812070380318</v>
      </c>
      <c r="HN418" s="60" t="n">
        <f aca="false">$H$27/FW418*(HH418-1)-HJ418-HI418*(2*FM418/FV418-$H$27/FW418)</f>
        <v>0.198812070380318</v>
      </c>
      <c r="HO418" s="60" t="n">
        <f aca="false">$I$27/FW418*(HH418-1)-HJ418-HI418*(2*FN418/FV418-$I$27/FW418)</f>
        <v>0.198812070380318</v>
      </c>
      <c r="HP418" s="60" t="n">
        <f aca="false">$J$27/FW418*(HH418-1)-HJ418-HI418*(2*FO418/FV418-$J$27/FW418)</f>
        <v>0.198812070380318</v>
      </c>
      <c r="HQ418" s="60" t="n">
        <f aca="false">$K$27/FW418*(HH418-1)-HJ418-HI418*(2*FP418/FV418-$K$27/FW418)</f>
        <v>0.198812070380318</v>
      </c>
      <c r="HR418" s="60" t="n">
        <f aca="false">$L$27/FW418*(HH418-1)-HJ418-HI418*(2*FQ418/FV418-$L$27/FW418)</f>
        <v>0.198812070380318</v>
      </c>
      <c r="HS418" s="60" t="n">
        <f aca="false">$M$27/FW418*(HH418-1)-HJ418-HI418*(2*FR418/FV418-$M$27/FW418)</f>
        <v>0.198812070380318</v>
      </c>
      <c r="HT418" s="60" t="n">
        <f aca="false">$N$27/FW418*(HH418-1)-HJ418-HI418*(2*FS418/FV418-$N$27/FW418)</f>
        <v>0.198812070380318</v>
      </c>
      <c r="HU418" s="60" t="n">
        <f aca="false">$O$27/FW418*(HH418-1)-HJ418-HI418*(2*FT418/FV418-$O$27/FW418)</f>
        <v>0.198812070380318</v>
      </c>
      <c r="HV418" s="60" t="n">
        <f aca="false">$P$27/FW418*(HH418-1)-HJ418-HI418*(2*FU418/FV418-$P$27/FW418)</f>
        <v>0.198812070380318</v>
      </c>
      <c r="HW418" s="60" t="n">
        <f aca="false">FY418/HH418&gt;$C$22</f>
        <v>0</v>
      </c>
      <c r="HX418" s="60" t="n">
        <f aca="false">IF($E$13&gt;0,MAX(-300,MIN(300,EW418-HK418)),0)</f>
        <v>0</v>
      </c>
      <c r="HY418" s="60" t="n">
        <f aca="false">IF($F$13&gt;0,MAX(-300,MIN(300,EX418-HL418)),0)</f>
        <v>0</v>
      </c>
      <c r="HZ418" s="60" t="n">
        <f aca="false">IF($G$13&gt;0,MAX(-300,MIN(300,EY418-HM418)),0)</f>
        <v>0</v>
      </c>
      <c r="IA418" s="60" t="n">
        <f aca="false">IF($H$13&gt;0,MAX(-300,MIN(300,EZ418-HN418)),0)</f>
        <v>0</v>
      </c>
      <c r="IB418" s="60" t="n">
        <f aca="false">IF($I$13&gt;0,MAX(-300,MIN(300,FA418-HO418)),0)</f>
        <v>0</v>
      </c>
      <c r="IC418" s="60" t="n">
        <f aca="false">IF($J$13&gt;0,MAX(-300,MIN(300,FB418-HP418)),0)</f>
        <v>0</v>
      </c>
      <c r="ID418" s="60" t="n">
        <f aca="false">IF($K$13&gt;0,MAX(-300,MIN(300,FC418-HQ418)),0)</f>
        <v>0</v>
      </c>
      <c r="IE418" s="60" t="n">
        <f aca="false">IF($L$13&gt;0,MAX(-300,MIN(300,FD418-HR418)),0)</f>
        <v>0</v>
      </c>
      <c r="IF418" s="60" t="n">
        <f aca="false">IF($M$13&gt;0,MAX(-300,MIN(300,FE418-HS418)),0)</f>
        <v>0</v>
      </c>
      <c r="IG418" s="60" t="n">
        <f aca="false">IF($N$13&gt;0,MAX(-300,MIN(300,FF418-HT418)),0)</f>
        <v>0</v>
      </c>
      <c r="IH418" s="60" t="n">
        <f aca="false">IF($O$13&gt;0,MAX(-300,MIN(300,FG418-HU418)),0)</f>
        <v>0</v>
      </c>
      <c r="II418" s="60" t="n">
        <f aca="false">IF($P$13&gt;0,MAX(-300,MIN(300,FH418-HV418)),0)</f>
        <v>0</v>
      </c>
      <c r="IJ418" s="60" t="n">
        <f aca="false">SUMXMY2(HX418:II418,B418:M418)</f>
        <v>0</v>
      </c>
      <c r="IK418" s="60" t="n">
        <f aca="false">SUMSQ(B418:M418)</f>
        <v>0</v>
      </c>
    </row>
    <row r="419" customFormat="false" ht="15" hidden="false" customHeight="false" outlineLevel="0" collapsed="false">
      <c r="A419" s="59" t="n">
        <v>58</v>
      </c>
      <c r="B419" s="60" t="n">
        <f aca="false">HX418</f>
        <v>0</v>
      </c>
      <c r="C419" s="60" t="n">
        <f aca="false">HY418</f>
        <v>0</v>
      </c>
      <c r="D419" s="60" t="n">
        <f aca="false">HZ418</f>
        <v>0</v>
      </c>
      <c r="E419" s="60" t="n">
        <f aca="false">IA418</f>
        <v>0</v>
      </c>
      <c r="F419" s="60" t="n">
        <f aca="false">IB418</f>
        <v>0</v>
      </c>
      <c r="G419" s="60" t="n">
        <f aca="false">IC418</f>
        <v>0</v>
      </c>
      <c r="H419" s="60" t="n">
        <f aca="false">ID418</f>
        <v>0</v>
      </c>
      <c r="I419" s="60" t="n">
        <f aca="false">IE418</f>
        <v>0</v>
      </c>
      <c r="J419" s="60" t="n">
        <f aca="false">IF418</f>
        <v>0</v>
      </c>
      <c r="K419" s="60" t="n">
        <f aca="false">IG418</f>
        <v>0</v>
      </c>
      <c r="L419" s="60" t="n">
        <f aca="false">IH418</f>
        <v>0</v>
      </c>
      <c r="M419" s="60" t="n">
        <f aca="false">II418</f>
        <v>0</v>
      </c>
      <c r="N419" s="60" t="n">
        <f aca="false">EXP(B419)</f>
        <v>1</v>
      </c>
      <c r="O419" s="60" t="n">
        <f aca="false">EXP(C419)</f>
        <v>1</v>
      </c>
      <c r="P419" s="60" t="n">
        <f aca="false">EXP(D419)</f>
        <v>1</v>
      </c>
      <c r="Q419" s="60" t="n">
        <f aca="false">EXP(E419)</f>
        <v>1</v>
      </c>
      <c r="R419" s="60" t="n">
        <f aca="false">EXP(F419)</f>
        <v>1</v>
      </c>
      <c r="S419" s="60" t="n">
        <f aca="false">EXP(G419)</f>
        <v>1</v>
      </c>
      <c r="T419" s="60" t="n">
        <f aca="false">EXP(H419)</f>
        <v>1</v>
      </c>
      <c r="U419" s="60" t="n">
        <f aca="false">EXP(I419)</f>
        <v>1</v>
      </c>
      <c r="V419" s="60" t="n">
        <f aca="false">EXP(J419)</f>
        <v>1</v>
      </c>
      <c r="W419" s="60" t="n">
        <f aca="false">EXP(K419)</f>
        <v>1</v>
      </c>
      <c r="X419" s="60" t="n">
        <f aca="false">EXP(L419)</f>
        <v>1</v>
      </c>
      <c r="Y419" s="60" t="n">
        <f aca="false">EXP(M419)</f>
        <v>1</v>
      </c>
      <c r="Z419" s="60" t="n">
        <f aca="false">MAX(N419:Y419)</f>
        <v>1</v>
      </c>
      <c r="AA419" s="60" t="n">
        <f aca="false">MIN(N419:Y419)</f>
        <v>1</v>
      </c>
      <c r="AB419" s="60" t="n">
        <f aca="false">AND(Z419&gt;1,AA419&lt;1)</f>
        <v>0</v>
      </c>
      <c r="AC419" s="60" t="n">
        <f aca="false">IF(AB419,1/(1-Z419),0)</f>
        <v>0</v>
      </c>
      <c r="AD419" s="60" t="n">
        <f aca="false">IF(AB419,1/(1-AA419),1)</f>
        <v>1</v>
      </c>
      <c r="AE419" s="60" t="n">
        <f aca="false">IF(AB419,MIN(MAX(BI418,AC419+0.000000001*(AD419-AC419)),AD419-0.000000001*(AD419-AC419)),IF(AA419&gt;=1,1,0))</f>
        <v>1</v>
      </c>
      <c r="AF419" s="60" t="n">
        <f aca="false">SUMPRODUCT($E$13:$P$13*(N419:Y419-1)/(1+AE419*(N419:Y419-1)))</f>
        <v>0</v>
      </c>
      <c r="AG419" s="60" t="n">
        <f aca="false">-SUMPRODUCT($E$13:$P$13*(N419:Y419-1)^2/(1+AE419*(N419:Y419-1))^2)</f>
        <v>-0</v>
      </c>
      <c r="AH419" s="60" t="n">
        <f aca="false">IF(OR(NOT(AB419),AG419=0),AE419,IF(AE419-AF419/AG419&lt;=AC419,(AE419+AC419)/2,IF(AE419-AF419/AG419&gt;=AD419,(AE419+AD419)/2,AE419-AF419/AG419)))</f>
        <v>1</v>
      </c>
      <c r="AI419" s="60" t="n">
        <f aca="false">SUMPRODUCT($E$13:$P$13*(N419:Y419-1)/(1+AH419*(N419:Y419-1)))</f>
        <v>0</v>
      </c>
      <c r="AJ419" s="60" t="n">
        <f aca="false">-SUMPRODUCT($E$13:$P$13*(N419:Y419-1)^2/(1+AH419*(N419:Y419-1))^2)</f>
        <v>-0</v>
      </c>
      <c r="AK419" s="60" t="n">
        <f aca="false">IF(OR(NOT(AB419),AJ419=0),AH419,IF(AH419-AI419/AJ419&lt;=AC419,(AH419+AC419)/2,IF(AH419-AI419/AJ419&gt;=AD419,(AH419+AD419)/2,AH419-AI419/AJ419)))</f>
        <v>1</v>
      </c>
      <c r="AL419" s="60" t="n">
        <f aca="false">SUMPRODUCT($E$13:$P$13*(N419:Y419-1)/(1+AK419*(N419:Y419-1)))</f>
        <v>0</v>
      </c>
      <c r="AM419" s="60" t="n">
        <f aca="false">-SUMPRODUCT($E$13:$P$13*(N419:Y419-1)^2/(1+AK419*(N419:Y419-1))^2)</f>
        <v>-0</v>
      </c>
      <c r="AN419" s="60" t="n">
        <f aca="false">IF(OR(NOT(AB419),AM419=0),AK419,IF(AK419-AL419/AM419&lt;=AC419,(AK419+AC419)/2,IF(AK419-AL419/AM419&gt;=AD419,(AK419+AD419)/2,AK419-AL419/AM419)))</f>
        <v>1</v>
      </c>
      <c r="AO419" s="60" t="n">
        <f aca="false">SUMPRODUCT($E$13:$P$13*(N419:Y419-1)/(1+AN419*(N419:Y419-1)))</f>
        <v>0</v>
      </c>
      <c r="AP419" s="60" t="n">
        <f aca="false">-SUMPRODUCT($E$13:$P$13*(N419:Y419-1)^2/(1+AN419*(N419:Y419-1))^2)</f>
        <v>-0</v>
      </c>
      <c r="AQ419" s="60" t="n">
        <f aca="false">IF(OR(NOT(AB419),AP419=0),AN419,IF(AN419-AO419/AP419&lt;=AC419,(AN419+AC419)/2,IF(AN419-AO419/AP419&gt;=AD419,(AN419+AD419)/2,AN419-AO419/AP419)))</f>
        <v>1</v>
      </c>
      <c r="AR419" s="60" t="n">
        <f aca="false">SUMPRODUCT($E$13:$P$13*(N419:Y419-1)/(1+AQ419*(N419:Y419-1)))</f>
        <v>0</v>
      </c>
      <c r="AS419" s="60" t="n">
        <f aca="false">-SUMPRODUCT($E$13:$P$13*(N419:Y419-1)^2/(1+AQ419*(N419:Y419-1))^2)</f>
        <v>-0</v>
      </c>
      <c r="AT419" s="60" t="n">
        <f aca="false">IF(OR(NOT(AB419),AS419=0),AQ419,IF(AQ419-AR419/AS419&lt;=AC419,(AQ419+AC419)/2,IF(AQ419-AR419/AS419&gt;=AD419,(AQ419+AD419)/2,AQ419-AR419/AS419)))</f>
        <v>1</v>
      </c>
      <c r="AU419" s="60" t="n">
        <f aca="false">SUMPRODUCT($E$13:$P$13*(N419:Y419-1)/(1+AT419*(N419:Y419-1)))</f>
        <v>0</v>
      </c>
      <c r="AV419" s="60" t="n">
        <f aca="false">-SUMPRODUCT($E$13:$P$13*(N419:Y419-1)^2/(1+AT419*(N419:Y419-1))^2)</f>
        <v>-0</v>
      </c>
      <c r="AW419" s="60" t="n">
        <f aca="false">IF(OR(NOT(AB419),AV419=0),AT419,IF(AT419-AU419/AV419&lt;=AC419,(AT419+AC419)/2,IF(AT419-AU419/AV419&gt;=AD419,(AT419+AD419)/2,AT419-AU419/AV419)))</f>
        <v>1</v>
      </c>
      <c r="AX419" s="60" t="n">
        <f aca="false">SUMPRODUCT($E$13:$P$13*(N419:Y419-1)/(1+AW419*(N419:Y419-1)))</f>
        <v>0</v>
      </c>
      <c r="AY419" s="60" t="n">
        <f aca="false">-SUMPRODUCT($E$13:$P$13*(N419:Y419-1)^2/(1+AW419*(N419:Y419-1))^2)</f>
        <v>-0</v>
      </c>
      <c r="AZ419" s="60" t="n">
        <f aca="false">IF(OR(NOT(AB419),AY419=0),AW419,IF(AW419-AX419/AY419&lt;=AC419,(AW419+AC419)/2,IF(AW419-AX419/AY419&gt;=AD419,(AW419+AD419)/2,AW419-AX419/AY419)))</f>
        <v>1</v>
      </c>
      <c r="BA419" s="60" t="n">
        <f aca="false">SUMPRODUCT($E$13:$P$13*(N419:Y419-1)/(1+AZ419*(N419:Y419-1)))</f>
        <v>0</v>
      </c>
      <c r="BB419" s="60" t="n">
        <f aca="false">-SUMPRODUCT($E$13:$P$13*(N419:Y419-1)^2/(1+AZ419*(N419:Y419-1))^2)</f>
        <v>-0</v>
      </c>
      <c r="BC419" s="60" t="n">
        <f aca="false">IF(OR(NOT(AB419),BB419=0),AZ419,IF(AZ419-BA419/BB419&lt;=AC419,(AZ419+AC419)/2,IF(AZ419-BA419/BB419&gt;=AD419,(AZ419+AD419)/2,AZ419-BA419/BB419)))</f>
        <v>1</v>
      </c>
      <c r="BD419" s="60" t="n">
        <f aca="false">SUMPRODUCT($E$13:$P$13*(N419:Y419-1)/(1+BC419*(N419:Y419-1)))</f>
        <v>0</v>
      </c>
      <c r="BE419" s="60" t="n">
        <f aca="false">-SUMPRODUCT($E$13:$P$13*(N419:Y419-1)^2/(1+BC419*(N419:Y419-1))^2)</f>
        <v>-0</v>
      </c>
      <c r="BF419" s="60" t="n">
        <f aca="false">IF(OR(NOT(AB419),BE419=0),BC419,IF(BC419-BD419/BE419&lt;=AC419,(BC419+AC419)/2,IF(BC419-BD419/BE419&gt;=AD419,(BC419+AD419)/2,BC419-BD419/BE419)))</f>
        <v>1</v>
      </c>
      <c r="BG419" s="60" t="n">
        <f aca="false">SUMPRODUCT($E$13:$P$13*(N419:Y419-1)/(1+BF419*(N419:Y419-1)))</f>
        <v>0</v>
      </c>
      <c r="BH419" s="60" t="n">
        <f aca="false">-SUMPRODUCT($E$13:$P$13*(N419:Y419-1)^2/(1+BF419*(N419:Y419-1))^2)</f>
        <v>-0</v>
      </c>
      <c r="BI419" s="60" t="n">
        <f aca="false">IF(OR(NOT(AB419),BH419=0),BF419,IF(BF419-BG419/BH419&lt;=AC419,(BF419+AC419)/2,IF(BF419-BG419/BH419&gt;=AD419,(BF419+AD419)/2,BF419-BG419/BH419)))</f>
        <v>1</v>
      </c>
      <c r="BJ419" s="60" t="n">
        <f aca="false">$E$13/(1+BI419*(N419-1))</f>
        <v>1</v>
      </c>
      <c r="BK419" s="60" t="n">
        <f aca="false">$F$13/(1+BI419*(O419-1))</f>
        <v>0</v>
      </c>
      <c r="BL419" s="60" t="n">
        <f aca="false">$G$13/(1+BI419*(P419-1))</f>
        <v>0</v>
      </c>
      <c r="BM419" s="60" t="n">
        <f aca="false">$H$13/(1+BI419*(Q419-1))</f>
        <v>0</v>
      </c>
      <c r="BN419" s="60" t="n">
        <f aca="false">$I$13/(1+BI419*(R419-1))</f>
        <v>0</v>
      </c>
      <c r="BO419" s="60" t="n">
        <f aca="false">$J$13/(1+BI419*(S419-1))</f>
        <v>0</v>
      </c>
      <c r="BP419" s="60" t="n">
        <f aca="false">$K$13/(1+BI419*(T419-1))</f>
        <v>0</v>
      </c>
      <c r="BQ419" s="60" t="n">
        <f aca="false">$L$13/(1+BI419*(U419-1))</f>
        <v>0</v>
      </c>
      <c r="BR419" s="60" t="n">
        <f aca="false">$M$13/(1+BI419*(V419-1))</f>
        <v>0</v>
      </c>
      <c r="BS419" s="60" t="n">
        <f aca="false">$N$13/(1+BI419*(W419-1))</f>
        <v>0</v>
      </c>
      <c r="BT419" s="60" t="n">
        <f aca="false">$O$13/(1+BI419*(X419-1))</f>
        <v>0</v>
      </c>
      <c r="BU419" s="60" t="n">
        <f aca="false">$P$13/(1+BI419*(Y419-1))</f>
        <v>0</v>
      </c>
      <c r="BV419" s="60" t="n">
        <f aca="false">SUM(BJ419:BU419)</f>
        <v>1</v>
      </c>
      <c r="BW419" s="60" t="n">
        <f aca="false">SUMPRODUCT(N419:Y419,BJ419:BU419)</f>
        <v>1</v>
      </c>
      <c r="BX419" s="60" t="n">
        <f aca="false">BJ419/BV419</f>
        <v>1</v>
      </c>
      <c r="BY419" s="60" t="n">
        <f aca="false">BK419/BV419</f>
        <v>0</v>
      </c>
      <c r="BZ419" s="60" t="n">
        <f aca="false">BL419/BV419</f>
        <v>0</v>
      </c>
      <c r="CA419" s="60" t="n">
        <f aca="false">BM419/BV419</f>
        <v>0</v>
      </c>
      <c r="CB419" s="60" t="n">
        <f aca="false">BN419/BV419</f>
        <v>0</v>
      </c>
      <c r="CC419" s="60" t="n">
        <f aca="false">BO419/BV419</f>
        <v>0</v>
      </c>
      <c r="CD419" s="60" t="n">
        <f aca="false">BP419/BV419</f>
        <v>0</v>
      </c>
      <c r="CE419" s="60" t="n">
        <f aca="false">BQ419/BV419</f>
        <v>0</v>
      </c>
      <c r="CF419" s="60" t="n">
        <f aca="false">BR419/BV419</f>
        <v>0</v>
      </c>
      <c r="CG419" s="60" t="n">
        <f aca="false">BS419/BV419</f>
        <v>0</v>
      </c>
      <c r="CH419" s="60" t="n">
        <f aca="false">BT419/BV419</f>
        <v>0</v>
      </c>
      <c r="CI419" s="60" t="n">
        <f aca="false">BU419/BV419</f>
        <v>0</v>
      </c>
      <c r="CJ419" s="60" t="n">
        <f aca="false">N419*BJ419/BW419</f>
        <v>1</v>
      </c>
      <c r="CK419" s="60" t="n">
        <f aca="false">O419*BK419/BW419</f>
        <v>0</v>
      </c>
      <c r="CL419" s="60" t="n">
        <f aca="false">P419*BL419/BW419</f>
        <v>0</v>
      </c>
      <c r="CM419" s="60" t="n">
        <f aca="false">Q419*BM419/BW419</f>
        <v>0</v>
      </c>
      <c r="CN419" s="60" t="n">
        <f aca="false">R419*BN419/BW419</f>
        <v>0</v>
      </c>
      <c r="CO419" s="60" t="n">
        <f aca="false">S419*BO419/BW419</f>
        <v>0</v>
      </c>
      <c r="CP419" s="60" t="n">
        <f aca="false">T419*BP419/BW419</f>
        <v>0</v>
      </c>
      <c r="CQ419" s="60" t="n">
        <f aca="false">U419*BQ419/BW419</f>
        <v>0</v>
      </c>
      <c r="CR419" s="60" t="n">
        <f aca="false">V419*BR419/BW419</f>
        <v>0</v>
      </c>
      <c r="CS419" s="60" t="n">
        <f aca="false">W419*BS419/BW419</f>
        <v>0</v>
      </c>
      <c r="CT419" s="60" t="n">
        <f aca="false">X419*BT419/BW419</f>
        <v>0</v>
      </c>
      <c r="CU419" s="60" t="n">
        <f aca="false">Y419*BU419/BW419</f>
        <v>0</v>
      </c>
      <c r="CV419" s="60" t="n">
        <f aca="false">$E$28*SUMPRODUCT($E$31:$P$31,BX419:CI419,$E$28:$P$28)</f>
        <v>0.184416866619846</v>
      </c>
      <c r="CW419" s="60" t="n">
        <f aca="false">$F$28*SUMPRODUCT($E$32:$P$32,BX419:CI419,$E$28:$P$28)</f>
        <v>0</v>
      </c>
      <c r="CX419" s="60" t="n">
        <f aca="false">$G$28*SUMPRODUCT($E$33:$P$33,BX419:CI419,$E$28:$P$28)</f>
        <v>0</v>
      </c>
      <c r="CY419" s="60" t="n">
        <f aca="false">$H$28*SUMPRODUCT($E$34:$P$34,BX419:CI419,$E$28:$P$28)</f>
        <v>0</v>
      </c>
      <c r="CZ419" s="60" t="n">
        <f aca="false">$I$28*SUMPRODUCT($E$35:$P$35,BX419:CI419,$E$28:$P$28)</f>
        <v>0</v>
      </c>
      <c r="DA419" s="60" t="n">
        <f aca="false">$J$28*SUMPRODUCT($E$36:$P$36,BX419:CI419,$E$28:$P$28)</f>
        <v>0</v>
      </c>
      <c r="DB419" s="60" t="n">
        <f aca="false">$K$28*SUMPRODUCT($E$37:$P$37,BX419:CI419,$E$28:$P$28)</f>
        <v>0</v>
      </c>
      <c r="DC419" s="60" t="n">
        <f aca="false">$L$28*SUMPRODUCT($E$38:$P$38,BX419:CI419,$E$28:$P$28)</f>
        <v>0</v>
      </c>
      <c r="DD419" s="60" t="n">
        <f aca="false">$M$28*SUMPRODUCT($E$39:$P$39,BX419:CI419,$E$28:$P$28)</f>
        <v>0</v>
      </c>
      <c r="DE419" s="60" t="n">
        <f aca="false">$N$28*SUMPRODUCT($E$40:$P$40,BX419:CI419,$E$28:$P$28)</f>
        <v>0</v>
      </c>
      <c r="DF419" s="60" t="n">
        <f aca="false">$O$28*SUMPRODUCT($E$41:$P$41,BX419:CI419,$E$28:$P$28)</f>
        <v>0</v>
      </c>
      <c r="DG419" s="60" t="n">
        <f aca="false">$P$28*SUMPRODUCT($E$42:$P$42,BX419:CI419,$E$28:$P$28)</f>
        <v>0</v>
      </c>
      <c r="DH419" s="60" t="n">
        <f aca="false">SUMPRODUCT(BX419:CI419,CV419:DG419)</f>
        <v>0.184416866619846</v>
      </c>
      <c r="DI419" s="60" t="n">
        <f aca="false">SUMPRODUCT(BX419:CI419,$E$27:$P$27)</f>
        <v>2.67389635063809E-005</v>
      </c>
      <c r="DJ419" s="60" t="n">
        <f aca="false">DH419*$C$9/($C$10*$C$8)^2</f>
        <v>0.21776909410545</v>
      </c>
      <c r="DK419" s="60" t="n">
        <f aca="false">DI419*$C$9/($C$10*$C$8)</f>
        <v>0.0918845243259994</v>
      </c>
      <c r="DL419" s="60" t="n">
        <f aca="false">CHOOSE($C$7,-(1+DK419),-1,-(1-DK419))</f>
        <v>-0.908115475674001</v>
      </c>
      <c r="DM419" s="60" t="n">
        <f aca="false">CHOOSE($C$7,DJ419,DJ419-DK419-DK419^2,DJ419-3*DK419^2-2*DK419)</f>
        <v>0.00867174802160559</v>
      </c>
      <c r="DN419" s="60" t="n">
        <f aca="false">CHOOSE($C$7,-DJ419*DK419,-DJ419*DK419,-(DJ419*DK419-DK419^2-DK419^3))</f>
        <v>-0.0107910842936637</v>
      </c>
      <c r="DO419" s="60" t="n">
        <f aca="false">DM419-DL419^2/3</f>
        <v>-0.266219491031267</v>
      </c>
      <c r="DP419" s="60" t="n">
        <f aca="false">2*DL419^3/27-DL419*DM419/3+DN419</f>
        <v>-0.0636400988362784</v>
      </c>
      <c r="DQ419" s="60" t="n">
        <f aca="false">DP419^2/4+DO419^3/27</f>
        <v>0.000313710901361829</v>
      </c>
      <c r="DR419" s="60" t="n">
        <f aca="false">-DP419/2-IF(DP419&gt;=0,1,-1)*SQRT(MAX(DQ419,0))</f>
        <v>0.0495319352963236</v>
      </c>
      <c r="DS419" s="60" t="n">
        <f aca="false">SIGN(DR419)*ABS(DR419)^(1/3)</f>
        <v>0.367249967174439</v>
      </c>
      <c r="DT419" s="60" t="n">
        <f aca="false">IF(DS419=0,0,DS419-DO419/(3*DS419))</f>
        <v>0.60888329127384</v>
      </c>
      <c r="DU419" s="60" t="n">
        <f aca="false">2*SQRT(MAX(-DO419,0)/3)</f>
        <v>0.595784626668918</v>
      </c>
      <c r="DV419" s="60" t="n">
        <f aca="false">ACOS(IF(DU419=0,0,MAX(-1,MIN(1,3*DP419/(DO419*DU419)))))</f>
        <v>0</v>
      </c>
      <c r="DW419" s="60" t="n">
        <f aca="false">DU419*COS(DV419/3)</f>
        <v>0.595784626668918</v>
      </c>
      <c r="DX419" s="60" t="n">
        <f aca="false">IF(DQ419&lt;0,DW419,DT419)-DL419/3</f>
        <v>0.91158844983184</v>
      </c>
      <c r="DY419" s="60" t="n">
        <f aca="false">IFERROR((((DX419+DL419)*DX419+DM419)*DX419+DN419)/((3*DX419+2*DL419)*DX419+DM419),0)</f>
        <v>0</v>
      </c>
      <c r="DZ419" s="60" t="n">
        <f aca="false">IF(ABS(DY419)&lt;0.1*ABS(DX419),DX419-DY419,DX419)</f>
        <v>0.91158844983184</v>
      </c>
      <c r="EA419" s="60" t="n">
        <f aca="false">IFERROR((((DZ419+DL419)*DZ419+DM419)*DZ419+DN419)/((3*DZ419+2*DL419)*DZ419+DM419),0)</f>
        <v>0</v>
      </c>
      <c r="EB419" s="60" t="n">
        <f aca="false">IF(ABS(EA419)&lt;0.1*ABS(DZ419),DZ419-EA419,DZ419)</f>
        <v>0.91158844983184</v>
      </c>
      <c r="EC419" s="60" t="n">
        <f aca="false">-DN419/EB419</f>
        <v>0.0118376711504565</v>
      </c>
      <c r="ED419" s="60" t="n">
        <f aca="false">(DM419-EC419)/EB419</f>
        <v>-0.00347297415783941</v>
      </c>
      <c r="EE419" s="60" t="n">
        <f aca="false">ED419^2-4*EC419</f>
        <v>-0.0473386230523248</v>
      </c>
      <c r="EF419" s="60" t="n">
        <f aca="false">IF(EE419&gt;=0,(ED419+IF(ED419&gt;=0,1,-1)*SQRT(EE419))/2,0)</f>
        <v>0</v>
      </c>
      <c r="EG419" s="60" t="n">
        <f aca="false">IF(AND(EE419&gt;=0,EF419&lt;&gt;0),MIN(EF419,EC419/EF419),-1)</f>
        <v>-1</v>
      </c>
      <c r="EH419" s="60" t="n">
        <f aca="false">AND(EE419&gt;=0,EG419&gt;DK419,ABS(EB419-EG419)&gt;=0.00005*MAX(EB419,EG419))</f>
        <v>0</v>
      </c>
      <c r="EI419" s="60" t="n">
        <f aca="false">IF(EH419,IFERROR((((EG419+DL419)*EG419+DM419)*EG419+DN419)/((3*EG419+2*DL419)*EG419+DM419),0),0)</f>
        <v>0</v>
      </c>
      <c r="EJ419" s="60" t="n">
        <f aca="false">IF(ABS(EI419)&lt;0.1*ABS(EG419),EG419-EI419,EG419)</f>
        <v>-1</v>
      </c>
      <c r="EK419" s="60" t="n">
        <f aca="false">IF(EH419,IFERROR((((EJ419+DL419)*EJ419+DM419)*EJ419+DN419)/((3*EJ419+2*DL419)*EJ419+DM419),0),0)</f>
        <v>0</v>
      </c>
      <c r="EL419" s="60" t="n">
        <f aca="false">IF(ABS(EK419)&lt;0.1*ABS(EJ419),EJ419-EK419,EJ419)</f>
        <v>-1</v>
      </c>
      <c r="EM419" s="60" t="n">
        <f aca="false">IF(EH419,MAX(EB419,EL419),EB419)</f>
        <v>0.91158844983184</v>
      </c>
      <c r="EN419" s="60" t="n">
        <f aca="false">IF(EH419,MIN(EB419,EL419),-1)</f>
        <v>-1</v>
      </c>
      <c r="EO419" s="60" t="n">
        <f aca="false">CHOOSE($C$7,DJ419/EM419,DJ419/DK419*LN(1+DK419/EM419),DJ419/(2*SQRT(2)*DK419)*LN((EM419+(1+SQRT(2))*DK419)/(EM419+(1-SQRT(2))*DK419)))</f>
        <v>0.218240791233887</v>
      </c>
      <c r="EP419" s="60" t="n">
        <f aca="false">EM419-1-LN(EM419-DK419)-EO419</f>
        <v>-0.107840271021729</v>
      </c>
      <c r="EQ419" s="60" t="n">
        <f aca="false">IF(EH419,CHOOSE($C$7,DJ419/EN419,DJ419/DK419*LN(1+DK419/EN419),DJ419/(2*SQRT(2)*DK419)*LN((EN419+(1+SQRT(2))*DK419)/(EN419+(1-SQRT(2))*DK419))),0)</f>
        <v>0</v>
      </c>
      <c r="ER419" s="60" t="n">
        <f aca="false">IF(EH419,EN419-1-LN(EN419-DK419)-EQ419,0)</f>
        <v>0</v>
      </c>
      <c r="ES419" s="60" t="n">
        <f aca="false">AND(EH419,ER419&lt;EP419)</f>
        <v>0</v>
      </c>
      <c r="ET419" s="60" t="n">
        <f aca="false">IF(ES419,EN419,EM419)</f>
        <v>0.91158844983184</v>
      </c>
      <c r="EU419" s="60" t="n">
        <f aca="false">IF(ES419,EQ419,EO419)</f>
        <v>0.218240791233887</v>
      </c>
      <c r="EV419" s="60" t="n">
        <f aca="false">LN(ET419-DK419)</f>
        <v>-0.198812070380318</v>
      </c>
      <c r="EW419" s="60" t="n">
        <f aca="false">$E$27/DI419*(ET419-1)-EV419-EU419*(2*CV419/DH419-$E$27/DI419)</f>
        <v>-0.107840271021729</v>
      </c>
      <c r="EX419" s="60" t="n">
        <f aca="false">$F$27/DI419*(ET419-1)-EV419-EU419*(2*CW419/DH419-$F$27/DI419)</f>
        <v>0.198812070380318</v>
      </c>
      <c r="EY419" s="60" t="n">
        <f aca="false">$G$27/DI419*(ET419-1)-EV419-EU419*(2*CX419/DH419-$G$27/DI419)</f>
        <v>0.198812070380318</v>
      </c>
      <c r="EZ419" s="60" t="n">
        <f aca="false">$H$27/DI419*(ET419-1)-EV419-EU419*(2*CY419/DH419-$H$27/DI419)</f>
        <v>0.198812070380318</v>
      </c>
      <c r="FA419" s="60" t="n">
        <f aca="false">$I$27/DI419*(ET419-1)-EV419-EU419*(2*CZ419/DH419-$I$27/DI419)</f>
        <v>0.198812070380318</v>
      </c>
      <c r="FB419" s="60" t="n">
        <f aca="false">$J$27/DI419*(ET419-1)-EV419-EU419*(2*DA419/DH419-$J$27/DI419)</f>
        <v>0.198812070380318</v>
      </c>
      <c r="FC419" s="60" t="n">
        <f aca="false">$K$27/DI419*(ET419-1)-EV419-EU419*(2*DB419/DH419-$K$27/DI419)</f>
        <v>0.198812070380318</v>
      </c>
      <c r="FD419" s="60" t="n">
        <f aca="false">$L$27/DI419*(ET419-1)-EV419-EU419*(2*DC419/DH419-$L$27/DI419)</f>
        <v>0.198812070380318</v>
      </c>
      <c r="FE419" s="60" t="n">
        <f aca="false">$M$27/DI419*(ET419-1)-EV419-EU419*(2*DD419/DH419-$M$27/DI419)</f>
        <v>0.198812070380318</v>
      </c>
      <c r="FF419" s="60" t="n">
        <f aca="false">$N$27/DI419*(ET419-1)-EV419-EU419*(2*DE419/DH419-$N$27/DI419)</f>
        <v>0.198812070380318</v>
      </c>
      <c r="FG419" s="60" t="n">
        <f aca="false">$O$27/DI419*(ET419-1)-EV419-EU419*(2*DF419/DH419-$O$27/DI419)</f>
        <v>0.198812070380318</v>
      </c>
      <c r="FH419" s="60" t="n">
        <f aca="false">$P$27/DI419*(ET419-1)-EV419-EU419*(2*DG419/DH419-$P$27/DI419)</f>
        <v>0.198812070380318</v>
      </c>
      <c r="FI419" s="60" t="n">
        <f aca="false">DK419/ET419&gt;$C$22</f>
        <v>0</v>
      </c>
      <c r="FJ419" s="60" t="n">
        <f aca="false">$E$28*SUMPRODUCT($E$31:$P$31,CJ419:CU419,$E$28:$P$28)</f>
        <v>0.184416866619846</v>
      </c>
      <c r="FK419" s="60" t="n">
        <f aca="false">$F$28*SUMPRODUCT($E$32:$P$32,CJ419:CU419,$E$28:$P$28)</f>
        <v>0</v>
      </c>
      <c r="FL419" s="60" t="n">
        <f aca="false">$G$28*SUMPRODUCT($E$33:$P$33,CJ419:CU419,$E$28:$P$28)</f>
        <v>0</v>
      </c>
      <c r="FM419" s="60" t="n">
        <f aca="false">$H$28*SUMPRODUCT($E$34:$P$34,CJ419:CU419,$E$28:$P$28)</f>
        <v>0</v>
      </c>
      <c r="FN419" s="60" t="n">
        <f aca="false">$I$28*SUMPRODUCT($E$35:$P$35,CJ419:CU419,$E$28:$P$28)</f>
        <v>0</v>
      </c>
      <c r="FO419" s="60" t="n">
        <f aca="false">$J$28*SUMPRODUCT($E$36:$P$36,CJ419:CU419,$E$28:$P$28)</f>
        <v>0</v>
      </c>
      <c r="FP419" s="60" t="n">
        <f aca="false">$K$28*SUMPRODUCT($E$37:$P$37,CJ419:CU419,$E$28:$P$28)</f>
        <v>0</v>
      </c>
      <c r="FQ419" s="60" t="n">
        <f aca="false">$L$28*SUMPRODUCT($E$38:$P$38,CJ419:CU419,$E$28:$P$28)</f>
        <v>0</v>
      </c>
      <c r="FR419" s="60" t="n">
        <f aca="false">$M$28*SUMPRODUCT($E$39:$P$39,CJ419:CU419,$E$28:$P$28)</f>
        <v>0</v>
      </c>
      <c r="FS419" s="60" t="n">
        <f aca="false">$N$28*SUMPRODUCT($E$40:$P$40,CJ419:CU419,$E$28:$P$28)</f>
        <v>0</v>
      </c>
      <c r="FT419" s="60" t="n">
        <f aca="false">$O$28*SUMPRODUCT($E$41:$P$41,CJ419:CU419,$E$28:$P$28)</f>
        <v>0</v>
      </c>
      <c r="FU419" s="60" t="n">
        <f aca="false">$P$28*SUMPRODUCT($E$42:$P$42,CJ419:CU419,$E$28:$P$28)</f>
        <v>0</v>
      </c>
      <c r="FV419" s="60" t="n">
        <f aca="false">SUMPRODUCT(CJ419:CU419,FJ419:FU419)</f>
        <v>0.184416866619846</v>
      </c>
      <c r="FW419" s="60" t="n">
        <f aca="false">SUMPRODUCT(CJ419:CU419,$E$27:$P$27)</f>
        <v>2.67389635063809E-005</v>
      </c>
      <c r="FX419" s="60" t="n">
        <f aca="false">FV419*$C$9/($C$10*$C$8)^2</f>
        <v>0.21776909410545</v>
      </c>
      <c r="FY419" s="60" t="n">
        <f aca="false">FW419*$C$9/($C$10*$C$8)</f>
        <v>0.0918845243259994</v>
      </c>
      <c r="FZ419" s="60" t="n">
        <f aca="false">CHOOSE($C$7,-(1+FY419),-1,-(1-FY419))</f>
        <v>-0.908115475674001</v>
      </c>
      <c r="GA419" s="60" t="n">
        <f aca="false">CHOOSE($C$7,FX419,FX419-FY419-FY419^2,FX419-3*FY419^2-2*FY419)</f>
        <v>0.00867174802160559</v>
      </c>
      <c r="GB419" s="60" t="n">
        <f aca="false">CHOOSE($C$7,-FX419*FY419,-FX419*FY419,-(FX419*FY419-FY419^2-FY419^3))</f>
        <v>-0.0107910842936637</v>
      </c>
      <c r="GC419" s="60" t="n">
        <f aca="false">GA419-FZ419^2/3</f>
        <v>-0.266219491031267</v>
      </c>
      <c r="GD419" s="60" t="n">
        <f aca="false">2*FZ419^3/27-FZ419*GA419/3+GB419</f>
        <v>-0.0636400988362784</v>
      </c>
      <c r="GE419" s="60" t="n">
        <f aca="false">GD419^2/4+GC419^3/27</f>
        <v>0.000313710901361829</v>
      </c>
      <c r="GF419" s="60" t="n">
        <f aca="false">-GD419/2-IF(GD419&gt;=0,1,-1)*SQRT(MAX(GE419,0))</f>
        <v>0.0495319352963236</v>
      </c>
      <c r="GG419" s="60" t="n">
        <f aca="false">SIGN(GF419)*ABS(GF419)^(1/3)</f>
        <v>0.367249967174439</v>
      </c>
      <c r="GH419" s="60" t="n">
        <f aca="false">IF(GG419=0,0,GG419-GC419/(3*GG419))</f>
        <v>0.60888329127384</v>
      </c>
      <c r="GI419" s="60" t="n">
        <f aca="false">2*SQRT(MAX(-GC419,0)/3)</f>
        <v>0.595784626668918</v>
      </c>
      <c r="GJ419" s="60" t="n">
        <f aca="false">ACOS(IF(GI419=0,0,MAX(-1,MIN(1,3*GD419/(GC419*GI419)))))</f>
        <v>0</v>
      </c>
      <c r="GK419" s="60" t="n">
        <f aca="false">GI419*COS(GJ419/3)</f>
        <v>0.595784626668918</v>
      </c>
      <c r="GL419" s="60" t="n">
        <f aca="false">IF(GE419&lt;0,GK419,GH419)-FZ419/3</f>
        <v>0.91158844983184</v>
      </c>
      <c r="GM419" s="60" t="n">
        <f aca="false">IFERROR((((GL419+FZ419)*GL419+GA419)*GL419+GB419)/((3*GL419+2*FZ419)*GL419+GA419),0)</f>
        <v>0</v>
      </c>
      <c r="GN419" s="60" t="n">
        <f aca="false">IF(ABS(GM419)&lt;0.1*ABS(GL419),GL419-GM419,GL419)</f>
        <v>0.91158844983184</v>
      </c>
      <c r="GO419" s="60" t="n">
        <f aca="false">IFERROR((((GN419+FZ419)*GN419+GA419)*GN419+GB419)/((3*GN419+2*FZ419)*GN419+GA419),0)</f>
        <v>0</v>
      </c>
      <c r="GP419" s="60" t="n">
        <f aca="false">IF(ABS(GO419)&lt;0.1*ABS(GN419),GN419-GO419,GN419)</f>
        <v>0.91158844983184</v>
      </c>
      <c r="GQ419" s="60" t="n">
        <f aca="false">-GB419/GP419</f>
        <v>0.0118376711504565</v>
      </c>
      <c r="GR419" s="60" t="n">
        <f aca="false">(GA419-GQ419)/GP419</f>
        <v>-0.00347297415783941</v>
      </c>
      <c r="GS419" s="60" t="n">
        <f aca="false">GR419^2-4*GQ419</f>
        <v>-0.0473386230523248</v>
      </c>
      <c r="GT419" s="60" t="n">
        <f aca="false">IF(GS419&gt;=0,(GR419+IF(GR419&gt;=0,1,-1)*SQRT(GS419))/2,0)</f>
        <v>0</v>
      </c>
      <c r="GU419" s="60" t="n">
        <f aca="false">IF(AND(GS419&gt;=0,GT419&lt;&gt;0),MIN(GT419,GQ419/GT419),-1)</f>
        <v>-1</v>
      </c>
      <c r="GV419" s="60" t="n">
        <f aca="false">AND(GS419&gt;=0,GU419&gt;FY419,ABS(GP419-GU419)&gt;=0.00005*MAX(GP419,GU419))</f>
        <v>0</v>
      </c>
      <c r="GW419" s="60" t="n">
        <f aca="false">IF(GV419,IFERROR((((GU419+FZ419)*GU419+GA419)*GU419+GB419)/((3*GU419+2*FZ419)*GU419+GA419),0),0)</f>
        <v>0</v>
      </c>
      <c r="GX419" s="60" t="n">
        <f aca="false">IF(ABS(GW419)&lt;0.1*ABS(GU419),GU419-GW419,GU419)</f>
        <v>-1</v>
      </c>
      <c r="GY419" s="60" t="n">
        <f aca="false">IF(GV419,IFERROR((((GX419+FZ419)*GX419+GA419)*GX419+GB419)/((3*GX419+2*FZ419)*GX419+GA419),0),0)</f>
        <v>0</v>
      </c>
      <c r="GZ419" s="60" t="n">
        <f aca="false">IF(ABS(GY419)&lt;0.1*ABS(GX419),GX419-GY419,GX419)</f>
        <v>-1</v>
      </c>
      <c r="HA419" s="60" t="n">
        <f aca="false">IF(GV419,MAX(GP419,GZ419),GP419)</f>
        <v>0.91158844983184</v>
      </c>
      <c r="HB419" s="60" t="n">
        <f aca="false">IF(GV419,MIN(GP419,GZ419),-1)</f>
        <v>-1</v>
      </c>
      <c r="HC419" s="60" t="n">
        <f aca="false">CHOOSE($C$7,FX419/HA419,FX419/FY419*LN(1+FY419/HA419),FX419/(2*SQRT(2)*FY419)*LN((HA419+(1+SQRT(2))*FY419)/(HA419+(1-SQRT(2))*FY419)))</f>
        <v>0.218240791233887</v>
      </c>
      <c r="HD419" s="60" t="n">
        <f aca="false">HA419-1-LN(HA419-FY419)-HC419</f>
        <v>-0.107840271021729</v>
      </c>
      <c r="HE419" s="60" t="n">
        <f aca="false">IF(GV419,CHOOSE($C$7,FX419/HB419,FX419/FY419*LN(1+FY419/HB419),FX419/(2*SQRT(2)*FY419)*LN((HB419+(1+SQRT(2))*FY419)/(HB419+(1-SQRT(2))*FY419))),0)</f>
        <v>0</v>
      </c>
      <c r="HF419" s="60" t="n">
        <f aca="false">IF(GV419,HB419-1-LN(HB419-FY419)-HE419,0)</f>
        <v>0</v>
      </c>
      <c r="HG419" s="60" t="n">
        <f aca="false">AND(GV419,HF419&lt;HD419)</f>
        <v>0</v>
      </c>
      <c r="HH419" s="60" t="n">
        <f aca="false">IF(HG419,HB419,HA419)</f>
        <v>0.91158844983184</v>
      </c>
      <c r="HI419" s="60" t="n">
        <f aca="false">IF(HG419,HE419,HC419)</f>
        <v>0.218240791233887</v>
      </c>
      <c r="HJ419" s="60" t="n">
        <f aca="false">LN(HH419-FY419)</f>
        <v>-0.198812070380318</v>
      </c>
      <c r="HK419" s="60" t="n">
        <f aca="false">$E$27/FW419*(HH419-1)-HJ419-HI419*(2*FJ419/FV419-$E$27/FW419)</f>
        <v>-0.107840271021729</v>
      </c>
      <c r="HL419" s="60" t="n">
        <f aca="false">$F$27/FW419*(HH419-1)-HJ419-HI419*(2*FK419/FV419-$F$27/FW419)</f>
        <v>0.198812070380318</v>
      </c>
      <c r="HM419" s="60" t="n">
        <f aca="false">$G$27/FW419*(HH419-1)-HJ419-HI419*(2*FL419/FV419-$G$27/FW419)</f>
        <v>0.198812070380318</v>
      </c>
      <c r="HN419" s="60" t="n">
        <f aca="false">$H$27/FW419*(HH419-1)-HJ419-HI419*(2*FM419/FV419-$H$27/FW419)</f>
        <v>0.198812070380318</v>
      </c>
      <c r="HO419" s="60" t="n">
        <f aca="false">$I$27/FW419*(HH419-1)-HJ419-HI419*(2*FN419/FV419-$I$27/FW419)</f>
        <v>0.198812070380318</v>
      </c>
      <c r="HP419" s="60" t="n">
        <f aca="false">$J$27/FW419*(HH419-1)-HJ419-HI419*(2*FO419/FV419-$J$27/FW419)</f>
        <v>0.198812070380318</v>
      </c>
      <c r="HQ419" s="60" t="n">
        <f aca="false">$K$27/FW419*(HH419-1)-HJ419-HI419*(2*FP419/FV419-$K$27/FW419)</f>
        <v>0.198812070380318</v>
      </c>
      <c r="HR419" s="60" t="n">
        <f aca="false">$L$27/FW419*(HH419-1)-HJ419-HI419*(2*FQ419/FV419-$L$27/FW419)</f>
        <v>0.198812070380318</v>
      </c>
      <c r="HS419" s="60" t="n">
        <f aca="false">$M$27/FW419*(HH419-1)-HJ419-HI419*(2*FR419/FV419-$M$27/FW419)</f>
        <v>0.198812070380318</v>
      </c>
      <c r="HT419" s="60" t="n">
        <f aca="false">$N$27/FW419*(HH419-1)-HJ419-HI419*(2*FS419/FV419-$N$27/FW419)</f>
        <v>0.198812070380318</v>
      </c>
      <c r="HU419" s="60" t="n">
        <f aca="false">$O$27/FW419*(HH419-1)-HJ419-HI419*(2*FT419/FV419-$O$27/FW419)</f>
        <v>0.198812070380318</v>
      </c>
      <c r="HV419" s="60" t="n">
        <f aca="false">$P$27/FW419*(HH419-1)-HJ419-HI419*(2*FU419/FV419-$P$27/FW419)</f>
        <v>0.198812070380318</v>
      </c>
      <c r="HW419" s="60" t="n">
        <f aca="false">FY419/HH419&gt;$C$22</f>
        <v>0</v>
      </c>
      <c r="HX419" s="60" t="n">
        <f aca="false">IF($E$13&gt;0,MAX(-300,MIN(300,EW419-HK419)),0)</f>
        <v>0</v>
      </c>
      <c r="HY419" s="60" t="n">
        <f aca="false">IF($F$13&gt;0,MAX(-300,MIN(300,EX419-HL419)),0)</f>
        <v>0</v>
      </c>
      <c r="HZ419" s="60" t="n">
        <f aca="false">IF($G$13&gt;0,MAX(-300,MIN(300,EY419-HM419)),0)</f>
        <v>0</v>
      </c>
      <c r="IA419" s="60" t="n">
        <f aca="false">IF($H$13&gt;0,MAX(-300,MIN(300,EZ419-HN419)),0)</f>
        <v>0</v>
      </c>
      <c r="IB419" s="60" t="n">
        <f aca="false">IF($I$13&gt;0,MAX(-300,MIN(300,FA419-HO419)),0)</f>
        <v>0</v>
      </c>
      <c r="IC419" s="60" t="n">
        <f aca="false">IF($J$13&gt;0,MAX(-300,MIN(300,FB419-HP419)),0)</f>
        <v>0</v>
      </c>
      <c r="ID419" s="60" t="n">
        <f aca="false">IF($K$13&gt;0,MAX(-300,MIN(300,FC419-HQ419)),0)</f>
        <v>0</v>
      </c>
      <c r="IE419" s="60" t="n">
        <f aca="false">IF($L$13&gt;0,MAX(-300,MIN(300,FD419-HR419)),0)</f>
        <v>0</v>
      </c>
      <c r="IF419" s="60" t="n">
        <f aca="false">IF($M$13&gt;0,MAX(-300,MIN(300,FE419-HS419)),0)</f>
        <v>0</v>
      </c>
      <c r="IG419" s="60" t="n">
        <f aca="false">IF($N$13&gt;0,MAX(-300,MIN(300,FF419-HT419)),0)</f>
        <v>0</v>
      </c>
      <c r="IH419" s="60" t="n">
        <f aca="false">IF($O$13&gt;0,MAX(-300,MIN(300,FG419-HU419)),0)</f>
        <v>0</v>
      </c>
      <c r="II419" s="60" t="n">
        <f aca="false">IF($P$13&gt;0,MAX(-300,MIN(300,FH419-HV419)),0)</f>
        <v>0</v>
      </c>
      <c r="IJ419" s="60" t="n">
        <f aca="false">SUMXMY2(HX419:II419,B419:M419)</f>
        <v>0</v>
      </c>
      <c r="IK419" s="60" t="n">
        <f aca="false">SUMSQ(B419:M419)</f>
        <v>0</v>
      </c>
    </row>
    <row r="420" customFormat="false" ht="15" hidden="false" customHeight="false" outlineLevel="0" collapsed="false">
      <c r="A420" s="59" t="n">
        <v>59</v>
      </c>
      <c r="B420" s="60" t="n">
        <f aca="false">HX419</f>
        <v>0</v>
      </c>
      <c r="C420" s="60" t="n">
        <f aca="false">HY419</f>
        <v>0</v>
      </c>
      <c r="D420" s="60" t="n">
        <f aca="false">HZ419</f>
        <v>0</v>
      </c>
      <c r="E420" s="60" t="n">
        <f aca="false">IA419</f>
        <v>0</v>
      </c>
      <c r="F420" s="60" t="n">
        <f aca="false">IB419</f>
        <v>0</v>
      </c>
      <c r="G420" s="60" t="n">
        <f aca="false">IC419</f>
        <v>0</v>
      </c>
      <c r="H420" s="60" t="n">
        <f aca="false">ID419</f>
        <v>0</v>
      </c>
      <c r="I420" s="60" t="n">
        <f aca="false">IE419</f>
        <v>0</v>
      </c>
      <c r="J420" s="60" t="n">
        <f aca="false">IF419</f>
        <v>0</v>
      </c>
      <c r="K420" s="60" t="n">
        <f aca="false">IG419</f>
        <v>0</v>
      </c>
      <c r="L420" s="60" t="n">
        <f aca="false">IH419</f>
        <v>0</v>
      </c>
      <c r="M420" s="60" t="n">
        <f aca="false">II419</f>
        <v>0</v>
      </c>
      <c r="N420" s="60" t="n">
        <f aca="false">EXP(B420)</f>
        <v>1</v>
      </c>
      <c r="O420" s="60" t="n">
        <f aca="false">EXP(C420)</f>
        <v>1</v>
      </c>
      <c r="P420" s="60" t="n">
        <f aca="false">EXP(D420)</f>
        <v>1</v>
      </c>
      <c r="Q420" s="60" t="n">
        <f aca="false">EXP(E420)</f>
        <v>1</v>
      </c>
      <c r="R420" s="60" t="n">
        <f aca="false">EXP(F420)</f>
        <v>1</v>
      </c>
      <c r="S420" s="60" t="n">
        <f aca="false">EXP(G420)</f>
        <v>1</v>
      </c>
      <c r="T420" s="60" t="n">
        <f aca="false">EXP(H420)</f>
        <v>1</v>
      </c>
      <c r="U420" s="60" t="n">
        <f aca="false">EXP(I420)</f>
        <v>1</v>
      </c>
      <c r="V420" s="60" t="n">
        <f aca="false">EXP(J420)</f>
        <v>1</v>
      </c>
      <c r="W420" s="60" t="n">
        <f aca="false">EXP(K420)</f>
        <v>1</v>
      </c>
      <c r="X420" s="60" t="n">
        <f aca="false">EXP(L420)</f>
        <v>1</v>
      </c>
      <c r="Y420" s="60" t="n">
        <f aca="false">EXP(M420)</f>
        <v>1</v>
      </c>
      <c r="Z420" s="60" t="n">
        <f aca="false">MAX(N420:Y420)</f>
        <v>1</v>
      </c>
      <c r="AA420" s="60" t="n">
        <f aca="false">MIN(N420:Y420)</f>
        <v>1</v>
      </c>
      <c r="AB420" s="60" t="n">
        <f aca="false">AND(Z420&gt;1,AA420&lt;1)</f>
        <v>0</v>
      </c>
      <c r="AC420" s="60" t="n">
        <f aca="false">IF(AB420,1/(1-Z420),0)</f>
        <v>0</v>
      </c>
      <c r="AD420" s="60" t="n">
        <f aca="false">IF(AB420,1/(1-AA420),1)</f>
        <v>1</v>
      </c>
      <c r="AE420" s="60" t="n">
        <f aca="false">IF(AB420,MIN(MAX(BI419,AC420+0.000000001*(AD420-AC420)),AD420-0.000000001*(AD420-AC420)),IF(AA420&gt;=1,1,0))</f>
        <v>1</v>
      </c>
      <c r="AF420" s="60" t="n">
        <f aca="false">SUMPRODUCT($E$13:$P$13*(N420:Y420-1)/(1+AE420*(N420:Y420-1)))</f>
        <v>0</v>
      </c>
      <c r="AG420" s="60" t="n">
        <f aca="false">-SUMPRODUCT($E$13:$P$13*(N420:Y420-1)^2/(1+AE420*(N420:Y420-1))^2)</f>
        <v>-0</v>
      </c>
      <c r="AH420" s="60" t="n">
        <f aca="false">IF(OR(NOT(AB420),AG420=0),AE420,IF(AE420-AF420/AG420&lt;=AC420,(AE420+AC420)/2,IF(AE420-AF420/AG420&gt;=AD420,(AE420+AD420)/2,AE420-AF420/AG420)))</f>
        <v>1</v>
      </c>
      <c r="AI420" s="60" t="n">
        <f aca="false">SUMPRODUCT($E$13:$P$13*(N420:Y420-1)/(1+AH420*(N420:Y420-1)))</f>
        <v>0</v>
      </c>
      <c r="AJ420" s="60" t="n">
        <f aca="false">-SUMPRODUCT($E$13:$P$13*(N420:Y420-1)^2/(1+AH420*(N420:Y420-1))^2)</f>
        <v>-0</v>
      </c>
      <c r="AK420" s="60" t="n">
        <f aca="false">IF(OR(NOT(AB420),AJ420=0),AH420,IF(AH420-AI420/AJ420&lt;=AC420,(AH420+AC420)/2,IF(AH420-AI420/AJ420&gt;=AD420,(AH420+AD420)/2,AH420-AI420/AJ420)))</f>
        <v>1</v>
      </c>
      <c r="AL420" s="60" t="n">
        <f aca="false">SUMPRODUCT($E$13:$P$13*(N420:Y420-1)/(1+AK420*(N420:Y420-1)))</f>
        <v>0</v>
      </c>
      <c r="AM420" s="60" t="n">
        <f aca="false">-SUMPRODUCT($E$13:$P$13*(N420:Y420-1)^2/(1+AK420*(N420:Y420-1))^2)</f>
        <v>-0</v>
      </c>
      <c r="AN420" s="60" t="n">
        <f aca="false">IF(OR(NOT(AB420),AM420=0),AK420,IF(AK420-AL420/AM420&lt;=AC420,(AK420+AC420)/2,IF(AK420-AL420/AM420&gt;=AD420,(AK420+AD420)/2,AK420-AL420/AM420)))</f>
        <v>1</v>
      </c>
      <c r="AO420" s="60" t="n">
        <f aca="false">SUMPRODUCT($E$13:$P$13*(N420:Y420-1)/(1+AN420*(N420:Y420-1)))</f>
        <v>0</v>
      </c>
      <c r="AP420" s="60" t="n">
        <f aca="false">-SUMPRODUCT($E$13:$P$13*(N420:Y420-1)^2/(1+AN420*(N420:Y420-1))^2)</f>
        <v>-0</v>
      </c>
      <c r="AQ420" s="60" t="n">
        <f aca="false">IF(OR(NOT(AB420),AP420=0),AN420,IF(AN420-AO420/AP420&lt;=AC420,(AN420+AC420)/2,IF(AN420-AO420/AP420&gt;=AD420,(AN420+AD420)/2,AN420-AO420/AP420)))</f>
        <v>1</v>
      </c>
      <c r="AR420" s="60" t="n">
        <f aca="false">SUMPRODUCT($E$13:$P$13*(N420:Y420-1)/(1+AQ420*(N420:Y420-1)))</f>
        <v>0</v>
      </c>
      <c r="AS420" s="60" t="n">
        <f aca="false">-SUMPRODUCT($E$13:$P$13*(N420:Y420-1)^2/(1+AQ420*(N420:Y420-1))^2)</f>
        <v>-0</v>
      </c>
      <c r="AT420" s="60" t="n">
        <f aca="false">IF(OR(NOT(AB420),AS420=0),AQ420,IF(AQ420-AR420/AS420&lt;=AC420,(AQ420+AC420)/2,IF(AQ420-AR420/AS420&gt;=AD420,(AQ420+AD420)/2,AQ420-AR420/AS420)))</f>
        <v>1</v>
      </c>
      <c r="AU420" s="60" t="n">
        <f aca="false">SUMPRODUCT($E$13:$P$13*(N420:Y420-1)/(1+AT420*(N420:Y420-1)))</f>
        <v>0</v>
      </c>
      <c r="AV420" s="60" t="n">
        <f aca="false">-SUMPRODUCT($E$13:$P$13*(N420:Y420-1)^2/(1+AT420*(N420:Y420-1))^2)</f>
        <v>-0</v>
      </c>
      <c r="AW420" s="60" t="n">
        <f aca="false">IF(OR(NOT(AB420),AV420=0),AT420,IF(AT420-AU420/AV420&lt;=AC420,(AT420+AC420)/2,IF(AT420-AU420/AV420&gt;=AD420,(AT420+AD420)/2,AT420-AU420/AV420)))</f>
        <v>1</v>
      </c>
      <c r="AX420" s="60" t="n">
        <f aca="false">SUMPRODUCT($E$13:$P$13*(N420:Y420-1)/(1+AW420*(N420:Y420-1)))</f>
        <v>0</v>
      </c>
      <c r="AY420" s="60" t="n">
        <f aca="false">-SUMPRODUCT($E$13:$P$13*(N420:Y420-1)^2/(1+AW420*(N420:Y420-1))^2)</f>
        <v>-0</v>
      </c>
      <c r="AZ420" s="60" t="n">
        <f aca="false">IF(OR(NOT(AB420),AY420=0),AW420,IF(AW420-AX420/AY420&lt;=AC420,(AW420+AC420)/2,IF(AW420-AX420/AY420&gt;=AD420,(AW420+AD420)/2,AW420-AX420/AY420)))</f>
        <v>1</v>
      </c>
      <c r="BA420" s="60" t="n">
        <f aca="false">SUMPRODUCT($E$13:$P$13*(N420:Y420-1)/(1+AZ420*(N420:Y420-1)))</f>
        <v>0</v>
      </c>
      <c r="BB420" s="60" t="n">
        <f aca="false">-SUMPRODUCT($E$13:$P$13*(N420:Y420-1)^2/(1+AZ420*(N420:Y420-1))^2)</f>
        <v>-0</v>
      </c>
      <c r="BC420" s="60" t="n">
        <f aca="false">IF(OR(NOT(AB420),BB420=0),AZ420,IF(AZ420-BA420/BB420&lt;=AC420,(AZ420+AC420)/2,IF(AZ420-BA420/BB420&gt;=AD420,(AZ420+AD420)/2,AZ420-BA420/BB420)))</f>
        <v>1</v>
      </c>
      <c r="BD420" s="60" t="n">
        <f aca="false">SUMPRODUCT($E$13:$P$13*(N420:Y420-1)/(1+BC420*(N420:Y420-1)))</f>
        <v>0</v>
      </c>
      <c r="BE420" s="60" t="n">
        <f aca="false">-SUMPRODUCT($E$13:$P$13*(N420:Y420-1)^2/(1+BC420*(N420:Y420-1))^2)</f>
        <v>-0</v>
      </c>
      <c r="BF420" s="60" t="n">
        <f aca="false">IF(OR(NOT(AB420),BE420=0),BC420,IF(BC420-BD420/BE420&lt;=AC420,(BC420+AC420)/2,IF(BC420-BD420/BE420&gt;=AD420,(BC420+AD420)/2,BC420-BD420/BE420)))</f>
        <v>1</v>
      </c>
      <c r="BG420" s="60" t="n">
        <f aca="false">SUMPRODUCT($E$13:$P$13*(N420:Y420-1)/(1+BF420*(N420:Y420-1)))</f>
        <v>0</v>
      </c>
      <c r="BH420" s="60" t="n">
        <f aca="false">-SUMPRODUCT($E$13:$P$13*(N420:Y420-1)^2/(1+BF420*(N420:Y420-1))^2)</f>
        <v>-0</v>
      </c>
      <c r="BI420" s="60" t="n">
        <f aca="false">IF(OR(NOT(AB420),BH420=0),BF420,IF(BF420-BG420/BH420&lt;=AC420,(BF420+AC420)/2,IF(BF420-BG420/BH420&gt;=AD420,(BF420+AD420)/2,BF420-BG420/BH420)))</f>
        <v>1</v>
      </c>
      <c r="BJ420" s="60" t="n">
        <f aca="false">$E$13/(1+BI420*(N420-1))</f>
        <v>1</v>
      </c>
      <c r="BK420" s="60" t="n">
        <f aca="false">$F$13/(1+BI420*(O420-1))</f>
        <v>0</v>
      </c>
      <c r="BL420" s="60" t="n">
        <f aca="false">$G$13/(1+BI420*(P420-1))</f>
        <v>0</v>
      </c>
      <c r="BM420" s="60" t="n">
        <f aca="false">$H$13/(1+BI420*(Q420-1))</f>
        <v>0</v>
      </c>
      <c r="BN420" s="60" t="n">
        <f aca="false">$I$13/(1+BI420*(R420-1))</f>
        <v>0</v>
      </c>
      <c r="BO420" s="60" t="n">
        <f aca="false">$J$13/(1+BI420*(S420-1))</f>
        <v>0</v>
      </c>
      <c r="BP420" s="60" t="n">
        <f aca="false">$K$13/(1+BI420*(T420-1))</f>
        <v>0</v>
      </c>
      <c r="BQ420" s="60" t="n">
        <f aca="false">$L$13/(1+BI420*(U420-1))</f>
        <v>0</v>
      </c>
      <c r="BR420" s="60" t="n">
        <f aca="false">$M$13/(1+BI420*(V420-1))</f>
        <v>0</v>
      </c>
      <c r="BS420" s="60" t="n">
        <f aca="false">$N$13/(1+BI420*(W420-1))</f>
        <v>0</v>
      </c>
      <c r="BT420" s="60" t="n">
        <f aca="false">$O$13/(1+BI420*(X420-1))</f>
        <v>0</v>
      </c>
      <c r="BU420" s="60" t="n">
        <f aca="false">$P$13/(1+BI420*(Y420-1))</f>
        <v>0</v>
      </c>
      <c r="BV420" s="60" t="n">
        <f aca="false">SUM(BJ420:BU420)</f>
        <v>1</v>
      </c>
      <c r="BW420" s="60" t="n">
        <f aca="false">SUMPRODUCT(N420:Y420,BJ420:BU420)</f>
        <v>1</v>
      </c>
      <c r="BX420" s="60" t="n">
        <f aca="false">BJ420/BV420</f>
        <v>1</v>
      </c>
      <c r="BY420" s="60" t="n">
        <f aca="false">BK420/BV420</f>
        <v>0</v>
      </c>
      <c r="BZ420" s="60" t="n">
        <f aca="false">BL420/BV420</f>
        <v>0</v>
      </c>
      <c r="CA420" s="60" t="n">
        <f aca="false">BM420/BV420</f>
        <v>0</v>
      </c>
      <c r="CB420" s="60" t="n">
        <f aca="false">BN420/BV420</f>
        <v>0</v>
      </c>
      <c r="CC420" s="60" t="n">
        <f aca="false">BO420/BV420</f>
        <v>0</v>
      </c>
      <c r="CD420" s="60" t="n">
        <f aca="false">BP420/BV420</f>
        <v>0</v>
      </c>
      <c r="CE420" s="60" t="n">
        <f aca="false">BQ420/BV420</f>
        <v>0</v>
      </c>
      <c r="CF420" s="60" t="n">
        <f aca="false">BR420/BV420</f>
        <v>0</v>
      </c>
      <c r="CG420" s="60" t="n">
        <f aca="false">BS420/BV420</f>
        <v>0</v>
      </c>
      <c r="CH420" s="60" t="n">
        <f aca="false">BT420/BV420</f>
        <v>0</v>
      </c>
      <c r="CI420" s="60" t="n">
        <f aca="false">BU420/BV420</f>
        <v>0</v>
      </c>
      <c r="CJ420" s="60" t="n">
        <f aca="false">N420*BJ420/BW420</f>
        <v>1</v>
      </c>
      <c r="CK420" s="60" t="n">
        <f aca="false">O420*BK420/BW420</f>
        <v>0</v>
      </c>
      <c r="CL420" s="60" t="n">
        <f aca="false">P420*BL420/BW420</f>
        <v>0</v>
      </c>
      <c r="CM420" s="60" t="n">
        <f aca="false">Q420*BM420/BW420</f>
        <v>0</v>
      </c>
      <c r="CN420" s="60" t="n">
        <f aca="false">R420*BN420/BW420</f>
        <v>0</v>
      </c>
      <c r="CO420" s="60" t="n">
        <f aca="false">S420*BO420/BW420</f>
        <v>0</v>
      </c>
      <c r="CP420" s="60" t="n">
        <f aca="false">T420*BP420/BW420</f>
        <v>0</v>
      </c>
      <c r="CQ420" s="60" t="n">
        <f aca="false">U420*BQ420/BW420</f>
        <v>0</v>
      </c>
      <c r="CR420" s="60" t="n">
        <f aca="false">V420*BR420/BW420</f>
        <v>0</v>
      </c>
      <c r="CS420" s="60" t="n">
        <f aca="false">W420*BS420/BW420</f>
        <v>0</v>
      </c>
      <c r="CT420" s="60" t="n">
        <f aca="false">X420*BT420/BW420</f>
        <v>0</v>
      </c>
      <c r="CU420" s="60" t="n">
        <f aca="false">Y420*BU420/BW420</f>
        <v>0</v>
      </c>
      <c r="CV420" s="60" t="n">
        <f aca="false">$E$28*SUMPRODUCT($E$31:$P$31,BX420:CI420,$E$28:$P$28)</f>
        <v>0.184416866619846</v>
      </c>
      <c r="CW420" s="60" t="n">
        <f aca="false">$F$28*SUMPRODUCT($E$32:$P$32,BX420:CI420,$E$28:$P$28)</f>
        <v>0</v>
      </c>
      <c r="CX420" s="60" t="n">
        <f aca="false">$G$28*SUMPRODUCT($E$33:$P$33,BX420:CI420,$E$28:$P$28)</f>
        <v>0</v>
      </c>
      <c r="CY420" s="60" t="n">
        <f aca="false">$H$28*SUMPRODUCT($E$34:$P$34,BX420:CI420,$E$28:$P$28)</f>
        <v>0</v>
      </c>
      <c r="CZ420" s="60" t="n">
        <f aca="false">$I$28*SUMPRODUCT($E$35:$P$35,BX420:CI420,$E$28:$P$28)</f>
        <v>0</v>
      </c>
      <c r="DA420" s="60" t="n">
        <f aca="false">$J$28*SUMPRODUCT($E$36:$P$36,BX420:CI420,$E$28:$P$28)</f>
        <v>0</v>
      </c>
      <c r="DB420" s="60" t="n">
        <f aca="false">$K$28*SUMPRODUCT($E$37:$P$37,BX420:CI420,$E$28:$P$28)</f>
        <v>0</v>
      </c>
      <c r="DC420" s="60" t="n">
        <f aca="false">$L$28*SUMPRODUCT($E$38:$P$38,BX420:CI420,$E$28:$P$28)</f>
        <v>0</v>
      </c>
      <c r="DD420" s="60" t="n">
        <f aca="false">$M$28*SUMPRODUCT($E$39:$P$39,BX420:CI420,$E$28:$P$28)</f>
        <v>0</v>
      </c>
      <c r="DE420" s="60" t="n">
        <f aca="false">$N$28*SUMPRODUCT($E$40:$P$40,BX420:CI420,$E$28:$P$28)</f>
        <v>0</v>
      </c>
      <c r="DF420" s="60" t="n">
        <f aca="false">$O$28*SUMPRODUCT($E$41:$P$41,BX420:CI420,$E$28:$P$28)</f>
        <v>0</v>
      </c>
      <c r="DG420" s="60" t="n">
        <f aca="false">$P$28*SUMPRODUCT($E$42:$P$42,BX420:CI420,$E$28:$P$28)</f>
        <v>0</v>
      </c>
      <c r="DH420" s="60" t="n">
        <f aca="false">SUMPRODUCT(BX420:CI420,CV420:DG420)</f>
        <v>0.184416866619846</v>
      </c>
      <c r="DI420" s="60" t="n">
        <f aca="false">SUMPRODUCT(BX420:CI420,$E$27:$P$27)</f>
        <v>2.67389635063809E-005</v>
      </c>
      <c r="DJ420" s="60" t="n">
        <f aca="false">DH420*$C$9/($C$10*$C$8)^2</f>
        <v>0.21776909410545</v>
      </c>
      <c r="DK420" s="60" t="n">
        <f aca="false">DI420*$C$9/($C$10*$C$8)</f>
        <v>0.0918845243259994</v>
      </c>
      <c r="DL420" s="60" t="n">
        <f aca="false">CHOOSE($C$7,-(1+DK420),-1,-(1-DK420))</f>
        <v>-0.908115475674001</v>
      </c>
      <c r="DM420" s="60" t="n">
        <f aca="false">CHOOSE($C$7,DJ420,DJ420-DK420-DK420^2,DJ420-3*DK420^2-2*DK420)</f>
        <v>0.00867174802160559</v>
      </c>
      <c r="DN420" s="60" t="n">
        <f aca="false">CHOOSE($C$7,-DJ420*DK420,-DJ420*DK420,-(DJ420*DK420-DK420^2-DK420^3))</f>
        <v>-0.0107910842936637</v>
      </c>
      <c r="DO420" s="60" t="n">
        <f aca="false">DM420-DL420^2/3</f>
        <v>-0.266219491031267</v>
      </c>
      <c r="DP420" s="60" t="n">
        <f aca="false">2*DL420^3/27-DL420*DM420/3+DN420</f>
        <v>-0.0636400988362784</v>
      </c>
      <c r="DQ420" s="60" t="n">
        <f aca="false">DP420^2/4+DO420^3/27</f>
        <v>0.000313710901361829</v>
      </c>
      <c r="DR420" s="60" t="n">
        <f aca="false">-DP420/2-IF(DP420&gt;=0,1,-1)*SQRT(MAX(DQ420,0))</f>
        <v>0.0495319352963236</v>
      </c>
      <c r="DS420" s="60" t="n">
        <f aca="false">SIGN(DR420)*ABS(DR420)^(1/3)</f>
        <v>0.367249967174439</v>
      </c>
      <c r="DT420" s="60" t="n">
        <f aca="false">IF(DS420=0,0,DS420-DO420/(3*DS420))</f>
        <v>0.60888329127384</v>
      </c>
      <c r="DU420" s="60" t="n">
        <f aca="false">2*SQRT(MAX(-DO420,0)/3)</f>
        <v>0.595784626668918</v>
      </c>
      <c r="DV420" s="60" t="n">
        <f aca="false">ACOS(IF(DU420=0,0,MAX(-1,MIN(1,3*DP420/(DO420*DU420)))))</f>
        <v>0</v>
      </c>
      <c r="DW420" s="60" t="n">
        <f aca="false">DU420*COS(DV420/3)</f>
        <v>0.595784626668918</v>
      </c>
      <c r="DX420" s="60" t="n">
        <f aca="false">IF(DQ420&lt;0,DW420,DT420)-DL420/3</f>
        <v>0.91158844983184</v>
      </c>
      <c r="DY420" s="60" t="n">
        <f aca="false">IFERROR((((DX420+DL420)*DX420+DM420)*DX420+DN420)/((3*DX420+2*DL420)*DX420+DM420),0)</f>
        <v>0</v>
      </c>
      <c r="DZ420" s="60" t="n">
        <f aca="false">IF(ABS(DY420)&lt;0.1*ABS(DX420),DX420-DY420,DX420)</f>
        <v>0.91158844983184</v>
      </c>
      <c r="EA420" s="60" t="n">
        <f aca="false">IFERROR((((DZ420+DL420)*DZ420+DM420)*DZ420+DN420)/((3*DZ420+2*DL420)*DZ420+DM420),0)</f>
        <v>0</v>
      </c>
      <c r="EB420" s="60" t="n">
        <f aca="false">IF(ABS(EA420)&lt;0.1*ABS(DZ420),DZ420-EA420,DZ420)</f>
        <v>0.91158844983184</v>
      </c>
      <c r="EC420" s="60" t="n">
        <f aca="false">-DN420/EB420</f>
        <v>0.0118376711504565</v>
      </c>
      <c r="ED420" s="60" t="n">
        <f aca="false">(DM420-EC420)/EB420</f>
        <v>-0.00347297415783941</v>
      </c>
      <c r="EE420" s="60" t="n">
        <f aca="false">ED420^2-4*EC420</f>
        <v>-0.0473386230523248</v>
      </c>
      <c r="EF420" s="60" t="n">
        <f aca="false">IF(EE420&gt;=0,(ED420+IF(ED420&gt;=0,1,-1)*SQRT(EE420))/2,0)</f>
        <v>0</v>
      </c>
      <c r="EG420" s="60" t="n">
        <f aca="false">IF(AND(EE420&gt;=0,EF420&lt;&gt;0),MIN(EF420,EC420/EF420),-1)</f>
        <v>-1</v>
      </c>
      <c r="EH420" s="60" t="n">
        <f aca="false">AND(EE420&gt;=0,EG420&gt;DK420,ABS(EB420-EG420)&gt;=0.00005*MAX(EB420,EG420))</f>
        <v>0</v>
      </c>
      <c r="EI420" s="60" t="n">
        <f aca="false">IF(EH420,IFERROR((((EG420+DL420)*EG420+DM420)*EG420+DN420)/((3*EG420+2*DL420)*EG420+DM420),0),0)</f>
        <v>0</v>
      </c>
      <c r="EJ420" s="60" t="n">
        <f aca="false">IF(ABS(EI420)&lt;0.1*ABS(EG420),EG420-EI420,EG420)</f>
        <v>-1</v>
      </c>
      <c r="EK420" s="60" t="n">
        <f aca="false">IF(EH420,IFERROR((((EJ420+DL420)*EJ420+DM420)*EJ420+DN420)/((3*EJ420+2*DL420)*EJ420+DM420),0),0)</f>
        <v>0</v>
      </c>
      <c r="EL420" s="60" t="n">
        <f aca="false">IF(ABS(EK420)&lt;0.1*ABS(EJ420),EJ420-EK420,EJ420)</f>
        <v>-1</v>
      </c>
      <c r="EM420" s="60" t="n">
        <f aca="false">IF(EH420,MAX(EB420,EL420),EB420)</f>
        <v>0.91158844983184</v>
      </c>
      <c r="EN420" s="60" t="n">
        <f aca="false">IF(EH420,MIN(EB420,EL420),-1)</f>
        <v>-1</v>
      </c>
      <c r="EO420" s="60" t="n">
        <f aca="false">CHOOSE($C$7,DJ420/EM420,DJ420/DK420*LN(1+DK420/EM420),DJ420/(2*SQRT(2)*DK420)*LN((EM420+(1+SQRT(2))*DK420)/(EM420+(1-SQRT(2))*DK420)))</f>
        <v>0.218240791233887</v>
      </c>
      <c r="EP420" s="60" t="n">
        <f aca="false">EM420-1-LN(EM420-DK420)-EO420</f>
        <v>-0.107840271021729</v>
      </c>
      <c r="EQ420" s="60" t="n">
        <f aca="false">IF(EH420,CHOOSE($C$7,DJ420/EN420,DJ420/DK420*LN(1+DK420/EN420),DJ420/(2*SQRT(2)*DK420)*LN((EN420+(1+SQRT(2))*DK420)/(EN420+(1-SQRT(2))*DK420))),0)</f>
        <v>0</v>
      </c>
      <c r="ER420" s="60" t="n">
        <f aca="false">IF(EH420,EN420-1-LN(EN420-DK420)-EQ420,0)</f>
        <v>0</v>
      </c>
      <c r="ES420" s="60" t="n">
        <f aca="false">AND(EH420,ER420&lt;EP420)</f>
        <v>0</v>
      </c>
      <c r="ET420" s="60" t="n">
        <f aca="false">IF(ES420,EN420,EM420)</f>
        <v>0.91158844983184</v>
      </c>
      <c r="EU420" s="60" t="n">
        <f aca="false">IF(ES420,EQ420,EO420)</f>
        <v>0.218240791233887</v>
      </c>
      <c r="EV420" s="60" t="n">
        <f aca="false">LN(ET420-DK420)</f>
        <v>-0.198812070380318</v>
      </c>
      <c r="EW420" s="60" t="n">
        <f aca="false">$E$27/DI420*(ET420-1)-EV420-EU420*(2*CV420/DH420-$E$27/DI420)</f>
        <v>-0.107840271021729</v>
      </c>
      <c r="EX420" s="60" t="n">
        <f aca="false">$F$27/DI420*(ET420-1)-EV420-EU420*(2*CW420/DH420-$F$27/DI420)</f>
        <v>0.198812070380318</v>
      </c>
      <c r="EY420" s="60" t="n">
        <f aca="false">$G$27/DI420*(ET420-1)-EV420-EU420*(2*CX420/DH420-$G$27/DI420)</f>
        <v>0.198812070380318</v>
      </c>
      <c r="EZ420" s="60" t="n">
        <f aca="false">$H$27/DI420*(ET420-1)-EV420-EU420*(2*CY420/DH420-$H$27/DI420)</f>
        <v>0.198812070380318</v>
      </c>
      <c r="FA420" s="60" t="n">
        <f aca="false">$I$27/DI420*(ET420-1)-EV420-EU420*(2*CZ420/DH420-$I$27/DI420)</f>
        <v>0.198812070380318</v>
      </c>
      <c r="FB420" s="60" t="n">
        <f aca="false">$J$27/DI420*(ET420-1)-EV420-EU420*(2*DA420/DH420-$J$27/DI420)</f>
        <v>0.198812070380318</v>
      </c>
      <c r="FC420" s="60" t="n">
        <f aca="false">$K$27/DI420*(ET420-1)-EV420-EU420*(2*DB420/DH420-$K$27/DI420)</f>
        <v>0.198812070380318</v>
      </c>
      <c r="FD420" s="60" t="n">
        <f aca="false">$L$27/DI420*(ET420-1)-EV420-EU420*(2*DC420/DH420-$L$27/DI420)</f>
        <v>0.198812070380318</v>
      </c>
      <c r="FE420" s="60" t="n">
        <f aca="false">$M$27/DI420*(ET420-1)-EV420-EU420*(2*DD420/DH420-$M$27/DI420)</f>
        <v>0.198812070380318</v>
      </c>
      <c r="FF420" s="60" t="n">
        <f aca="false">$N$27/DI420*(ET420-1)-EV420-EU420*(2*DE420/DH420-$N$27/DI420)</f>
        <v>0.198812070380318</v>
      </c>
      <c r="FG420" s="60" t="n">
        <f aca="false">$O$27/DI420*(ET420-1)-EV420-EU420*(2*DF420/DH420-$O$27/DI420)</f>
        <v>0.198812070380318</v>
      </c>
      <c r="FH420" s="60" t="n">
        <f aca="false">$P$27/DI420*(ET420-1)-EV420-EU420*(2*DG420/DH420-$P$27/DI420)</f>
        <v>0.198812070380318</v>
      </c>
      <c r="FI420" s="60" t="n">
        <f aca="false">DK420/ET420&gt;$C$22</f>
        <v>0</v>
      </c>
      <c r="FJ420" s="60" t="n">
        <f aca="false">$E$28*SUMPRODUCT($E$31:$P$31,CJ420:CU420,$E$28:$P$28)</f>
        <v>0.184416866619846</v>
      </c>
      <c r="FK420" s="60" t="n">
        <f aca="false">$F$28*SUMPRODUCT($E$32:$P$32,CJ420:CU420,$E$28:$P$28)</f>
        <v>0</v>
      </c>
      <c r="FL420" s="60" t="n">
        <f aca="false">$G$28*SUMPRODUCT($E$33:$P$33,CJ420:CU420,$E$28:$P$28)</f>
        <v>0</v>
      </c>
      <c r="FM420" s="60" t="n">
        <f aca="false">$H$28*SUMPRODUCT($E$34:$P$34,CJ420:CU420,$E$28:$P$28)</f>
        <v>0</v>
      </c>
      <c r="FN420" s="60" t="n">
        <f aca="false">$I$28*SUMPRODUCT($E$35:$P$35,CJ420:CU420,$E$28:$P$28)</f>
        <v>0</v>
      </c>
      <c r="FO420" s="60" t="n">
        <f aca="false">$J$28*SUMPRODUCT($E$36:$P$36,CJ420:CU420,$E$28:$P$28)</f>
        <v>0</v>
      </c>
      <c r="FP420" s="60" t="n">
        <f aca="false">$K$28*SUMPRODUCT($E$37:$P$37,CJ420:CU420,$E$28:$P$28)</f>
        <v>0</v>
      </c>
      <c r="FQ420" s="60" t="n">
        <f aca="false">$L$28*SUMPRODUCT($E$38:$P$38,CJ420:CU420,$E$28:$P$28)</f>
        <v>0</v>
      </c>
      <c r="FR420" s="60" t="n">
        <f aca="false">$M$28*SUMPRODUCT($E$39:$P$39,CJ420:CU420,$E$28:$P$28)</f>
        <v>0</v>
      </c>
      <c r="FS420" s="60" t="n">
        <f aca="false">$N$28*SUMPRODUCT($E$40:$P$40,CJ420:CU420,$E$28:$P$28)</f>
        <v>0</v>
      </c>
      <c r="FT420" s="60" t="n">
        <f aca="false">$O$28*SUMPRODUCT($E$41:$P$41,CJ420:CU420,$E$28:$P$28)</f>
        <v>0</v>
      </c>
      <c r="FU420" s="60" t="n">
        <f aca="false">$P$28*SUMPRODUCT($E$42:$P$42,CJ420:CU420,$E$28:$P$28)</f>
        <v>0</v>
      </c>
      <c r="FV420" s="60" t="n">
        <f aca="false">SUMPRODUCT(CJ420:CU420,FJ420:FU420)</f>
        <v>0.184416866619846</v>
      </c>
      <c r="FW420" s="60" t="n">
        <f aca="false">SUMPRODUCT(CJ420:CU420,$E$27:$P$27)</f>
        <v>2.67389635063809E-005</v>
      </c>
      <c r="FX420" s="60" t="n">
        <f aca="false">FV420*$C$9/($C$10*$C$8)^2</f>
        <v>0.21776909410545</v>
      </c>
      <c r="FY420" s="60" t="n">
        <f aca="false">FW420*$C$9/($C$10*$C$8)</f>
        <v>0.0918845243259994</v>
      </c>
      <c r="FZ420" s="60" t="n">
        <f aca="false">CHOOSE($C$7,-(1+FY420),-1,-(1-FY420))</f>
        <v>-0.908115475674001</v>
      </c>
      <c r="GA420" s="60" t="n">
        <f aca="false">CHOOSE($C$7,FX420,FX420-FY420-FY420^2,FX420-3*FY420^2-2*FY420)</f>
        <v>0.00867174802160559</v>
      </c>
      <c r="GB420" s="60" t="n">
        <f aca="false">CHOOSE($C$7,-FX420*FY420,-FX420*FY420,-(FX420*FY420-FY420^2-FY420^3))</f>
        <v>-0.0107910842936637</v>
      </c>
      <c r="GC420" s="60" t="n">
        <f aca="false">GA420-FZ420^2/3</f>
        <v>-0.266219491031267</v>
      </c>
      <c r="GD420" s="60" t="n">
        <f aca="false">2*FZ420^3/27-FZ420*GA420/3+GB420</f>
        <v>-0.0636400988362784</v>
      </c>
      <c r="GE420" s="60" t="n">
        <f aca="false">GD420^2/4+GC420^3/27</f>
        <v>0.000313710901361829</v>
      </c>
      <c r="GF420" s="60" t="n">
        <f aca="false">-GD420/2-IF(GD420&gt;=0,1,-1)*SQRT(MAX(GE420,0))</f>
        <v>0.0495319352963236</v>
      </c>
      <c r="GG420" s="60" t="n">
        <f aca="false">SIGN(GF420)*ABS(GF420)^(1/3)</f>
        <v>0.367249967174439</v>
      </c>
      <c r="GH420" s="60" t="n">
        <f aca="false">IF(GG420=0,0,GG420-GC420/(3*GG420))</f>
        <v>0.60888329127384</v>
      </c>
      <c r="GI420" s="60" t="n">
        <f aca="false">2*SQRT(MAX(-GC420,0)/3)</f>
        <v>0.595784626668918</v>
      </c>
      <c r="GJ420" s="60" t="n">
        <f aca="false">ACOS(IF(GI420=0,0,MAX(-1,MIN(1,3*GD420/(GC420*GI420)))))</f>
        <v>0</v>
      </c>
      <c r="GK420" s="60" t="n">
        <f aca="false">GI420*COS(GJ420/3)</f>
        <v>0.595784626668918</v>
      </c>
      <c r="GL420" s="60" t="n">
        <f aca="false">IF(GE420&lt;0,GK420,GH420)-FZ420/3</f>
        <v>0.91158844983184</v>
      </c>
      <c r="GM420" s="60" t="n">
        <f aca="false">IFERROR((((GL420+FZ420)*GL420+GA420)*GL420+GB420)/((3*GL420+2*FZ420)*GL420+GA420),0)</f>
        <v>0</v>
      </c>
      <c r="GN420" s="60" t="n">
        <f aca="false">IF(ABS(GM420)&lt;0.1*ABS(GL420),GL420-GM420,GL420)</f>
        <v>0.91158844983184</v>
      </c>
      <c r="GO420" s="60" t="n">
        <f aca="false">IFERROR((((GN420+FZ420)*GN420+GA420)*GN420+GB420)/((3*GN420+2*FZ420)*GN420+GA420),0)</f>
        <v>0</v>
      </c>
      <c r="GP420" s="60" t="n">
        <f aca="false">IF(ABS(GO420)&lt;0.1*ABS(GN420),GN420-GO420,GN420)</f>
        <v>0.91158844983184</v>
      </c>
      <c r="GQ420" s="60" t="n">
        <f aca="false">-GB420/GP420</f>
        <v>0.0118376711504565</v>
      </c>
      <c r="GR420" s="60" t="n">
        <f aca="false">(GA420-GQ420)/GP420</f>
        <v>-0.00347297415783941</v>
      </c>
      <c r="GS420" s="60" t="n">
        <f aca="false">GR420^2-4*GQ420</f>
        <v>-0.0473386230523248</v>
      </c>
      <c r="GT420" s="60" t="n">
        <f aca="false">IF(GS420&gt;=0,(GR420+IF(GR420&gt;=0,1,-1)*SQRT(GS420))/2,0)</f>
        <v>0</v>
      </c>
      <c r="GU420" s="60" t="n">
        <f aca="false">IF(AND(GS420&gt;=0,GT420&lt;&gt;0),MIN(GT420,GQ420/GT420),-1)</f>
        <v>-1</v>
      </c>
      <c r="GV420" s="60" t="n">
        <f aca="false">AND(GS420&gt;=0,GU420&gt;FY420,ABS(GP420-GU420)&gt;=0.00005*MAX(GP420,GU420))</f>
        <v>0</v>
      </c>
      <c r="GW420" s="60" t="n">
        <f aca="false">IF(GV420,IFERROR((((GU420+FZ420)*GU420+GA420)*GU420+GB420)/((3*GU420+2*FZ420)*GU420+GA420),0),0)</f>
        <v>0</v>
      </c>
      <c r="GX420" s="60" t="n">
        <f aca="false">IF(ABS(GW420)&lt;0.1*ABS(GU420),GU420-GW420,GU420)</f>
        <v>-1</v>
      </c>
      <c r="GY420" s="60" t="n">
        <f aca="false">IF(GV420,IFERROR((((GX420+FZ420)*GX420+GA420)*GX420+GB420)/((3*GX420+2*FZ420)*GX420+GA420),0),0)</f>
        <v>0</v>
      </c>
      <c r="GZ420" s="60" t="n">
        <f aca="false">IF(ABS(GY420)&lt;0.1*ABS(GX420),GX420-GY420,GX420)</f>
        <v>-1</v>
      </c>
      <c r="HA420" s="60" t="n">
        <f aca="false">IF(GV420,MAX(GP420,GZ420),GP420)</f>
        <v>0.91158844983184</v>
      </c>
      <c r="HB420" s="60" t="n">
        <f aca="false">IF(GV420,MIN(GP420,GZ420),-1)</f>
        <v>-1</v>
      </c>
      <c r="HC420" s="60" t="n">
        <f aca="false">CHOOSE($C$7,FX420/HA420,FX420/FY420*LN(1+FY420/HA420),FX420/(2*SQRT(2)*FY420)*LN((HA420+(1+SQRT(2))*FY420)/(HA420+(1-SQRT(2))*FY420)))</f>
        <v>0.218240791233887</v>
      </c>
      <c r="HD420" s="60" t="n">
        <f aca="false">HA420-1-LN(HA420-FY420)-HC420</f>
        <v>-0.107840271021729</v>
      </c>
      <c r="HE420" s="60" t="n">
        <f aca="false">IF(GV420,CHOOSE($C$7,FX420/HB420,FX420/FY420*LN(1+FY420/HB420),FX420/(2*SQRT(2)*FY420)*LN((HB420+(1+SQRT(2))*FY420)/(HB420+(1-SQRT(2))*FY420))),0)</f>
        <v>0</v>
      </c>
      <c r="HF420" s="60" t="n">
        <f aca="false">IF(GV420,HB420-1-LN(HB420-FY420)-HE420,0)</f>
        <v>0</v>
      </c>
      <c r="HG420" s="60" t="n">
        <f aca="false">AND(GV420,HF420&lt;HD420)</f>
        <v>0</v>
      </c>
      <c r="HH420" s="60" t="n">
        <f aca="false">IF(HG420,HB420,HA420)</f>
        <v>0.91158844983184</v>
      </c>
      <c r="HI420" s="60" t="n">
        <f aca="false">IF(HG420,HE420,HC420)</f>
        <v>0.218240791233887</v>
      </c>
      <c r="HJ420" s="60" t="n">
        <f aca="false">LN(HH420-FY420)</f>
        <v>-0.198812070380318</v>
      </c>
      <c r="HK420" s="60" t="n">
        <f aca="false">$E$27/FW420*(HH420-1)-HJ420-HI420*(2*FJ420/FV420-$E$27/FW420)</f>
        <v>-0.107840271021729</v>
      </c>
      <c r="HL420" s="60" t="n">
        <f aca="false">$F$27/FW420*(HH420-1)-HJ420-HI420*(2*FK420/FV420-$F$27/FW420)</f>
        <v>0.198812070380318</v>
      </c>
      <c r="HM420" s="60" t="n">
        <f aca="false">$G$27/FW420*(HH420-1)-HJ420-HI420*(2*FL420/FV420-$G$27/FW420)</f>
        <v>0.198812070380318</v>
      </c>
      <c r="HN420" s="60" t="n">
        <f aca="false">$H$27/FW420*(HH420-1)-HJ420-HI420*(2*FM420/FV420-$H$27/FW420)</f>
        <v>0.198812070380318</v>
      </c>
      <c r="HO420" s="60" t="n">
        <f aca="false">$I$27/FW420*(HH420-1)-HJ420-HI420*(2*FN420/FV420-$I$27/FW420)</f>
        <v>0.198812070380318</v>
      </c>
      <c r="HP420" s="60" t="n">
        <f aca="false">$J$27/FW420*(HH420-1)-HJ420-HI420*(2*FO420/FV420-$J$27/FW420)</f>
        <v>0.198812070380318</v>
      </c>
      <c r="HQ420" s="60" t="n">
        <f aca="false">$K$27/FW420*(HH420-1)-HJ420-HI420*(2*FP420/FV420-$K$27/FW420)</f>
        <v>0.198812070380318</v>
      </c>
      <c r="HR420" s="60" t="n">
        <f aca="false">$L$27/FW420*(HH420-1)-HJ420-HI420*(2*FQ420/FV420-$L$27/FW420)</f>
        <v>0.198812070380318</v>
      </c>
      <c r="HS420" s="60" t="n">
        <f aca="false">$M$27/FW420*(HH420-1)-HJ420-HI420*(2*FR420/FV420-$M$27/FW420)</f>
        <v>0.198812070380318</v>
      </c>
      <c r="HT420" s="60" t="n">
        <f aca="false">$N$27/FW420*(HH420-1)-HJ420-HI420*(2*FS420/FV420-$N$27/FW420)</f>
        <v>0.198812070380318</v>
      </c>
      <c r="HU420" s="60" t="n">
        <f aca="false">$O$27/FW420*(HH420-1)-HJ420-HI420*(2*FT420/FV420-$O$27/FW420)</f>
        <v>0.198812070380318</v>
      </c>
      <c r="HV420" s="60" t="n">
        <f aca="false">$P$27/FW420*(HH420-1)-HJ420-HI420*(2*FU420/FV420-$P$27/FW420)</f>
        <v>0.198812070380318</v>
      </c>
      <c r="HW420" s="60" t="n">
        <f aca="false">FY420/HH420&gt;$C$22</f>
        <v>0</v>
      </c>
      <c r="HX420" s="60" t="n">
        <f aca="false">IF($E$13&gt;0,MAX(-300,MIN(300,EW420-HK420)),0)</f>
        <v>0</v>
      </c>
      <c r="HY420" s="60" t="n">
        <f aca="false">IF($F$13&gt;0,MAX(-300,MIN(300,EX420-HL420)),0)</f>
        <v>0</v>
      </c>
      <c r="HZ420" s="60" t="n">
        <f aca="false">IF($G$13&gt;0,MAX(-300,MIN(300,EY420-HM420)),0)</f>
        <v>0</v>
      </c>
      <c r="IA420" s="60" t="n">
        <f aca="false">IF($H$13&gt;0,MAX(-300,MIN(300,EZ420-HN420)),0)</f>
        <v>0</v>
      </c>
      <c r="IB420" s="60" t="n">
        <f aca="false">IF($I$13&gt;0,MAX(-300,MIN(300,FA420-HO420)),0)</f>
        <v>0</v>
      </c>
      <c r="IC420" s="60" t="n">
        <f aca="false">IF($J$13&gt;0,MAX(-300,MIN(300,FB420-HP420)),0)</f>
        <v>0</v>
      </c>
      <c r="ID420" s="60" t="n">
        <f aca="false">IF($K$13&gt;0,MAX(-300,MIN(300,FC420-HQ420)),0)</f>
        <v>0</v>
      </c>
      <c r="IE420" s="60" t="n">
        <f aca="false">IF($L$13&gt;0,MAX(-300,MIN(300,FD420-HR420)),0)</f>
        <v>0</v>
      </c>
      <c r="IF420" s="60" t="n">
        <f aca="false">IF($M$13&gt;0,MAX(-300,MIN(300,FE420-HS420)),0)</f>
        <v>0</v>
      </c>
      <c r="IG420" s="60" t="n">
        <f aca="false">IF($N$13&gt;0,MAX(-300,MIN(300,FF420-HT420)),0)</f>
        <v>0</v>
      </c>
      <c r="IH420" s="60" t="n">
        <f aca="false">IF($O$13&gt;0,MAX(-300,MIN(300,FG420-HU420)),0)</f>
        <v>0</v>
      </c>
      <c r="II420" s="60" t="n">
        <f aca="false">IF($P$13&gt;0,MAX(-300,MIN(300,FH420-HV420)),0)</f>
        <v>0</v>
      </c>
      <c r="IJ420" s="60" t="n">
        <f aca="false">SUMXMY2(HX420:II420,B420:M420)</f>
        <v>0</v>
      </c>
      <c r="IK420" s="60" t="n">
        <f aca="false">SUMSQ(B420:M420)</f>
        <v>0</v>
      </c>
    </row>
    <row r="421" customFormat="false" ht="15" hidden="false" customHeight="false" outlineLevel="0" collapsed="false">
      <c r="A421" s="59" t="n">
        <v>60</v>
      </c>
      <c r="B421" s="60" t="n">
        <f aca="false">HX420</f>
        <v>0</v>
      </c>
      <c r="C421" s="60" t="n">
        <f aca="false">HY420</f>
        <v>0</v>
      </c>
      <c r="D421" s="60" t="n">
        <f aca="false">HZ420</f>
        <v>0</v>
      </c>
      <c r="E421" s="60" t="n">
        <f aca="false">IA420</f>
        <v>0</v>
      </c>
      <c r="F421" s="60" t="n">
        <f aca="false">IB420</f>
        <v>0</v>
      </c>
      <c r="G421" s="60" t="n">
        <f aca="false">IC420</f>
        <v>0</v>
      </c>
      <c r="H421" s="60" t="n">
        <f aca="false">ID420</f>
        <v>0</v>
      </c>
      <c r="I421" s="60" t="n">
        <f aca="false">IE420</f>
        <v>0</v>
      </c>
      <c r="J421" s="60" t="n">
        <f aca="false">IF420</f>
        <v>0</v>
      </c>
      <c r="K421" s="60" t="n">
        <f aca="false">IG420</f>
        <v>0</v>
      </c>
      <c r="L421" s="60" t="n">
        <f aca="false">IH420</f>
        <v>0</v>
      </c>
      <c r="M421" s="60" t="n">
        <f aca="false">II420</f>
        <v>0</v>
      </c>
      <c r="N421" s="60" t="n">
        <f aca="false">EXP(B421)</f>
        <v>1</v>
      </c>
      <c r="O421" s="60" t="n">
        <f aca="false">EXP(C421)</f>
        <v>1</v>
      </c>
      <c r="P421" s="60" t="n">
        <f aca="false">EXP(D421)</f>
        <v>1</v>
      </c>
      <c r="Q421" s="60" t="n">
        <f aca="false">EXP(E421)</f>
        <v>1</v>
      </c>
      <c r="R421" s="60" t="n">
        <f aca="false">EXP(F421)</f>
        <v>1</v>
      </c>
      <c r="S421" s="60" t="n">
        <f aca="false">EXP(G421)</f>
        <v>1</v>
      </c>
      <c r="T421" s="60" t="n">
        <f aca="false">EXP(H421)</f>
        <v>1</v>
      </c>
      <c r="U421" s="60" t="n">
        <f aca="false">EXP(I421)</f>
        <v>1</v>
      </c>
      <c r="V421" s="60" t="n">
        <f aca="false">EXP(J421)</f>
        <v>1</v>
      </c>
      <c r="W421" s="60" t="n">
        <f aca="false">EXP(K421)</f>
        <v>1</v>
      </c>
      <c r="X421" s="60" t="n">
        <f aca="false">EXP(L421)</f>
        <v>1</v>
      </c>
      <c r="Y421" s="60" t="n">
        <f aca="false">EXP(M421)</f>
        <v>1</v>
      </c>
      <c r="Z421" s="60" t="n">
        <f aca="false">MAX(N421:Y421)</f>
        <v>1</v>
      </c>
      <c r="AA421" s="60" t="n">
        <f aca="false">MIN(N421:Y421)</f>
        <v>1</v>
      </c>
      <c r="AB421" s="60" t="n">
        <f aca="false">AND(Z421&gt;1,AA421&lt;1)</f>
        <v>0</v>
      </c>
      <c r="AC421" s="60" t="n">
        <f aca="false">IF(AB421,1/(1-Z421),0)</f>
        <v>0</v>
      </c>
      <c r="AD421" s="60" t="n">
        <f aca="false">IF(AB421,1/(1-AA421),1)</f>
        <v>1</v>
      </c>
      <c r="AE421" s="60" t="n">
        <f aca="false">IF(AB421,MIN(MAX(BI420,AC421+0.000000001*(AD421-AC421)),AD421-0.000000001*(AD421-AC421)),IF(AA421&gt;=1,1,0))</f>
        <v>1</v>
      </c>
      <c r="AF421" s="60" t="n">
        <f aca="false">SUMPRODUCT($E$13:$P$13*(N421:Y421-1)/(1+AE421*(N421:Y421-1)))</f>
        <v>0</v>
      </c>
      <c r="AG421" s="60" t="n">
        <f aca="false">-SUMPRODUCT($E$13:$P$13*(N421:Y421-1)^2/(1+AE421*(N421:Y421-1))^2)</f>
        <v>-0</v>
      </c>
      <c r="AH421" s="60" t="n">
        <f aca="false">IF(OR(NOT(AB421),AG421=0),AE421,IF(AE421-AF421/AG421&lt;=AC421,(AE421+AC421)/2,IF(AE421-AF421/AG421&gt;=AD421,(AE421+AD421)/2,AE421-AF421/AG421)))</f>
        <v>1</v>
      </c>
      <c r="AI421" s="60" t="n">
        <f aca="false">SUMPRODUCT($E$13:$P$13*(N421:Y421-1)/(1+AH421*(N421:Y421-1)))</f>
        <v>0</v>
      </c>
      <c r="AJ421" s="60" t="n">
        <f aca="false">-SUMPRODUCT($E$13:$P$13*(N421:Y421-1)^2/(1+AH421*(N421:Y421-1))^2)</f>
        <v>-0</v>
      </c>
      <c r="AK421" s="60" t="n">
        <f aca="false">IF(OR(NOT(AB421),AJ421=0),AH421,IF(AH421-AI421/AJ421&lt;=AC421,(AH421+AC421)/2,IF(AH421-AI421/AJ421&gt;=AD421,(AH421+AD421)/2,AH421-AI421/AJ421)))</f>
        <v>1</v>
      </c>
      <c r="AL421" s="60" t="n">
        <f aca="false">SUMPRODUCT($E$13:$P$13*(N421:Y421-1)/(1+AK421*(N421:Y421-1)))</f>
        <v>0</v>
      </c>
      <c r="AM421" s="60" t="n">
        <f aca="false">-SUMPRODUCT($E$13:$P$13*(N421:Y421-1)^2/(1+AK421*(N421:Y421-1))^2)</f>
        <v>-0</v>
      </c>
      <c r="AN421" s="60" t="n">
        <f aca="false">IF(OR(NOT(AB421),AM421=0),AK421,IF(AK421-AL421/AM421&lt;=AC421,(AK421+AC421)/2,IF(AK421-AL421/AM421&gt;=AD421,(AK421+AD421)/2,AK421-AL421/AM421)))</f>
        <v>1</v>
      </c>
      <c r="AO421" s="60" t="n">
        <f aca="false">SUMPRODUCT($E$13:$P$13*(N421:Y421-1)/(1+AN421*(N421:Y421-1)))</f>
        <v>0</v>
      </c>
      <c r="AP421" s="60" t="n">
        <f aca="false">-SUMPRODUCT($E$13:$P$13*(N421:Y421-1)^2/(1+AN421*(N421:Y421-1))^2)</f>
        <v>-0</v>
      </c>
      <c r="AQ421" s="60" t="n">
        <f aca="false">IF(OR(NOT(AB421),AP421=0),AN421,IF(AN421-AO421/AP421&lt;=AC421,(AN421+AC421)/2,IF(AN421-AO421/AP421&gt;=AD421,(AN421+AD421)/2,AN421-AO421/AP421)))</f>
        <v>1</v>
      </c>
      <c r="AR421" s="60" t="n">
        <f aca="false">SUMPRODUCT($E$13:$P$13*(N421:Y421-1)/(1+AQ421*(N421:Y421-1)))</f>
        <v>0</v>
      </c>
      <c r="AS421" s="60" t="n">
        <f aca="false">-SUMPRODUCT($E$13:$P$13*(N421:Y421-1)^2/(1+AQ421*(N421:Y421-1))^2)</f>
        <v>-0</v>
      </c>
      <c r="AT421" s="60" t="n">
        <f aca="false">IF(OR(NOT(AB421),AS421=0),AQ421,IF(AQ421-AR421/AS421&lt;=AC421,(AQ421+AC421)/2,IF(AQ421-AR421/AS421&gt;=AD421,(AQ421+AD421)/2,AQ421-AR421/AS421)))</f>
        <v>1</v>
      </c>
      <c r="AU421" s="60" t="n">
        <f aca="false">SUMPRODUCT($E$13:$P$13*(N421:Y421-1)/(1+AT421*(N421:Y421-1)))</f>
        <v>0</v>
      </c>
      <c r="AV421" s="60" t="n">
        <f aca="false">-SUMPRODUCT($E$13:$P$13*(N421:Y421-1)^2/(1+AT421*(N421:Y421-1))^2)</f>
        <v>-0</v>
      </c>
      <c r="AW421" s="60" t="n">
        <f aca="false">IF(OR(NOT(AB421),AV421=0),AT421,IF(AT421-AU421/AV421&lt;=AC421,(AT421+AC421)/2,IF(AT421-AU421/AV421&gt;=AD421,(AT421+AD421)/2,AT421-AU421/AV421)))</f>
        <v>1</v>
      </c>
      <c r="AX421" s="60" t="n">
        <f aca="false">SUMPRODUCT($E$13:$P$13*(N421:Y421-1)/(1+AW421*(N421:Y421-1)))</f>
        <v>0</v>
      </c>
      <c r="AY421" s="60" t="n">
        <f aca="false">-SUMPRODUCT($E$13:$P$13*(N421:Y421-1)^2/(1+AW421*(N421:Y421-1))^2)</f>
        <v>-0</v>
      </c>
      <c r="AZ421" s="60" t="n">
        <f aca="false">IF(OR(NOT(AB421),AY421=0),AW421,IF(AW421-AX421/AY421&lt;=AC421,(AW421+AC421)/2,IF(AW421-AX421/AY421&gt;=AD421,(AW421+AD421)/2,AW421-AX421/AY421)))</f>
        <v>1</v>
      </c>
      <c r="BA421" s="60" t="n">
        <f aca="false">SUMPRODUCT($E$13:$P$13*(N421:Y421-1)/(1+AZ421*(N421:Y421-1)))</f>
        <v>0</v>
      </c>
      <c r="BB421" s="60" t="n">
        <f aca="false">-SUMPRODUCT($E$13:$P$13*(N421:Y421-1)^2/(1+AZ421*(N421:Y421-1))^2)</f>
        <v>-0</v>
      </c>
      <c r="BC421" s="60" t="n">
        <f aca="false">IF(OR(NOT(AB421),BB421=0),AZ421,IF(AZ421-BA421/BB421&lt;=AC421,(AZ421+AC421)/2,IF(AZ421-BA421/BB421&gt;=AD421,(AZ421+AD421)/2,AZ421-BA421/BB421)))</f>
        <v>1</v>
      </c>
      <c r="BD421" s="60" t="n">
        <f aca="false">SUMPRODUCT($E$13:$P$13*(N421:Y421-1)/(1+BC421*(N421:Y421-1)))</f>
        <v>0</v>
      </c>
      <c r="BE421" s="60" t="n">
        <f aca="false">-SUMPRODUCT($E$13:$P$13*(N421:Y421-1)^2/(1+BC421*(N421:Y421-1))^2)</f>
        <v>-0</v>
      </c>
      <c r="BF421" s="60" t="n">
        <f aca="false">IF(OR(NOT(AB421),BE421=0),BC421,IF(BC421-BD421/BE421&lt;=AC421,(BC421+AC421)/2,IF(BC421-BD421/BE421&gt;=AD421,(BC421+AD421)/2,BC421-BD421/BE421)))</f>
        <v>1</v>
      </c>
      <c r="BG421" s="60" t="n">
        <f aca="false">SUMPRODUCT($E$13:$P$13*(N421:Y421-1)/(1+BF421*(N421:Y421-1)))</f>
        <v>0</v>
      </c>
      <c r="BH421" s="60" t="n">
        <f aca="false">-SUMPRODUCT($E$13:$P$13*(N421:Y421-1)^2/(1+BF421*(N421:Y421-1))^2)</f>
        <v>-0</v>
      </c>
      <c r="BI421" s="61" t="n">
        <f aca="false">IF(OR(NOT(AB421),BH421=0),BF421,IF(BF421-BG421/BH421&lt;=AC421,(BF421+AC421)/2,IF(BF421-BG421/BH421&gt;=AD421,(BF421+AD421)/2,BF421-BG421/BH421)))</f>
        <v>1</v>
      </c>
      <c r="BJ421" s="60" t="n">
        <f aca="false">$E$13/(1+BI421*(N421-1))</f>
        <v>1</v>
      </c>
      <c r="BK421" s="60" t="n">
        <f aca="false">$F$13/(1+BI421*(O421-1))</f>
        <v>0</v>
      </c>
      <c r="BL421" s="60" t="n">
        <f aca="false">$G$13/(1+BI421*(P421-1))</f>
        <v>0</v>
      </c>
      <c r="BM421" s="60" t="n">
        <f aca="false">$H$13/(1+BI421*(Q421-1))</f>
        <v>0</v>
      </c>
      <c r="BN421" s="60" t="n">
        <f aca="false">$I$13/(1+BI421*(R421-1))</f>
        <v>0</v>
      </c>
      <c r="BO421" s="60" t="n">
        <f aca="false">$J$13/(1+BI421*(S421-1))</f>
        <v>0</v>
      </c>
      <c r="BP421" s="60" t="n">
        <f aca="false">$K$13/(1+BI421*(T421-1))</f>
        <v>0</v>
      </c>
      <c r="BQ421" s="60" t="n">
        <f aca="false">$L$13/(1+BI421*(U421-1))</f>
        <v>0</v>
      </c>
      <c r="BR421" s="60" t="n">
        <f aca="false">$M$13/(1+BI421*(V421-1))</f>
        <v>0</v>
      </c>
      <c r="BS421" s="60" t="n">
        <f aca="false">$N$13/(1+BI421*(W421-1))</f>
        <v>0</v>
      </c>
      <c r="BT421" s="60" t="n">
        <f aca="false">$O$13/(1+BI421*(X421-1))</f>
        <v>0</v>
      </c>
      <c r="BU421" s="60" t="n">
        <f aca="false">$P$13/(1+BI421*(Y421-1))</f>
        <v>0</v>
      </c>
      <c r="BV421" s="60" t="n">
        <f aca="false">SUM(BJ421:BU421)</f>
        <v>1</v>
      </c>
      <c r="BW421" s="60" t="n">
        <f aca="false">SUMPRODUCT(N421:Y421,BJ421:BU421)</f>
        <v>1</v>
      </c>
      <c r="BX421" s="60" t="n">
        <f aca="false">BJ421/BV421</f>
        <v>1</v>
      </c>
      <c r="BY421" s="60" t="n">
        <f aca="false">BK421/BV421</f>
        <v>0</v>
      </c>
      <c r="BZ421" s="60" t="n">
        <f aca="false">BL421/BV421</f>
        <v>0</v>
      </c>
      <c r="CA421" s="60" t="n">
        <f aca="false">BM421/BV421</f>
        <v>0</v>
      </c>
      <c r="CB421" s="60" t="n">
        <f aca="false">BN421/BV421</f>
        <v>0</v>
      </c>
      <c r="CC421" s="60" t="n">
        <f aca="false">BO421/BV421</f>
        <v>0</v>
      </c>
      <c r="CD421" s="60" t="n">
        <f aca="false">BP421/BV421</f>
        <v>0</v>
      </c>
      <c r="CE421" s="60" t="n">
        <f aca="false">BQ421/BV421</f>
        <v>0</v>
      </c>
      <c r="CF421" s="60" t="n">
        <f aca="false">BR421/BV421</f>
        <v>0</v>
      </c>
      <c r="CG421" s="60" t="n">
        <f aca="false">BS421/BV421</f>
        <v>0</v>
      </c>
      <c r="CH421" s="60" t="n">
        <f aca="false">BT421/BV421</f>
        <v>0</v>
      </c>
      <c r="CI421" s="60" t="n">
        <f aca="false">BU421/BV421</f>
        <v>0</v>
      </c>
      <c r="CJ421" s="60" t="n">
        <f aca="false">N421*BJ421/BW421</f>
        <v>1</v>
      </c>
      <c r="CK421" s="60" t="n">
        <f aca="false">O421*BK421/BW421</f>
        <v>0</v>
      </c>
      <c r="CL421" s="60" t="n">
        <f aca="false">P421*BL421/BW421</f>
        <v>0</v>
      </c>
      <c r="CM421" s="60" t="n">
        <f aca="false">Q421*BM421/BW421</f>
        <v>0</v>
      </c>
      <c r="CN421" s="60" t="n">
        <f aca="false">R421*BN421/BW421</f>
        <v>0</v>
      </c>
      <c r="CO421" s="60" t="n">
        <f aca="false">S421*BO421/BW421</f>
        <v>0</v>
      </c>
      <c r="CP421" s="60" t="n">
        <f aca="false">T421*BP421/BW421</f>
        <v>0</v>
      </c>
      <c r="CQ421" s="60" t="n">
        <f aca="false">U421*BQ421/BW421</f>
        <v>0</v>
      </c>
      <c r="CR421" s="60" t="n">
        <f aca="false">V421*BR421/BW421</f>
        <v>0</v>
      </c>
      <c r="CS421" s="60" t="n">
        <f aca="false">W421*BS421/BW421</f>
        <v>0</v>
      </c>
      <c r="CT421" s="60" t="n">
        <f aca="false">X421*BT421/BW421</f>
        <v>0</v>
      </c>
      <c r="CU421" s="60" t="n">
        <f aca="false">Y421*BU421/BW421</f>
        <v>0</v>
      </c>
      <c r="CV421" s="60" t="n">
        <f aca="false">$E$28*SUMPRODUCT($E$31:$P$31,BX421:CI421,$E$28:$P$28)</f>
        <v>0.184416866619846</v>
      </c>
      <c r="CW421" s="60" t="n">
        <f aca="false">$F$28*SUMPRODUCT($E$32:$P$32,BX421:CI421,$E$28:$P$28)</f>
        <v>0</v>
      </c>
      <c r="CX421" s="60" t="n">
        <f aca="false">$G$28*SUMPRODUCT($E$33:$P$33,BX421:CI421,$E$28:$P$28)</f>
        <v>0</v>
      </c>
      <c r="CY421" s="60" t="n">
        <f aca="false">$H$28*SUMPRODUCT($E$34:$P$34,BX421:CI421,$E$28:$P$28)</f>
        <v>0</v>
      </c>
      <c r="CZ421" s="60" t="n">
        <f aca="false">$I$28*SUMPRODUCT($E$35:$P$35,BX421:CI421,$E$28:$P$28)</f>
        <v>0</v>
      </c>
      <c r="DA421" s="60" t="n">
        <f aca="false">$J$28*SUMPRODUCT($E$36:$P$36,BX421:CI421,$E$28:$P$28)</f>
        <v>0</v>
      </c>
      <c r="DB421" s="60" t="n">
        <f aca="false">$K$28*SUMPRODUCT($E$37:$P$37,BX421:CI421,$E$28:$P$28)</f>
        <v>0</v>
      </c>
      <c r="DC421" s="60" t="n">
        <f aca="false">$L$28*SUMPRODUCT($E$38:$P$38,BX421:CI421,$E$28:$P$28)</f>
        <v>0</v>
      </c>
      <c r="DD421" s="60" t="n">
        <f aca="false">$M$28*SUMPRODUCT($E$39:$P$39,BX421:CI421,$E$28:$P$28)</f>
        <v>0</v>
      </c>
      <c r="DE421" s="60" t="n">
        <f aca="false">$N$28*SUMPRODUCT($E$40:$P$40,BX421:CI421,$E$28:$P$28)</f>
        <v>0</v>
      </c>
      <c r="DF421" s="60" t="n">
        <f aca="false">$O$28*SUMPRODUCT($E$41:$P$41,BX421:CI421,$E$28:$P$28)</f>
        <v>0</v>
      </c>
      <c r="DG421" s="60" t="n">
        <f aca="false">$P$28*SUMPRODUCT($E$42:$P$42,BX421:CI421,$E$28:$P$28)</f>
        <v>0</v>
      </c>
      <c r="DH421" s="60" t="n">
        <f aca="false">SUMPRODUCT(BX421:CI421,CV421:DG421)</f>
        <v>0.184416866619846</v>
      </c>
      <c r="DI421" s="60" t="n">
        <f aca="false">SUMPRODUCT(BX421:CI421,$E$27:$P$27)</f>
        <v>2.67389635063809E-005</v>
      </c>
      <c r="DJ421" s="60" t="n">
        <f aca="false">DH421*$C$9/($C$10*$C$8)^2</f>
        <v>0.21776909410545</v>
      </c>
      <c r="DK421" s="60" t="n">
        <f aca="false">DI421*$C$9/($C$10*$C$8)</f>
        <v>0.0918845243259994</v>
      </c>
      <c r="DL421" s="60" t="n">
        <f aca="false">CHOOSE($C$7,-(1+DK421),-1,-(1-DK421))</f>
        <v>-0.908115475674001</v>
      </c>
      <c r="DM421" s="60" t="n">
        <f aca="false">CHOOSE($C$7,DJ421,DJ421-DK421-DK421^2,DJ421-3*DK421^2-2*DK421)</f>
        <v>0.00867174802160559</v>
      </c>
      <c r="DN421" s="60" t="n">
        <f aca="false">CHOOSE($C$7,-DJ421*DK421,-DJ421*DK421,-(DJ421*DK421-DK421^2-DK421^3))</f>
        <v>-0.0107910842936637</v>
      </c>
      <c r="DO421" s="60" t="n">
        <f aca="false">DM421-DL421^2/3</f>
        <v>-0.266219491031267</v>
      </c>
      <c r="DP421" s="60" t="n">
        <f aca="false">2*DL421^3/27-DL421*DM421/3+DN421</f>
        <v>-0.0636400988362784</v>
      </c>
      <c r="DQ421" s="60" t="n">
        <f aca="false">DP421^2/4+DO421^3/27</f>
        <v>0.000313710901361829</v>
      </c>
      <c r="DR421" s="60" t="n">
        <f aca="false">-DP421/2-IF(DP421&gt;=0,1,-1)*SQRT(MAX(DQ421,0))</f>
        <v>0.0495319352963236</v>
      </c>
      <c r="DS421" s="60" t="n">
        <f aca="false">SIGN(DR421)*ABS(DR421)^(1/3)</f>
        <v>0.367249967174439</v>
      </c>
      <c r="DT421" s="60" t="n">
        <f aca="false">IF(DS421=0,0,DS421-DO421/(3*DS421))</f>
        <v>0.60888329127384</v>
      </c>
      <c r="DU421" s="60" t="n">
        <f aca="false">2*SQRT(MAX(-DO421,0)/3)</f>
        <v>0.595784626668918</v>
      </c>
      <c r="DV421" s="60" t="n">
        <f aca="false">ACOS(IF(DU421=0,0,MAX(-1,MIN(1,3*DP421/(DO421*DU421)))))</f>
        <v>0</v>
      </c>
      <c r="DW421" s="60" t="n">
        <f aca="false">DU421*COS(DV421/3)</f>
        <v>0.595784626668918</v>
      </c>
      <c r="DX421" s="60" t="n">
        <f aca="false">IF(DQ421&lt;0,DW421,DT421)-DL421/3</f>
        <v>0.91158844983184</v>
      </c>
      <c r="DY421" s="60" t="n">
        <f aca="false">IFERROR((((DX421+DL421)*DX421+DM421)*DX421+DN421)/((3*DX421+2*DL421)*DX421+DM421),0)</f>
        <v>0</v>
      </c>
      <c r="DZ421" s="60" t="n">
        <f aca="false">IF(ABS(DY421)&lt;0.1*ABS(DX421),DX421-DY421,DX421)</f>
        <v>0.91158844983184</v>
      </c>
      <c r="EA421" s="60" t="n">
        <f aca="false">IFERROR((((DZ421+DL421)*DZ421+DM421)*DZ421+DN421)/((3*DZ421+2*DL421)*DZ421+DM421),0)</f>
        <v>0</v>
      </c>
      <c r="EB421" s="60" t="n">
        <f aca="false">IF(ABS(EA421)&lt;0.1*ABS(DZ421),DZ421-EA421,DZ421)</f>
        <v>0.91158844983184</v>
      </c>
      <c r="EC421" s="60" t="n">
        <f aca="false">-DN421/EB421</f>
        <v>0.0118376711504565</v>
      </c>
      <c r="ED421" s="60" t="n">
        <f aca="false">(DM421-EC421)/EB421</f>
        <v>-0.00347297415783941</v>
      </c>
      <c r="EE421" s="60" t="n">
        <f aca="false">ED421^2-4*EC421</f>
        <v>-0.0473386230523248</v>
      </c>
      <c r="EF421" s="60" t="n">
        <f aca="false">IF(EE421&gt;=0,(ED421+IF(ED421&gt;=0,1,-1)*SQRT(EE421))/2,0)</f>
        <v>0</v>
      </c>
      <c r="EG421" s="60" t="n">
        <f aca="false">IF(AND(EE421&gt;=0,EF421&lt;&gt;0),MIN(EF421,EC421/EF421),-1)</f>
        <v>-1</v>
      </c>
      <c r="EH421" s="60" t="n">
        <f aca="false">AND(EE421&gt;=0,EG421&gt;DK421,ABS(EB421-EG421)&gt;=0.00005*MAX(EB421,EG421))</f>
        <v>0</v>
      </c>
      <c r="EI421" s="60" t="n">
        <f aca="false">IF(EH421,IFERROR((((EG421+DL421)*EG421+DM421)*EG421+DN421)/((3*EG421+2*DL421)*EG421+DM421),0),0)</f>
        <v>0</v>
      </c>
      <c r="EJ421" s="60" t="n">
        <f aca="false">IF(ABS(EI421)&lt;0.1*ABS(EG421),EG421-EI421,EG421)</f>
        <v>-1</v>
      </c>
      <c r="EK421" s="60" t="n">
        <f aca="false">IF(EH421,IFERROR((((EJ421+DL421)*EJ421+DM421)*EJ421+DN421)/((3*EJ421+2*DL421)*EJ421+DM421),0),0)</f>
        <v>0</v>
      </c>
      <c r="EL421" s="60" t="n">
        <f aca="false">IF(ABS(EK421)&lt;0.1*ABS(EJ421),EJ421-EK421,EJ421)</f>
        <v>-1</v>
      </c>
      <c r="EM421" s="60" t="n">
        <f aca="false">IF(EH421,MAX(EB421,EL421),EB421)</f>
        <v>0.91158844983184</v>
      </c>
      <c r="EN421" s="60" t="n">
        <f aca="false">IF(EH421,MIN(EB421,EL421),-1)</f>
        <v>-1</v>
      </c>
      <c r="EO421" s="60" t="n">
        <f aca="false">CHOOSE($C$7,DJ421/EM421,DJ421/DK421*LN(1+DK421/EM421),DJ421/(2*SQRT(2)*DK421)*LN((EM421+(1+SQRT(2))*DK421)/(EM421+(1-SQRT(2))*DK421)))</f>
        <v>0.218240791233887</v>
      </c>
      <c r="EP421" s="60" t="n">
        <f aca="false">EM421-1-LN(EM421-DK421)-EO421</f>
        <v>-0.107840271021729</v>
      </c>
      <c r="EQ421" s="60" t="n">
        <f aca="false">IF(EH421,CHOOSE($C$7,DJ421/EN421,DJ421/DK421*LN(1+DK421/EN421),DJ421/(2*SQRT(2)*DK421)*LN((EN421+(1+SQRT(2))*DK421)/(EN421+(1-SQRT(2))*DK421))),0)</f>
        <v>0</v>
      </c>
      <c r="ER421" s="60" t="n">
        <f aca="false">IF(EH421,EN421-1-LN(EN421-DK421)-EQ421,0)</f>
        <v>0</v>
      </c>
      <c r="ES421" s="60" t="n">
        <f aca="false">AND(EH421,ER421&lt;EP421)</f>
        <v>0</v>
      </c>
      <c r="ET421" s="61" t="n">
        <f aca="false">IF(ES421,EN421,EM421)</f>
        <v>0.91158844983184</v>
      </c>
      <c r="EU421" s="60" t="n">
        <f aca="false">IF(ES421,EQ421,EO421)</f>
        <v>0.218240791233887</v>
      </c>
      <c r="EV421" s="60" t="n">
        <f aca="false">LN(ET421-DK421)</f>
        <v>-0.198812070380318</v>
      </c>
      <c r="EW421" s="60" t="n">
        <f aca="false">$E$27/DI421*(ET421-1)-EV421-EU421*(2*CV421/DH421-$E$27/DI421)</f>
        <v>-0.107840271021729</v>
      </c>
      <c r="EX421" s="60" t="n">
        <f aca="false">$F$27/DI421*(ET421-1)-EV421-EU421*(2*CW421/DH421-$F$27/DI421)</f>
        <v>0.198812070380318</v>
      </c>
      <c r="EY421" s="60" t="n">
        <f aca="false">$G$27/DI421*(ET421-1)-EV421-EU421*(2*CX421/DH421-$G$27/DI421)</f>
        <v>0.198812070380318</v>
      </c>
      <c r="EZ421" s="60" t="n">
        <f aca="false">$H$27/DI421*(ET421-1)-EV421-EU421*(2*CY421/DH421-$H$27/DI421)</f>
        <v>0.198812070380318</v>
      </c>
      <c r="FA421" s="60" t="n">
        <f aca="false">$I$27/DI421*(ET421-1)-EV421-EU421*(2*CZ421/DH421-$I$27/DI421)</f>
        <v>0.198812070380318</v>
      </c>
      <c r="FB421" s="60" t="n">
        <f aca="false">$J$27/DI421*(ET421-1)-EV421-EU421*(2*DA421/DH421-$J$27/DI421)</f>
        <v>0.198812070380318</v>
      </c>
      <c r="FC421" s="60" t="n">
        <f aca="false">$K$27/DI421*(ET421-1)-EV421-EU421*(2*DB421/DH421-$K$27/DI421)</f>
        <v>0.198812070380318</v>
      </c>
      <c r="FD421" s="60" t="n">
        <f aca="false">$L$27/DI421*(ET421-1)-EV421-EU421*(2*DC421/DH421-$L$27/DI421)</f>
        <v>0.198812070380318</v>
      </c>
      <c r="FE421" s="60" t="n">
        <f aca="false">$M$27/DI421*(ET421-1)-EV421-EU421*(2*DD421/DH421-$M$27/DI421)</f>
        <v>0.198812070380318</v>
      </c>
      <c r="FF421" s="60" t="n">
        <f aca="false">$N$27/DI421*(ET421-1)-EV421-EU421*(2*DE421/DH421-$N$27/DI421)</f>
        <v>0.198812070380318</v>
      </c>
      <c r="FG421" s="60" t="n">
        <f aca="false">$O$27/DI421*(ET421-1)-EV421-EU421*(2*DF421/DH421-$O$27/DI421)</f>
        <v>0.198812070380318</v>
      </c>
      <c r="FH421" s="60" t="n">
        <f aca="false">$P$27/DI421*(ET421-1)-EV421-EU421*(2*DG421/DH421-$P$27/DI421)</f>
        <v>0.198812070380318</v>
      </c>
      <c r="FI421" s="60" t="n">
        <f aca="false">DK421/ET421&gt;$C$22</f>
        <v>0</v>
      </c>
      <c r="FJ421" s="60" t="n">
        <f aca="false">$E$28*SUMPRODUCT($E$31:$P$31,CJ421:CU421,$E$28:$P$28)</f>
        <v>0.184416866619846</v>
      </c>
      <c r="FK421" s="60" t="n">
        <f aca="false">$F$28*SUMPRODUCT($E$32:$P$32,CJ421:CU421,$E$28:$P$28)</f>
        <v>0</v>
      </c>
      <c r="FL421" s="60" t="n">
        <f aca="false">$G$28*SUMPRODUCT($E$33:$P$33,CJ421:CU421,$E$28:$P$28)</f>
        <v>0</v>
      </c>
      <c r="FM421" s="60" t="n">
        <f aca="false">$H$28*SUMPRODUCT($E$34:$P$34,CJ421:CU421,$E$28:$P$28)</f>
        <v>0</v>
      </c>
      <c r="FN421" s="60" t="n">
        <f aca="false">$I$28*SUMPRODUCT($E$35:$P$35,CJ421:CU421,$E$28:$P$28)</f>
        <v>0</v>
      </c>
      <c r="FO421" s="60" t="n">
        <f aca="false">$J$28*SUMPRODUCT($E$36:$P$36,CJ421:CU421,$E$28:$P$28)</f>
        <v>0</v>
      </c>
      <c r="FP421" s="60" t="n">
        <f aca="false">$K$28*SUMPRODUCT($E$37:$P$37,CJ421:CU421,$E$28:$P$28)</f>
        <v>0</v>
      </c>
      <c r="FQ421" s="60" t="n">
        <f aca="false">$L$28*SUMPRODUCT($E$38:$P$38,CJ421:CU421,$E$28:$P$28)</f>
        <v>0</v>
      </c>
      <c r="FR421" s="60" t="n">
        <f aca="false">$M$28*SUMPRODUCT($E$39:$P$39,CJ421:CU421,$E$28:$P$28)</f>
        <v>0</v>
      </c>
      <c r="FS421" s="60" t="n">
        <f aca="false">$N$28*SUMPRODUCT($E$40:$P$40,CJ421:CU421,$E$28:$P$28)</f>
        <v>0</v>
      </c>
      <c r="FT421" s="60" t="n">
        <f aca="false">$O$28*SUMPRODUCT($E$41:$P$41,CJ421:CU421,$E$28:$P$28)</f>
        <v>0</v>
      </c>
      <c r="FU421" s="60" t="n">
        <f aca="false">$P$28*SUMPRODUCT($E$42:$P$42,CJ421:CU421,$E$28:$P$28)</f>
        <v>0</v>
      </c>
      <c r="FV421" s="60" t="n">
        <f aca="false">SUMPRODUCT(CJ421:CU421,FJ421:FU421)</f>
        <v>0.184416866619846</v>
      </c>
      <c r="FW421" s="60" t="n">
        <f aca="false">SUMPRODUCT(CJ421:CU421,$E$27:$P$27)</f>
        <v>2.67389635063809E-005</v>
      </c>
      <c r="FX421" s="60" t="n">
        <f aca="false">FV421*$C$9/($C$10*$C$8)^2</f>
        <v>0.21776909410545</v>
      </c>
      <c r="FY421" s="60" t="n">
        <f aca="false">FW421*$C$9/($C$10*$C$8)</f>
        <v>0.0918845243259994</v>
      </c>
      <c r="FZ421" s="60" t="n">
        <f aca="false">CHOOSE($C$7,-(1+FY421),-1,-(1-FY421))</f>
        <v>-0.908115475674001</v>
      </c>
      <c r="GA421" s="60" t="n">
        <f aca="false">CHOOSE($C$7,FX421,FX421-FY421-FY421^2,FX421-3*FY421^2-2*FY421)</f>
        <v>0.00867174802160559</v>
      </c>
      <c r="GB421" s="60" t="n">
        <f aca="false">CHOOSE($C$7,-FX421*FY421,-FX421*FY421,-(FX421*FY421-FY421^2-FY421^3))</f>
        <v>-0.0107910842936637</v>
      </c>
      <c r="GC421" s="60" t="n">
        <f aca="false">GA421-FZ421^2/3</f>
        <v>-0.266219491031267</v>
      </c>
      <c r="GD421" s="60" t="n">
        <f aca="false">2*FZ421^3/27-FZ421*GA421/3+GB421</f>
        <v>-0.0636400988362784</v>
      </c>
      <c r="GE421" s="60" t="n">
        <f aca="false">GD421^2/4+GC421^3/27</f>
        <v>0.000313710901361829</v>
      </c>
      <c r="GF421" s="60" t="n">
        <f aca="false">-GD421/2-IF(GD421&gt;=0,1,-1)*SQRT(MAX(GE421,0))</f>
        <v>0.0495319352963236</v>
      </c>
      <c r="GG421" s="60" t="n">
        <f aca="false">SIGN(GF421)*ABS(GF421)^(1/3)</f>
        <v>0.367249967174439</v>
      </c>
      <c r="GH421" s="60" t="n">
        <f aca="false">IF(GG421=0,0,GG421-GC421/(3*GG421))</f>
        <v>0.60888329127384</v>
      </c>
      <c r="GI421" s="60" t="n">
        <f aca="false">2*SQRT(MAX(-GC421,0)/3)</f>
        <v>0.595784626668918</v>
      </c>
      <c r="GJ421" s="60" t="n">
        <f aca="false">ACOS(IF(GI421=0,0,MAX(-1,MIN(1,3*GD421/(GC421*GI421)))))</f>
        <v>0</v>
      </c>
      <c r="GK421" s="60" t="n">
        <f aca="false">GI421*COS(GJ421/3)</f>
        <v>0.595784626668918</v>
      </c>
      <c r="GL421" s="60" t="n">
        <f aca="false">IF(GE421&lt;0,GK421,GH421)-FZ421/3</f>
        <v>0.91158844983184</v>
      </c>
      <c r="GM421" s="60" t="n">
        <f aca="false">IFERROR((((GL421+FZ421)*GL421+GA421)*GL421+GB421)/((3*GL421+2*FZ421)*GL421+GA421),0)</f>
        <v>0</v>
      </c>
      <c r="GN421" s="60" t="n">
        <f aca="false">IF(ABS(GM421)&lt;0.1*ABS(GL421),GL421-GM421,GL421)</f>
        <v>0.91158844983184</v>
      </c>
      <c r="GO421" s="60" t="n">
        <f aca="false">IFERROR((((GN421+FZ421)*GN421+GA421)*GN421+GB421)/((3*GN421+2*FZ421)*GN421+GA421),0)</f>
        <v>0</v>
      </c>
      <c r="GP421" s="60" t="n">
        <f aca="false">IF(ABS(GO421)&lt;0.1*ABS(GN421),GN421-GO421,GN421)</f>
        <v>0.91158844983184</v>
      </c>
      <c r="GQ421" s="60" t="n">
        <f aca="false">-GB421/GP421</f>
        <v>0.0118376711504565</v>
      </c>
      <c r="GR421" s="60" t="n">
        <f aca="false">(GA421-GQ421)/GP421</f>
        <v>-0.00347297415783941</v>
      </c>
      <c r="GS421" s="60" t="n">
        <f aca="false">GR421^2-4*GQ421</f>
        <v>-0.0473386230523248</v>
      </c>
      <c r="GT421" s="60" t="n">
        <f aca="false">IF(GS421&gt;=0,(GR421+IF(GR421&gt;=0,1,-1)*SQRT(GS421))/2,0)</f>
        <v>0</v>
      </c>
      <c r="GU421" s="60" t="n">
        <f aca="false">IF(AND(GS421&gt;=0,GT421&lt;&gt;0),MIN(GT421,GQ421/GT421),-1)</f>
        <v>-1</v>
      </c>
      <c r="GV421" s="60" t="n">
        <f aca="false">AND(GS421&gt;=0,GU421&gt;FY421,ABS(GP421-GU421)&gt;=0.00005*MAX(GP421,GU421))</f>
        <v>0</v>
      </c>
      <c r="GW421" s="60" t="n">
        <f aca="false">IF(GV421,IFERROR((((GU421+FZ421)*GU421+GA421)*GU421+GB421)/((3*GU421+2*FZ421)*GU421+GA421),0),0)</f>
        <v>0</v>
      </c>
      <c r="GX421" s="60" t="n">
        <f aca="false">IF(ABS(GW421)&lt;0.1*ABS(GU421),GU421-GW421,GU421)</f>
        <v>-1</v>
      </c>
      <c r="GY421" s="60" t="n">
        <f aca="false">IF(GV421,IFERROR((((GX421+FZ421)*GX421+GA421)*GX421+GB421)/((3*GX421+2*FZ421)*GX421+GA421),0),0)</f>
        <v>0</v>
      </c>
      <c r="GZ421" s="60" t="n">
        <f aca="false">IF(ABS(GY421)&lt;0.1*ABS(GX421),GX421-GY421,GX421)</f>
        <v>-1</v>
      </c>
      <c r="HA421" s="60" t="n">
        <f aca="false">IF(GV421,MAX(GP421,GZ421),GP421)</f>
        <v>0.91158844983184</v>
      </c>
      <c r="HB421" s="60" t="n">
        <f aca="false">IF(GV421,MIN(GP421,GZ421),-1)</f>
        <v>-1</v>
      </c>
      <c r="HC421" s="60" t="n">
        <f aca="false">CHOOSE($C$7,FX421/HA421,FX421/FY421*LN(1+FY421/HA421),FX421/(2*SQRT(2)*FY421)*LN((HA421+(1+SQRT(2))*FY421)/(HA421+(1-SQRT(2))*FY421)))</f>
        <v>0.218240791233887</v>
      </c>
      <c r="HD421" s="60" t="n">
        <f aca="false">HA421-1-LN(HA421-FY421)-HC421</f>
        <v>-0.107840271021729</v>
      </c>
      <c r="HE421" s="60" t="n">
        <f aca="false">IF(GV421,CHOOSE($C$7,FX421/HB421,FX421/FY421*LN(1+FY421/HB421),FX421/(2*SQRT(2)*FY421)*LN((HB421+(1+SQRT(2))*FY421)/(HB421+(1-SQRT(2))*FY421))),0)</f>
        <v>0</v>
      </c>
      <c r="HF421" s="60" t="n">
        <f aca="false">IF(GV421,HB421-1-LN(HB421-FY421)-HE421,0)</f>
        <v>0</v>
      </c>
      <c r="HG421" s="60" t="n">
        <f aca="false">AND(GV421,HF421&lt;HD421)</f>
        <v>0</v>
      </c>
      <c r="HH421" s="61" t="n">
        <f aca="false">IF(HG421,HB421,HA421)</f>
        <v>0.91158844983184</v>
      </c>
      <c r="HI421" s="60" t="n">
        <f aca="false">IF(HG421,HE421,HC421)</f>
        <v>0.218240791233887</v>
      </c>
      <c r="HJ421" s="60" t="n">
        <f aca="false">LN(HH421-FY421)</f>
        <v>-0.198812070380318</v>
      </c>
      <c r="HK421" s="60" t="n">
        <f aca="false">$E$27/FW421*(HH421-1)-HJ421-HI421*(2*FJ421/FV421-$E$27/FW421)</f>
        <v>-0.107840271021729</v>
      </c>
      <c r="HL421" s="60" t="n">
        <f aca="false">$F$27/FW421*(HH421-1)-HJ421-HI421*(2*FK421/FV421-$F$27/FW421)</f>
        <v>0.198812070380318</v>
      </c>
      <c r="HM421" s="60" t="n">
        <f aca="false">$G$27/FW421*(HH421-1)-HJ421-HI421*(2*FL421/FV421-$G$27/FW421)</f>
        <v>0.198812070380318</v>
      </c>
      <c r="HN421" s="60" t="n">
        <f aca="false">$H$27/FW421*(HH421-1)-HJ421-HI421*(2*FM421/FV421-$H$27/FW421)</f>
        <v>0.198812070380318</v>
      </c>
      <c r="HO421" s="60" t="n">
        <f aca="false">$I$27/FW421*(HH421-1)-HJ421-HI421*(2*FN421/FV421-$I$27/FW421)</f>
        <v>0.198812070380318</v>
      </c>
      <c r="HP421" s="60" t="n">
        <f aca="false">$J$27/FW421*(HH421-1)-HJ421-HI421*(2*FO421/FV421-$J$27/FW421)</f>
        <v>0.198812070380318</v>
      </c>
      <c r="HQ421" s="60" t="n">
        <f aca="false">$K$27/FW421*(HH421-1)-HJ421-HI421*(2*FP421/FV421-$K$27/FW421)</f>
        <v>0.198812070380318</v>
      </c>
      <c r="HR421" s="60" t="n">
        <f aca="false">$L$27/FW421*(HH421-1)-HJ421-HI421*(2*FQ421/FV421-$L$27/FW421)</f>
        <v>0.198812070380318</v>
      </c>
      <c r="HS421" s="60" t="n">
        <f aca="false">$M$27/FW421*(HH421-1)-HJ421-HI421*(2*FR421/FV421-$M$27/FW421)</f>
        <v>0.198812070380318</v>
      </c>
      <c r="HT421" s="60" t="n">
        <f aca="false">$N$27/FW421*(HH421-1)-HJ421-HI421*(2*FS421/FV421-$N$27/FW421)</f>
        <v>0.198812070380318</v>
      </c>
      <c r="HU421" s="60" t="n">
        <f aca="false">$O$27/FW421*(HH421-1)-HJ421-HI421*(2*FT421/FV421-$O$27/FW421)</f>
        <v>0.198812070380318</v>
      </c>
      <c r="HV421" s="60" t="n">
        <f aca="false">$P$27/FW421*(HH421-1)-HJ421-HI421*(2*FU421/FV421-$P$27/FW421)</f>
        <v>0.198812070380318</v>
      </c>
      <c r="HW421" s="60" t="n">
        <f aca="false">FY421/HH421&gt;$C$22</f>
        <v>0</v>
      </c>
      <c r="HX421" s="60" t="n">
        <f aca="false">IF($E$13&gt;0,MAX(-300,MIN(300,EW421-HK421)),0)</f>
        <v>0</v>
      </c>
      <c r="HY421" s="60" t="n">
        <f aca="false">IF($F$13&gt;0,MAX(-300,MIN(300,EX421-HL421)),0)</f>
        <v>0</v>
      </c>
      <c r="HZ421" s="60" t="n">
        <f aca="false">IF($G$13&gt;0,MAX(-300,MIN(300,EY421-HM421)),0)</f>
        <v>0</v>
      </c>
      <c r="IA421" s="60" t="n">
        <f aca="false">IF($H$13&gt;0,MAX(-300,MIN(300,EZ421-HN421)),0)</f>
        <v>0</v>
      </c>
      <c r="IB421" s="60" t="n">
        <f aca="false">IF($I$13&gt;0,MAX(-300,MIN(300,FA421-HO421)),0)</f>
        <v>0</v>
      </c>
      <c r="IC421" s="60" t="n">
        <f aca="false">IF($J$13&gt;0,MAX(-300,MIN(300,FB421-HP421)),0)</f>
        <v>0</v>
      </c>
      <c r="ID421" s="60" t="n">
        <f aca="false">IF($K$13&gt;0,MAX(-300,MIN(300,FC421-HQ421)),0)</f>
        <v>0</v>
      </c>
      <c r="IE421" s="60" t="n">
        <f aca="false">IF($L$13&gt;0,MAX(-300,MIN(300,FD421-HR421)),0)</f>
        <v>0</v>
      </c>
      <c r="IF421" s="60" t="n">
        <f aca="false">IF($M$13&gt;0,MAX(-300,MIN(300,FE421-HS421)),0)</f>
        <v>0</v>
      </c>
      <c r="IG421" s="60" t="n">
        <f aca="false">IF($N$13&gt;0,MAX(-300,MIN(300,FF421-HT421)),0)</f>
        <v>0</v>
      </c>
      <c r="IH421" s="60" t="n">
        <f aca="false">IF($O$13&gt;0,MAX(-300,MIN(300,FG421-HU421)),0)</f>
        <v>0</v>
      </c>
      <c r="II421" s="60" t="n">
        <f aca="false">IF($P$13&gt;0,MAX(-300,MIN(300,FH421-HV421)),0)</f>
        <v>0</v>
      </c>
      <c r="IJ421" s="61" t="n">
        <f aca="false">SUMXMY2(HX421:II421,B421:M421)</f>
        <v>0</v>
      </c>
      <c r="IK421" s="60" t="n">
        <f aca="false">SUMSQ(B421:M421)</f>
        <v>0</v>
      </c>
    </row>
  </sheetData>
  <conditionalFormatting sqref="C6:P161">
    <cfRule type="expression" priority="2" aboveAverage="0" equalAverage="0" bottom="0" percent="0" rank="0" text="" dxfId="2">
      <formula>AND(ISNUMBER(C6),C6&lt;&gt;0,ABS(C6)&lt;0.001)</formula>
    </cfRule>
    <cfRule type="expression" priority="3" aboveAverage="0" equalAverage="0" bottom="0" percent="0" rank="0" text="" dxfId="2">
      <formula>AND(ISNUMBER(C6),ABS(C6)&gt;=1000000000)</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scaleWithDoc="0" differentFirst="false" differentOddEven="false">
    <oddHeader>&amp;C&amp;G</oddHeader>
    <oddFooter>&amp;Lwww.multicalci.com&amp;CPage &amp;P of &amp;N&amp;R&amp;A</oddFooter>
  </headerFooter>
  <legacyDrawingHF r:id="rId1"/>
  <picture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1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40"/>
    <col collapsed="false" customWidth="true" hidden="false" outlineLevel="0" max="3" min="3" style="0" width="30"/>
    <col collapsed="false" customWidth="true" hidden="false" outlineLevel="0" max="5" min="4" style="0" width="10"/>
    <col collapsed="false" customWidth="true" hidden="false" outlineLevel="0" max="6" min="6" style="0" width="18"/>
    <col collapsed="false" customWidth="true" hidden="false" outlineLevel="0" max="7" min="7" style="0" width="12"/>
    <col collapsed="false" customWidth="true" hidden="false" outlineLevel="0" max="8" min="8" style="0" width="14"/>
    <col collapsed="false" customWidth="true" hidden="false" outlineLevel="0" max="9" min="9" style="0" width="3"/>
    <col collapsed="false" customWidth="true" hidden="false" outlineLevel="0" max="10" min="10" style="0" width="26"/>
    <col collapsed="false" customWidth="true" hidden="false" outlineLevel="0" max="11" min="11" style="0" width="16"/>
  </cols>
  <sheetData>
    <row r="1" customFormat="false" ht="17.35" hidden="false" customHeight="false" outlineLevel="0" collapsed="false">
      <c r="A1" s="1" t="s">
        <v>831</v>
      </c>
    </row>
    <row r="2" customFormat="false" ht="15" hidden="false" customHeight="false" outlineLevel="0" collapsed="false">
      <c r="A2" s="2" t="str">
        <f aca="false">HYPERLINK("https://www.multicalci.com/","www.multicalci.com")</f>
        <v>www.multicalci.com</v>
      </c>
    </row>
    <row r="3" customFormat="false" ht="15" hidden="false" customHeight="false" outlineLevel="0" collapsed="false">
      <c r="A3" s="3" t="s">
        <v>832</v>
      </c>
    </row>
    <row r="4" customFormat="false" ht="15" hidden="false" customHeight="false" outlineLevel="0" collapsed="false">
      <c r="A4" s="8" t="s">
        <v>19</v>
      </c>
      <c r="B4" s="8" t="s">
        <v>833</v>
      </c>
      <c r="C4" s="8" t="s">
        <v>834</v>
      </c>
      <c r="D4" s="8" t="s">
        <v>22</v>
      </c>
      <c r="E4" s="8" t="s">
        <v>23</v>
      </c>
      <c r="F4" s="8" t="s">
        <v>835</v>
      </c>
      <c r="G4" s="8" t="s">
        <v>25</v>
      </c>
      <c r="H4" s="8" t="s">
        <v>836</v>
      </c>
      <c r="J4" s="8" t="s">
        <v>837</v>
      </c>
      <c r="K4" s="8" t="s">
        <v>838</v>
      </c>
    </row>
    <row r="5" customFormat="false" ht="15" hidden="false" customHeight="false" outlineLevel="0" collapsed="false">
      <c r="A5" s="62" t="n">
        <v>1</v>
      </c>
      <c r="B5" s="18" t="s">
        <v>839</v>
      </c>
      <c r="C5" s="18" t="s">
        <v>840</v>
      </c>
      <c r="D5" s="14" t="n">
        <v>126.19</v>
      </c>
      <c r="E5" s="14" t="n">
        <v>33.96</v>
      </c>
      <c r="F5" s="15" t="n">
        <v>0.0372</v>
      </c>
      <c r="G5" s="16" t="n">
        <v>28.014</v>
      </c>
      <c r="H5" s="18" t="s">
        <v>841</v>
      </c>
      <c r="J5" s="18" t="s">
        <v>11</v>
      </c>
      <c r="K5" s="63" t="n">
        <v>100000</v>
      </c>
    </row>
    <row r="6" customFormat="false" ht="15" hidden="false" customHeight="false" outlineLevel="0" collapsed="false">
      <c r="A6" s="62" t="n">
        <v>2</v>
      </c>
      <c r="B6" s="18" t="s">
        <v>842</v>
      </c>
      <c r="C6" s="18" t="s">
        <v>840</v>
      </c>
      <c r="D6" s="14" t="n">
        <v>154.58</v>
      </c>
      <c r="E6" s="14" t="n">
        <v>50.43</v>
      </c>
      <c r="F6" s="15" t="n">
        <v>0.0222</v>
      </c>
      <c r="G6" s="16" t="n">
        <v>31.999</v>
      </c>
      <c r="H6" s="18" t="s">
        <v>843</v>
      </c>
      <c r="J6" s="18" t="s">
        <v>844</v>
      </c>
      <c r="K6" s="63" t="n">
        <v>1000</v>
      </c>
    </row>
    <row r="7" customFormat="false" ht="15" hidden="false" customHeight="false" outlineLevel="0" collapsed="false">
      <c r="A7" s="62" t="n">
        <v>3</v>
      </c>
      <c r="B7" s="18" t="s">
        <v>845</v>
      </c>
      <c r="C7" s="18" t="s">
        <v>840</v>
      </c>
      <c r="D7" s="14" t="n">
        <v>33.19</v>
      </c>
      <c r="E7" s="14" t="n">
        <v>13.13</v>
      </c>
      <c r="F7" s="15" t="n">
        <v>-0.216</v>
      </c>
      <c r="G7" s="16" t="n">
        <v>2.016</v>
      </c>
      <c r="H7" s="18" t="s">
        <v>846</v>
      </c>
      <c r="J7" s="18" t="s">
        <v>847</v>
      </c>
      <c r="K7" s="63" t="n">
        <v>1000000</v>
      </c>
    </row>
    <row r="8" customFormat="false" ht="15" hidden="false" customHeight="false" outlineLevel="0" collapsed="false">
      <c r="A8" s="62" t="n">
        <v>4</v>
      </c>
      <c r="B8" s="18" t="s">
        <v>848</v>
      </c>
      <c r="C8" s="18" t="s">
        <v>840</v>
      </c>
      <c r="D8" s="14" t="n">
        <v>304.21</v>
      </c>
      <c r="E8" s="14" t="n">
        <v>73.83</v>
      </c>
      <c r="F8" s="15" t="n">
        <v>0.2239</v>
      </c>
      <c r="G8" s="16" t="n">
        <v>44.01</v>
      </c>
      <c r="H8" s="18" t="s">
        <v>849</v>
      </c>
      <c r="J8" s="18" t="s">
        <v>850</v>
      </c>
      <c r="K8" s="63" t="n">
        <v>6894.757</v>
      </c>
    </row>
    <row r="9" customFormat="false" ht="15" hidden="false" customHeight="false" outlineLevel="0" collapsed="false">
      <c r="A9" s="62" t="n">
        <v>5</v>
      </c>
      <c r="B9" s="18" t="s">
        <v>851</v>
      </c>
      <c r="C9" s="18" t="s">
        <v>840</v>
      </c>
      <c r="D9" s="14" t="n">
        <v>132.85</v>
      </c>
      <c r="E9" s="14" t="n">
        <v>34.94</v>
      </c>
      <c r="F9" s="15" t="n">
        <v>0.0481</v>
      </c>
      <c r="G9" s="16" t="n">
        <v>28.01</v>
      </c>
      <c r="H9" s="18" t="s">
        <v>852</v>
      </c>
      <c r="J9" s="18" t="s">
        <v>853</v>
      </c>
      <c r="K9" s="63" t="n">
        <v>101325</v>
      </c>
    </row>
    <row r="10" customFormat="false" ht="15" hidden="false" customHeight="false" outlineLevel="0" collapsed="false">
      <c r="A10" s="62" t="n">
        <v>6</v>
      </c>
      <c r="B10" s="18" t="s">
        <v>854</v>
      </c>
      <c r="C10" s="18" t="s">
        <v>840</v>
      </c>
      <c r="D10" s="14" t="n">
        <v>647.1</v>
      </c>
      <c r="E10" s="14" t="n">
        <v>220.64</v>
      </c>
      <c r="F10" s="15" t="n">
        <v>0.3449</v>
      </c>
      <c r="G10" s="16" t="n">
        <v>18.015</v>
      </c>
      <c r="H10" s="18" t="s">
        <v>855</v>
      </c>
      <c r="J10" s="18" t="s">
        <v>856</v>
      </c>
      <c r="K10" s="63" t="n">
        <v>98066.5</v>
      </c>
    </row>
    <row r="11" customFormat="false" ht="15" hidden="false" customHeight="false" outlineLevel="0" collapsed="false">
      <c r="A11" s="62" t="n">
        <v>7</v>
      </c>
      <c r="B11" s="18" t="s">
        <v>857</v>
      </c>
      <c r="C11" s="18" t="s">
        <v>840</v>
      </c>
      <c r="D11" s="14" t="n">
        <v>405.65</v>
      </c>
      <c r="E11" s="14" t="n">
        <v>113.53</v>
      </c>
      <c r="F11" s="15" t="n">
        <v>0.253</v>
      </c>
      <c r="G11" s="16" t="n">
        <v>17.031</v>
      </c>
      <c r="H11" s="18" t="s">
        <v>858</v>
      </c>
    </row>
    <row r="12" customFormat="false" ht="15" hidden="false" customHeight="false" outlineLevel="0" collapsed="false">
      <c r="A12" s="62" t="n">
        <v>8</v>
      </c>
      <c r="B12" s="18" t="s">
        <v>859</v>
      </c>
      <c r="C12" s="18" t="s">
        <v>840</v>
      </c>
      <c r="D12" s="14" t="n">
        <v>373.53</v>
      </c>
      <c r="E12" s="14" t="n">
        <v>89.63</v>
      </c>
      <c r="F12" s="15" t="n">
        <v>0.0942</v>
      </c>
      <c r="G12" s="16" t="n">
        <v>34.082</v>
      </c>
      <c r="H12" s="18" t="s">
        <v>860</v>
      </c>
      <c r="J12" s="8" t="s">
        <v>861</v>
      </c>
    </row>
    <row r="13" customFormat="false" ht="15" hidden="false" customHeight="false" outlineLevel="0" collapsed="false">
      <c r="A13" s="62" t="n">
        <v>9</v>
      </c>
      <c r="B13" s="18" t="s">
        <v>862</v>
      </c>
      <c r="C13" s="18" t="s">
        <v>840</v>
      </c>
      <c r="D13" s="14" t="n">
        <v>430.75</v>
      </c>
      <c r="E13" s="14" t="n">
        <v>78.84</v>
      </c>
      <c r="F13" s="15" t="n">
        <v>0.245</v>
      </c>
      <c r="G13" s="16" t="n">
        <v>64.065</v>
      </c>
      <c r="H13" s="18" t="s">
        <v>863</v>
      </c>
      <c r="J13" s="18" t="s">
        <v>8</v>
      </c>
    </row>
    <row r="14" customFormat="false" ht="15" hidden="false" customHeight="false" outlineLevel="0" collapsed="false">
      <c r="A14" s="62" t="n">
        <v>10</v>
      </c>
      <c r="B14" s="18" t="s">
        <v>864</v>
      </c>
      <c r="C14" s="18" t="s">
        <v>840</v>
      </c>
      <c r="D14" s="14" t="n">
        <v>490.85</v>
      </c>
      <c r="E14" s="14" t="n">
        <v>82.07</v>
      </c>
      <c r="F14" s="15" t="n">
        <v>0.422</v>
      </c>
      <c r="G14" s="16" t="n">
        <v>80.064</v>
      </c>
      <c r="H14" s="18" t="s">
        <v>865</v>
      </c>
      <c r="J14" s="18" t="s">
        <v>33</v>
      </c>
    </row>
    <row r="15" customFormat="false" ht="15" hidden="false" customHeight="false" outlineLevel="0" collapsed="false">
      <c r="A15" s="62" t="n">
        <v>11</v>
      </c>
      <c r="B15" s="18" t="s">
        <v>866</v>
      </c>
      <c r="C15" s="18" t="s">
        <v>840</v>
      </c>
      <c r="D15" s="14" t="n">
        <v>180.15</v>
      </c>
      <c r="E15" s="14" t="n">
        <v>64.8</v>
      </c>
      <c r="F15" s="15" t="n">
        <v>0.587</v>
      </c>
      <c r="G15" s="16" t="n">
        <v>30.006</v>
      </c>
      <c r="H15" s="18" t="s">
        <v>867</v>
      </c>
      <c r="J15" s="18" t="s">
        <v>868</v>
      </c>
    </row>
    <row r="16" customFormat="false" ht="15" hidden="false" customHeight="false" outlineLevel="0" collapsed="false">
      <c r="A16" s="62" t="n">
        <v>12</v>
      </c>
      <c r="B16" s="18" t="s">
        <v>869</v>
      </c>
      <c r="C16" s="18" t="s">
        <v>840</v>
      </c>
      <c r="D16" s="14" t="n">
        <v>431.35</v>
      </c>
      <c r="E16" s="14" t="n">
        <v>101.33</v>
      </c>
      <c r="F16" s="15" t="n">
        <v>0.85</v>
      </c>
      <c r="G16" s="16" t="n">
        <v>46.006</v>
      </c>
      <c r="H16" s="18" t="s">
        <v>870</v>
      </c>
    </row>
    <row r="17" customFormat="false" ht="15" hidden="false" customHeight="false" outlineLevel="0" collapsed="false">
      <c r="A17" s="62" t="n">
        <v>13</v>
      </c>
      <c r="B17" s="18" t="s">
        <v>871</v>
      </c>
      <c r="C17" s="18" t="s">
        <v>840</v>
      </c>
      <c r="D17" s="14" t="n">
        <v>309.52</v>
      </c>
      <c r="E17" s="14" t="n">
        <v>72.45</v>
      </c>
      <c r="F17" s="15" t="n">
        <v>0.1613</v>
      </c>
      <c r="G17" s="16" t="n">
        <v>44.013</v>
      </c>
      <c r="H17" s="18" t="s">
        <v>872</v>
      </c>
      <c r="J17" s="3" t="s">
        <v>873</v>
      </c>
    </row>
    <row r="18" customFormat="false" ht="15" hidden="false" customHeight="false" outlineLevel="0" collapsed="false">
      <c r="A18" s="62" t="n">
        <v>14</v>
      </c>
      <c r="B18" s="18" t="s">
        <v>874</v>
      </c>
      <c r="C18" s="18" t="s">
        <v>840</v>
      </c>
      <c r="D18" s="14" t="n">
        <v>431.15</v>
      </c>
      <c r="E18" s="14" t="n">
        <v>101.33</v>
      </c>
      <c r="F18" s="15" t="n">
        <v>0.853</v>
      </c>
      <c r="G18" s="16" t="n">
        <v>92.011</v>
      </c>
      <c r="H18" s="18" t="s">
        <v>875</v>
      </c>
      <c r="J18" s="3" t="s">
        <v>876</v>
      </c>
    </row>
    <row r="19" customFormat="false" ht="15" hidden="false" customHeight="false" outlineLevel="0" collapsed="false">
      <c r="A19" s="62" t="n">
        <v>15</v>
      </c>
      <c r="B19" s="18" t="s">
        <v>877</v>
      </c>
      <c r="C19" s="18" t="s">
        <v>840</v>
      </c>
      <c r="D19" s="14" t="n">
        <v>324.65</v>
      </c>
      <c r="E19" s="14" t="n">
        <v>83.09</v>
      </c>
      <c r="F19" s="15" t="n">
        <v>0.132</v>
      </c>
      <c r="G19" s="16" t="n">
        <v>36.461</v>
      </c>
      <c r="H19" s="18" t="s">
        <v>878</v>
      </c>
      <c r="J19" s="3" t="s">
        <v>879</v>
      </c>
    </row>
    <row r="20" customFormat="false" ht="15" hidden="false" customHeight="false" outlineLevel="0" collapsed="false">
      <c r="A20" s="62" t="n">
        <v>16</v>
      </c>
      <c r="B20" s="18" t="s">
        <v>880</v>
      </c>
      <c r="C20" s="18" t="s">
        <v>840</v>
      </c>
      <c r="D20" s="14" t="n">
        <v>363.15</v>
      </c>
      <c r="E20" s="14" t="n">
        <v>85.5</v>
      </c>
      <c r="F20" s="15" t="n">
        <v>0.071</v>
      </c>
      <c r="G20" s="16" t="n">
        <v>80.912</v>
      </c>
      <c r="H20" s="18" t="s">
        <v>881</v>
      </c>
      <c r="J20" s="3" t="s">
        <v>882</v>
      </c>
    </row>
    <row r="21" customFormat="false" ht="15" hidden="false" customHeight="false" outlineLevel="0" collapsed="false">
      <c r="A21" s="62" t="n">
        <v>17</v>
      </c>
      <c r="B21" s="18" t="s">
        <v>883</v>
      </c>
      <c r="C21" s="18" t="s">
        <v>840</v>
      </c>
      <c r="D21" s="14" t="n">
        <v>461.15</v>
      </c>
      <c r="E21" s="14" t="n">
        <v>64.85</v>
      </c>
      <c r="F21" s="15" t="n">
        <v>0.372</v>
      </c>
      <c r="G21" s="16" t="n">
        <v>20.006</v>
      </c>
      <c r="H21" s="18" t="s">
        <v>884</v>
      </c>
      <c r="J21" s="3" t="s">
        <v>885</v>
      </c>
    </row>
    <row r="22" customFormat="false" ht="15" hidden="false" customHeight="false" outlineLevel="0" collapsed="false">
      <c r="A22" s="62" t="n">
        <v>18</v>
      </c>
      <c r="B22" s="18" t="s">
        <v>886</v>
      </c>
      <c r="C22" s="18" t="s">
        <v>840</v>
      </c>
      <c r="D22" s="14" t="n">
        <v>456.65</v>
      </c>
      <c r="E22" s="14" t="n">
        <v>53.9</v>
      </c>
      <c r="F22" s="15" t="n">
        <v>0.41</v>
      </c>
      <c r="G22" s="16" t="n">
        <v>27.026</v>
      </c>
      <c r="H22" s="18" t="s">
        <v>887</v>
      </c>
    </row>
    <row r="23" customFormat="false" ht="15" hidden="false" customHeight="false" outlineLevel="0" collapsed="false">
      <c r="A23" s="62" t="n">
        <v>19</v>
      </c>
      <c r="B23" s="18" t="s">
        <v>888</v>
      </c>
      <c r="C23" s="18" t="s">
        <v>840</v>
      </c>
      <c r="D23" s="14" t="n">
        <v>417.15</v>
      </c>
      <c r="E23" s="14" t="n">
        <v>77.1</v>
      </c>
      <c r="F23" s="15" t="n">
        <v>0.069</v>
      </c>
      <c r="G23" s="16" t="n">
        <v>70.906</v>
      </c>
      <c r="H23" s="18" t="s">
        <v>889</v>
      </c>
    </row>
    <row r="24" customFormat="false" ht="15" hidden="false" customHeight="false" outlineLevel="0" collapsed="false">
      <c r="A24" s="62" t="n">
        <v>20</v>
      </c>
      <c r="B24" s="18" t="s">
        <v>890</v>
      </c>
      <c r="C24" s="18" t="s">
        <v>840</v>
      </c>
      <c r="D24" s="14" t="n">
        <v>144.41</v>
      </c>
      <c r="E24" s="14" t="n">
        <v>51.72</v>
      </c>
      <c r="F24" s="15" t="n">
        <v>0.0449</v>
      </c>
      <c r="G24" s="16" t="n">
        <v>37.997</v>
      </c>
      <c r="H24" s="18" t="s">
        <v>891</v>
      </c>
    </row>
    <row r="25" customFormat="false" ht="15" hidden="false" customHeight="false" outlineLevel="0" collapsed="false">
      <c r="A25" s="62" t="n">
        <v>21</v>
      </c>
      <c r="B25" s="18" t="s">
        <v>892</v>
      </c>
      <c r="C25" s="18" t="s">
        <v>840</v>
      </c>
      <c r="D25" s="14" t="n">
        <v>584.15</v>
      </c>
      <c r="E25" s="14" t="n">
        <v>103.35</v>
      </c>
      <c r="F25" s="15" t="n">
        <v>0.132</v>
      </c>
      <c r="G25" s="16" t="n">
        <v>159.808</v>
      </c>
      <c r="H25" s="18" t="s">
        <v>893</v>
      </c>
    </row>
    <row r="26" customFormat="false" ht="15" hidden="false" customHeight="false" outlineLevel="0" collapsed="false">
      <c r="A26" s="62" t="n">
        <v>22</v>
      </c>
      <c r="B26" s="18" t="s">
        <v>894</v>
      </c>
      <c r="C26" s="18" t="s">
        <v>840</v>
      </c>
      <c r="D26" s="14" t="n">
        <v>324.8</v>
      </c>
      <c r="E26" s="14" t="n">
        <v>65.35</v>
      </c>
      <c r="F26" s="15" t="n">
        <v>0.0452</v>
      </c>
      <c r="G26" s="16" t="n">
        <v>33.998</v>
      </c>
      <c r="H26" s="18" t="s">
        <v>895</v>
      </c>
    </row>
    <row r="27" customFormat="false" ht="15" hidden="false" customHeight="false" outlineLevel="0" collapsed="false">
      <c r="A27" s="62" t="n">
        <v>23</v>
      </c>
      <c r="B27" s="18" t="s">
        <v>896</v>
      </c>
      <c r="C27" s="18" t="s">
        <v>840</v>
      </c>
      <c r="D27" s="14" t="n">
        <v>269.7</v>
      </c>
      <c r="E27" s="14" t="n">
        <v>48.4</v>
      </c>
      <c r="F27" s="15" t="n">
        <v>0.094</v>
      </c>
      <c r="G27" s="16" t="n">
        <v>32.117</v>
      </c>
      <c r="H27" s="18" t="s">
        <v>897</v>
      </c>
    </row>
    <row r="28" customFormat="false" ht="15" hidden="false" customHeight="false" outlineLevel="0" collapsed="false">
      <c r="A28" s="62" t="n">
        <v>24</v>
      </c>
      <c r="B28" s="18" t="s">
        <v>898</v>
      </c>
      <c r="C28" s="18" t="s">
        <v>840</v>
      </c>
      <c r="D28" s="14" t="n">
        <v>260.8</v>
      </c>
      <c r="E28" s="14" t="n">
        <v>49.85</v>
      </c>
      <c r="F28" s="15" t="n">
        <v>0.42</v>
      </c>
      <c r="G28" s="16" t="n">
        <v>67.806</v>
      </c>
      <c r="H28" s="18" t="s">
        <v>899</v>
      </c>
    </row>
    <row r="29" customFormat="false" ht="15" hidden="false" customHeight="false" outlineLevel="0" collapsed="false">
      <c r="A29" s="62" t="n">
        <v>25</v>
      </c>
      <c r="B29" s="18" t="s">
        <v>900</v>
      </c>
      <c r="C29" s="18" t="s">
        <v>840</v>
      </c>
      <c r="D29" s="14" t="n">
        <v>455</v>
      </c>
      <c r="E29" s="14" t="n">
        <v>56.74</v>
      </c>
      <c r="F29" s="15" t="n">
        <v>0.204</v>
      </c>
      <c r="G29" s="16" t="n">
        <v>98.916</v>
      </c>
      <c r="H29" s="18" t="s">
        <v>901</v>
      </c>
    </row>
    <row r="30" customFormat="false" ht="15" hidden="false" customHeight="false" outlineLevel="0" collapsed="false">
      <c r="A30" s="62" t="n">
        <v>26</v>
      </c>
      <c r="B30" s="18" t="s">
        <v>902</v>
      </c>
      <c r="C30" s="18" t="s">
        <v>840</v>
      </c>
      <c r="D30" s="14" t="n">
        <v>552</v>
      </c>
      <c r="E30" s="14" t="n">
        <v>79.03</v>
      </c>
      <c r="F30" s="15" t="n">
        <v>0.115</v>
      </c>
      <c r="G30" s="16" t="n">
        <v>76.141</v>
      </c>
      <c r="H30" s="18" t="s">
        <v>903</v>
      </c>
    </row>
    <row r="31" customFormat="false" ht="15" hidden="false" customHeight="false" outlineLevel="0" collapsed="false">
      <c r="A31" s="62" t="n">
        <v>27</v>
      </c>
      <c r="B31" s="18" t="s">
        <v>904</v>
      </c>
      <c r="C31" s="18" t="s">
        <v>840</v>
      </c>
      <c r="D31" s="14" t="n">
        <v>378.77</v>
      </c>
      <c r="E31" s="14" t="n">
        <v>63.69</v>
      </c>
      <c r="F31" s="15" t="n">
        <v>0.0978</v>
      </c>
      <c r="G31" s="16" t="n">
        <v>60.075</v>
      </c>
      <c r="H31" s="18" t="s">
        <v>905</v>
      </c>
    </row>
    <row r="32" customFormat="false" ht="15" hidden="false" customHeight="false" outlineLevel="0" collapsed="false">
      <c r="A32" s="62" t="n">
        <v>28</v>
      </c>
      <c r="B32" s="18" t="s">
        <v>906</v>
      </c>
      <c r="C32" s="18" t="s">
        <v>840</v>
      </c>
      <c r="D32" s="14" t="n">
        <v>234</v>
      </c>
      <c r="E32" s="14" t="n">
        <v>44.61</v>
      </c>
      <c r="F32" s="15" t="n">
        <v>0.126</v>
      </c>
      <c r="G32" s="16" t="n">
        <v>71.002</v>
      </c>
      <c r="H32" s="18" t="s">
        <v>907</v>
      </c>
    </row>
    <row r="33" customFormat="false" ht="15" hidden="false" customHeight="false" outlineLevel="0" collapsed="false">
      <c r="A33" s="62" t="n">
        <v>29</v>
      </c>
      <c r="B33" s="18" t="s">
        <v>908</v>
      </c>
      <c r="C33" s="18" t="s">
        <v>840</v>
      </c>
      <c r="D33" s="14" t="n">
        <v>318.69</v>
      </c>
      <c r="E33" s="14" t="n">
        <v>37.6</v>
      </c>
      <c r="F33" s="15" t="n">
        <v>0.214</v>
      </c>
      <c r="G33" s="16" t="n">
        <v>146.055</v>
      </c>
      <c r="H33" s="18" t="s">
        <v>909</v>
      </c>
    </row>
    <row r="34" customFormat="false" ht="15" hidden="false" customHeight="false" outlineLevel="0" collapsed="false">
      <c r="A34" s="62" t="n">
        <v>30</v>
      </c>
      <c r="B34" s="18" t="s">
        <v>910</v>
      </c>
      <c r="C34" s="18" t="s">
        <v>840</v>
      </c>
      <c r="D34" s="14" t="n">
        <v>444</v>
      </c>
      <c r="E34" s="14" t="n">
        <v>43.4</v>
      </c>
      <c r="F34" s="15" t="n">
        <v>0.232</v>
      </c>
      <c r="G34" s="16" t="n">
        <v>297.83</v>
      </c>
      <c r="H34" s="18" t="s">
        <v>911</v>
      </c>
    </row>
    <row r="35" customFormat="false" ht="15" hidden="false" customHeight="false" outlineLevel="0" collapsed="false">
      <c r="A35" s="62" t="n">
        <v>31</v>
      </c>
      <c r="B35" s="18" t="s">
        <v>912</v>
      </c>
      <c r="C35" s="18" t="s">
        <v>840</v>
      </c>
      <c r="D35" s="14" t="n">
        <v>505.8</v>
      </c>
      <c r="E35" s="14" t="n">
        <v>46.6</v>
      </c>
      <c r="F35" s="15" t="n">
        <v>0.268</v>
      </c>
      <c r="G35" s="16" t="n">
        <v>352.019</v>
      </c>
      <c r="H35" s="18" t="s">
        <v>913</v>
      </c>
    </row>
    <row r="36" customFormat="false" ht="15" hidden="false" customHeight="false" outlineLevel="0" collapsed="false">
      <c r="A36" s="62" t="n">
        <v>32</v>
      </c>
      <c r="B36" s="18" t="s">
        <v>914</v>
      </c>
      <c r="C36" s="18" t="s">
        <v>915</v>
      </c>
      <c r="D36" s="14" t="n">
        <v>5.19</v>
      </c>
      <c r="E36" s="14" t="n">
        <v>2.27</v>
      </c>
      <c r="F36" s="15" t="n">
        <v>-0.39</v>
      </c>
      <c r="G36" s="16" t="n">
        <v>4.003</v>
      </c>
      <c r="H36" s="18" t="s">
        <v>916</v>
      </c>
    </row>
    <row r="37" customFormat="false" ht="15" hidden="false" customHeight="false" outlineLevel="0" collapsed="false">
      <c r="A37" s="62" t="n">
        <v>33</v>
      </c>
      <c r="B37" s="18" t="s">
        <v>917</v>
      </c>
      <c r="C37" s="18" t="s">
        <v>915</v>
      </c>
      <c r="D37" s="14" t="n">
        <v>44.49</v>
      </c>
      <c r="E37" s="14" t="n">
        <v>26.79</v>
      </c>
      <c r="F37" s="15" t="n">
        <v>-0.039</v>
      </c>
      <c r="G37" s="16" t="n">
        <v>20.18</v>
      </c>
      <c r="H37" s="18" t="s">
        <v>918</v>
      </c>
    </row>
    <row r="38" customFormat="false" ht="15" hidden="false" customHeight="false" outlineLevel="0" collapsed="false">
      <c r="A38" s="62" t="n">
        <v>34</v>
      </c>
      <c r="B38" s="18" t="s">
        <v>919</v>
      </c>
      <c r="C38" s="18" t="s">
        <v>915</v>
      </c>
      <c r="D38" s="14" t="n">
        <v>150.86</v>
      </c>
      <c r="E38" s="14" t="n">
        <v>48.98</v>
      </c>
      <c r="F38" s="15" t="n">
        <v>-0.0022</v>
      </c>
      <c r="G38" s="16" t="n">
        <v>39.948</v>
      </c>
      <c r="H38" s="18" t="s">
        <v>920</v>
      </c>
    </row>
    <row r="39" customFormat="false" ht="15" hidden="false" customHeight="false" outlineLevel="0" collapsed="false">
      <c r="A39" s="62" t="n">
        <v>35</v>
      </c>
      <c r="B39" s="18" t="s">
        <v>921</v>
      </c>
      <c r="C39" s="18" t="s">
        <v>915</v>
      </c>
      <c r="D39" s="14" t="n">
        <v>209.41</v>
      </c>
      <c r="E39" s="14" t="n">
        <v>55.02</v>
      </c>
      <c r="F39" s="15" t="n">
        <v>0.005</v>
      </c>
      <c r="G39" s="16" t="n">
        <v>83.798</v>
      </c>
      <c r="H39" s="18" t="s">
        <v>922</v>
      </c>
    </row>
    <row r="40" customFormat="false" ht="15" hidden="false" customHeight="false" outlineLevel="0" collapsed="false">
      <c r="A40" s="62" t="n">
        <v>36</v>
      </c>
      <c r="B40" s="18" t="s">
        <v>923</v>
      </c>
      <c r="C40" s="18" t="s">
        <v>915</v>
      </c>
      <c r="D40" s="14" t="n">
        <v>289.74</v>
      </c>
      <c r="E40" s="14" t="n">
        <v>58.4</v>
      </c>
      <c r="F40" s="15" t="n">
        <v>0.012</v>
      </c>
      <c r="G40" s="16" t="n">
        <v>131.293</v>
      </c>
      <c r="H40" s="18" t="s">
        <v>924</v>
      </c>
    </row>
    <row r="41" customFormat="false" ht="15" hidden="false" customHeight="false" outlineLevel="0" collapsed="false">
      <c r="A41" s="62" t="n">
        <v>37</v>
      </c>
      <c r="B41" s="18" t="s">
        <v>28</v>
      </c>
      <c r="C41" s="18" t="s">
        <v>925</v>
      </c>
      <c r="D41" s="14" t="n">
        <v>190.56</v>
      </c>
      <c r="E41" s="14" t="n">
        <v>46.1</v>
      </c>
      <c r="F41" s="15" t="n">
        <v>0.0115</v>
      </c>
      <c r="G41" s="16" t="n">
        <v>16.043</v>
      </c>
      <c r="H41" s="18" t="s">
        <v>926</v>
      </c>
    </row>
    <row r="42" customFormat="false" ht="15" hidden="false" customHeight="false" outlineLevel="0" collapsed="false">
      <c r="A42" s="62" t="n">
        <v>38</v>
      </c>
      <c r="B42" s="18" t="s">
        <v>927</v>
      </c>
      <c r="C42" s="18" t="s">
        <v>925</v>
      </c>
      <c r="D42" s="14" t="n">
        <v>305.32</v>
      </c>
      <c r="E42" s="14" t="n">
        <v>48.72</v>
      </c>
      <c r="F42" s="15" t="n">
        <v>0.0995</v>
      </c>
      <c r="G42" s="16" t="n">
        <v>30.07</v>
      </c>
      <c r="H42" s="18" t="s">
        <v>928</v>
      </c>
    </row>
    <row r="43" customFormat="false" ht="15" hidden="false" customHeight="false" outlineLevel="0" collapsed="false">
      <c r="A43" s="62" t="n">
        <v>39</v>
      </c>
      <c r="B43" s="18" t="s">
        <v>929</v>
      </c>
      <c r="C43" s="18" t="s">
        <v>925</v>
      </c>
      <c r="D43" s="14" t="n">
        <v>369.83</v>
      </c>
      <c r="E43" s="14" t="n">
        <v>42.48</v>
      </c>
      <c r="F43" s="15" t="n">
        <v>0.1523</v>
      </c>
      <c r="G43" s="16" t="n">
        <v>44.097</v>
      </c>
      <c r="H43" s="18" t="s">
        <v>930</v>
      </c>
    </row>
    <row r="44" customFormat="false" ht="15" hidden="false" customHeight="false" outlineLevel="0" collapsed="false">
      <c r="A44" s="62" t="n">
        <v>40</v>
      </c>
      <c r="B44" s="18" t="s">
        <v>931</v>
      </c>
      <c r="C44" s="18" t="s">
        <v>925</v>
      </c>
      <c r="D44" s="14" t="n">
        <v>425.12</v>
      </c>
      <c r="E44" s="14" t="n">
        <v>37.96</v>
      </c>
      <c r="F44" s="15" t="n">
        <v>0.2002</v>
      </c>
      <c r="G44" s="16" t="n">
        <v>58.124</v>
      </c>
      <c r="H44" s="18" t="s">
        <v>932</v>
      </c>
    </row>
    <row r="45" customFormat="false" ht="15" hidden="false" customHeight="false" outlineLevel="0" collapsed="false">
      <c r="A45" s="62" t="n">
        <v>41</v>
      </c>
      <c r="B45" s="18" t="s">
        <v>933</v>
      </c>
      <c r="C45" s="18" t="s">
        <v>925</v>
      </c>
      <c r="D45" s="14" t="n">
        <v>408.14</v>
      </c>
      <c r="E45" s="14" t="n">
        <v>36.48</v>
      </c>
      <c r="F45" s="15" t="n">
        <v>0.1808</v>
      </c>
      <c r="G45" s="16" t="n">
        <v>58.124</v>
      </c>
      <c r="H45" s="18" t="s">
        <v>934</v>
      </c>
    </row>
    <row r="46" customFormat="false" ht="15" hidden="false" customHeight="false" outlineLevel="0" collapsed="false">
      <c r="A46" s="62" t="n">
        <v>42</v>
      </c>
      <c r="B46" s="18" t="s">
        <v>935</v>
      </c>
      <c r="C46" s="18" t="s">
        <v>925</v>
      </c>
      <c r="D46" s="14" t="n">
        <v>469.7</v>
      </c>
      <c r="E46" s="14" t="n">
        <v>33.7</v>
      </c>
      <c r="F46" s="15" t="n">
        <v>0.2515</v>
      </c>
      <c r="G46" s="16" t="n">
        <v>72.151</v>
      </c>
      <c r="H46" s="18" t="s">
        <v>936</v>
      </c>
    </row>
    <row r="47" customFormat="false" ht="15" hidden="false" customHeight="false" outlineLevel="0" collapsed="false">
      <c r="A47" s="62" t="n">
        <v>43</v>
      </c>
      <c r="B47" s="18" t="s">
        <v>937</v>
      </c>
      <c r="C47" s="18" t="s">
        <v>925</v>
      </c>
      <c r="D47" s="14" t="n">
        <v>460.35</v>
      </c>
      <c r="E47" s="14" t="n">
        <v>33.78</v>
      </c>
      <c r="F47" s="15" t="n">
        <v>0.2274</v>
      </c>
      <c r="G47" s="16" t="n">
        <v>72.149</v>
      </c>
      <c r="H47" s="18" t="s">
        <v>938</v>
      </c>
    </row>
    <row r="48" customFormat="false" ht="15" hidden="false" customHeight="false" outlineLevel="0" collapsed="false">
      <c r="A48" s="62" t="n">
        <v>44</v>
      </c>
      <c r="B48" s="18" t="s">
        <v>939</v>
      </c>
      <c r="C48" s="18" t="s">
        <v>925</v>
      </c>
      <c r="D48" s="14" t="n">
        <v>433.74</v>
      </c>
      <c r="E48" s="14" t="n">
        <v>31.96</v>
      </c>
      <c r="F48" s="15" t="n">
        <v>0.1961</v>
      </c>
      <c r="G48" s="16" t="n">
        <v>72.149</v>
      </c>
      <c r="H48" s="18" t="s">
        <v>940</v>
      </c>
    </row>
    <row r="49" customFormat="false" ht="15" hidden="false" customHeight="false" outlineLevel="0" collapsed="false">
      <c r="A49" s="62" t="n">
        <v>45</v>
      </c>
      <c r="B49" s="18" t="s">
        <v>941</v>
      </c>
      <c r="C49" s="18" t="s">
        <v>925</v>
      </c>
      <c r="D49" s="14" t="n">
        <v>507.6</v>
      </c>
      <c r="E49" s="14" t="n">
        <v>30.25</v>
      </c>
      <c r="F49" s="15" t="n">
        <v>0.3013</v>
      </c>
      <c r="G49" s="16" t="n">
        <v>86.178</v>
      </c>
      <c r="H49" s="18" t="s">
        <v>942</v>
      </c>
    </row>
    <row r="50" customFormat="false" ht="15" hidden="false" customHeight="false" outlineLevel="0" collapsed="false">
      <c r="A50" s="62" t="n">
        <v>46</v>
      </c>
      <c r="B50" s="18" t="s">
        <v>943</v>
      </c>
      <c r="C50" s="18" t="s">
        <v>925</v>
      </c>
      <c r="D50" s="14" t="n">
        <v>540.2</v>
      </c>
      <c r="E50" s="14" t="n">
        <v>27.4</v>
      </c>
      <c r="F50" s="15" t="n">
        <v>0.3495</v>
      </c>
      <c r="G50" s="16" t="n">
        <v>100.205</v>
      </c>
      <c r="H50" s="18" t="s">
        <v>944</v>
      </c>
    </row>
    <row r="51" customFormat="false" ht="15" hidden="false" customHeight="false" outlineLevel="0" collapsed="false">
      <c r="A51" s="62" t="n">
        <v>47</v>
      </c>
      <c r="B51" s="18" t="s">
        <v>945</v>
      </c>
      <c r="C51" s="18" t="s">
        <v>925</v>
      </c>
      <c r="D51" s="14" t="n">
        <v>568.7</v>
      </c>
      <c r="E51" s="14" t="n">
        <v>24.9</v>
      </c>
      <c r="F51" s="15" t="n">
        <v>0.3996</v>
      </c>
      <c r="G51" s="16" t="n">
        <v>114.232</v>
      </c>
      <c r="H51" s="18" t="s">
        <v>946</v>
      </c>
    </row>
    <row r="52" customFormat="false" ht="15" hidden="false" customHeight="false" outlineLevel="0" collapsed="false">
      <c r="A52" s="62" t="n">
        <v>48</v>
      </c>
      <c r="B52" s="18" t="s">
        <v>947</v>
      </c>
      <c r="C52" s="18" t="s">
        <v>925</v>
      </c>
      <c r="D52" s="14" t="n">
        <v>594.55</v>
      </c>
      <c r="E52" s="14" t="n">
        <v>22.82</v>
      </c>
      <c r="F52" s="15" t="n">
        <v>0.4433</v>
      </c>
      <c r="G52" s="16" t="n">
        <v>128.255</v>
      </c>
      <c r="H52" s="18" t="s">
        <v>948</v>
      </c>
    </row>
    <row r="53" customFormat="false" ht="15" hidden="false" customHeight="false" outlineLevel="0" collapsed="false">
      <c r="A53" s="62" t="n">
        <v>49</v>
      </c>
      <c r="B53" s="18" t="s">
        <v>949</v>
      </c>
      <c r="C53" s="18" t="s">
        <v>925</v>
      </c>
      <c r="D53" s="14" t="n">
        <v>617.7</v>
      </c>
      <c r="E53" s="14" t="n">
        <v>21.01</v>
      </c>
      <c r="F53" s="15" t="n">
        <v>0.4884</v>
      </c>
      <c r="G53" s="16" t="n">
        <v>142.282</v>
      </c>
      <c r="H53" s="18" t="s">
        <v>950</v>
      </c>
    </row>
    <row r="54" customFormat="false" ht="15" hidden="false" customHeight="false" outlineLevel="0" collapsed="false">
      <c r="A54" s="62" t="n">
        <v>50</v>
      </c>
      <c r="B54" s="18" t="s">
        <v>951</v>
      </c>
      <c r="C54" s="18" t="s">
        <v>925</v>
      </c>
      <c r="D54" s="14" t="n">
        <v>658.1</v>
      </c>
      <c r="E54" s="14" t="n">
        <v>18.18</v>
      </c>
      <c r="F54" s="15" t="n">
        <v>0.5742</v>
      </c>
      <c r="G54" s="16" t="n">
        <v>170.335</v>
      </c>
      <c r="H54" s="18" t="s">
        <v>952</v>
      </c>
    </row>
    <row r="55" customFormat="false" ht="15" hidden="false" customHeight="false" outlineLevel="0" collapsed="false">
      <c r="A55" s="62" t="n">
        <v>51</v>
      </c>
      <c r="B55" s="18" t="s">
        <v>953</v>
      </c>
      <c r="C55" s="18" t="s">
        <v>925</v>
      </c>
      <c r="D55" s="14" t="n">
        <v>723</v>
      </c>
      <c r="E55" s="14" t="n">
        <v>14</v>
      </c>
      <c r="F55" s="15" t="n">
        <v>0.717</v>
      </c>
      <c r="G55" s="16" t="n">
        <v>226.441</v>
      </c>
      <c r="H55" s="18" t="s">
        <v>954</v>
      </c>
    </row>
    <row r="56" customFormat="false" ht="15" hidden="false" customHeight="false" outlineLevel="0" collapsed="false">
      <c r="A56" s="62" t="n">
        <v>52</v>
      </c>
      <c r="B56" s="18" t="s">
        <v>955</v>
      </c>
      <c r="C56" s="18" t="s">
        <v>925</v>
      </c>
      <c r="D56" s="14" t="n">
        <v>511.72</v>
      </c>
      <c r="E56" s="14" t="n">
        <v>45.83</v>
      </c>
      <c r="F56" s="15" t="n">
        <v>0.2019</v>
      </c>
      <c r="G56" s="16" t="n">
        <v>70.133</v>
      </c>
      <c r="H56" s="18" t="s">
        <v>956</v>
      </c>
    </row>
    <row r="57" customFormat="false" ht="15" hidden="false" customHeight="false" outlineLevel="0" collapsed="false">
      <c r="A57" s="62" t="n">
        <v>53</v>
      </c>
      <c r="B57" s="18" t="s">
        <v>957</v>
      </c>
      <c r="C57" s="18" t="s">
        <v>925</v>
      </c>
      <c r="D57" s="14" t="n">
        <v>553.6</v>
      </c>
      <c r="E57" s="14" t="n">
        <v>40.81</v>
      </c>
      <c r="F57" s="15" t="n">
        <v>0.2093</v>
      </c>
      <c r="G57" s="16" t="n">
        <v>84.159</v>
      </c>
      <c r="H57" s="18" t="s">
        <v>958</v>
      </c>
    </row>
    <row r="58" customFormat="false" ht="15" hidden="false" customHeight="false" outlineLevel="0" collapsed="false">
      <c r="A58" s="62" t="n">
        <v>54</v>
      </c>
      <c r="B58" s="18" t="s">
        <v>959</v>
      </c>
      <c r="C58" s="18" t="s">
        <v>925</v>
      </c>
      <c r="D58" s="14" t="n">
        <v>572.2</v>
      </c>
      <c r="E58" s="14" t="n">
        <v>34.7</v>
      </c>
      <c r="F58" s="15" t="n">
        <v>0.234</v>
      </c>
      <c r="G58" s="16" t="n">
        <v>98.186</v>
      </c>
      <c r="H58" s="18" t="s">
        <v>960</v>
      </c>
    </row>
    <row r="59" customFormat="false" ht="15" hidden="false" customHeight="false" outlineLevel="0" collapsed="false">
      <c r="A59" s="62" t="n">
        <v>55</v>
      </c>
      <c r="B59" s="18" t="s">
        <v>961</v>
      </c>
      <c r="C59" s="18" t="s">
        <v>962</v>
      </c>
      <c r="D59" s="14" t="n">
        <v>282.34</v>
      </c>
      <c r="E59" s="14" t="n">
        <v>50.41</v>
      </c>
      <c r="F59" s="15" t="n">
        <v>0.0866</v>
      </c>
      <c r="G59" s="16" t="n">
        <v>28.053</v>
      </c>
      <c r="H59" s="18" t="s">
        <v>963</v>
      </c>
    </row>
    <row r="60" customFormat="false" ht="15" hidden="false" customHeight="false" outlineLevel="0" collapsed="false">
      <c r="A60" s="62" t="n">
        <v>56</v>
      </c>
      <c r="B60" s="18" t="s">
        <v>964</v>
      </c>
      <c r="C60" s="18" t="s">
        <v>962</v>
      </c>
      <c r="D60" s="14" t="n">
        <v>365.57</v>
      </c>
      <c r="E60" s="14" t="n">
        <v>46.65</v>
      </c>
      <c r="F60" s="15" t="n">
        <v>0.1411</v>
      </c>
      <c r="G60" s="16" t="n">
        <v>42.081</v>
      </c>
      <c r="H60" s="18" t="s">
        <v>965</v>
      </c>
    </row>
    <row r="61" customFormat="false" ht="15" hidden="false" customHeight="false" outlineLevel="0" collapsed="false">
      <c r="A61" s="62" t="n">
        <v>57</v>
      </c>
      <c r="B61" s="18" t="s">
        <v>966</v>
      </c>
      <c r="C61" s="18" t="s">
        <v>962</v>
      </c>
      <c r="D61" s="14" t="n">
        <v>419.29</v>
      </c>
      <c r="E61" s="14" t="n">
        <v>40.06</v>
      </c>
      <c r="F61" s="15" t="n">
        <v>0.1919</v>
      </c>
      <c r="G61" s="16" t="n">
        <v>56.106</v>
      </c>
      <c r="H61" s="18" t="s">
        <v>967</v>
      </c>
    </row>
    <row r="62" customFormat="false" ht="15" hidden="false" customHeight="false" outlineLevel="0" collapsed="false">
      <c r="A62" s="62" t="n">
        <v>58</v>
      </c>
      <c r="B62" s="18" t="s">
        <v>968</v>
      </c>
      <c r="C62" s="18" t="s">
        <v>962</v>
      </c>
      <c r="D62" s="14" t="n">
        <v>418.09</v>
      </c>
      <c r="E62" s="14" t="n">
        <v>40.16</v>
      </c>
      <c r="F62" s="15" t="n">
        <v>0.1926</v>
      </c>
      <c r="G62" s="16" t="n">
        <v>56.106</v>
      </c>
      <c r="H62" s="18" t="s">
        <v>969</v>
      </c>
    </row>
    <row r="63" customFormat="false" ht="15" hidden="false" customHeight="false" outlineLevel="0" collapsed="false">
      <c r="A63" s="62" t="n">
        <v>59</v>
      </c>
      <c r="B63" s="18" t="s">
        <v>970</v>
      </c>
      <c r="C63" s="18" t="s">
        <v>962</v>
      </c>
      <c r="D63" s="14" t="n">
        <v>465.74</v>
      </c>
      <c r="E63" s="14" t="n">
        <v>35.98</v>
      </c>
      <c r="F63" s="15" t="n">
        <v>0.233</v>
      </c>
      <c r="G63" s="16" t="n">
        <v>70.133</v>
      </c>
      <c r="H63" s="18" t="s">
        <v>971</v>
      </c>
    </row>
    <row r="64" customFormat="false" ht="15" hidden="false" customHeight="false" outlineLevel="0" collapsed="false">
      <c r="A64" s="62" t="n">
        <v>60</v>
      </c>
      <c r="B64" s="18" t="s">
        <v>972</v>
      </c>
      <c r="C64" s="18" t="s">
        <v>962</v>
      </c>
      <c r="D64" s="14" t="n">
        <v>308.3</v>
      </c>
      <c r="E64" s="14" t="n">
        <v>61.38</v>
      </c>
      <c r="F64" s="15" t="n">
        <v>0.191</v>
      </c>
      <c r="G64" s="16" t="n">
        <v>26.037</v>
      </c>
      <c r="H64" s="18" t="s">
        <v>973</v>
      </c>
    </row>
    <row r="65" customFormat="false" ht="15" hidden="false" customHeight="false" outlineLevel="0" collapsed="false">
      <c r="A65" s="62" t="n">
        <v>61</v>
      </c>
      <c r="B65" s="18" t="s">
        <v>974</v>
      </c>
      <c r="C65" s="18" t="s">
        <v>962</v>
      </c>
      <c r="D65" s="14" t="n">
        <v>394</v>
      </c>
      <c r="E65" s="14" t="n">
        <v>52.5</v>
      </c>
      <c r="F65" s="15" t="n">
        <v>0.122</v>
      </c>
      <c r="G65" s="16" t="n">
        <v>40.064</v>
      </c>
      <c r="H65" s="18" t="s">
        <v>975</v>
      </c>
    </row>
    <row r="66" customFormat="false" ht="15" hidden="false" customHeight="false" outlineLevel="0" collapsed="false">
      <c r="A66" s="62" t="n">
        <v>62</v>
      </c>
      <c r="B66" s="18" t="s">
        <v>976</v>
      </c>
      <c r="C66" s="18" t="s">
        <v>962</v>
      </c>
      <c r="D66" s="14" t="n">
        <v>425.13</v>
      </c>
      <c r="E66" s="14" t="n">
        <v>43.05</v>
      </c>
      <c r="F66" s="15" t="n">
        <v>0.192</v>
      </c>
      <c r="G66" s="16" t="n">
        <v>54.09</v>
      </c>
      <c r="H66" s="18" t="s">
        <v>977</v>
      </c>
    </row>
    <row r="67" customFormat="false" ht="15" hidden="false" customHeight="false" outlineLevel="0" collapsed="false">
      <c r="A67" s="62" t="n">
        <v>63</v>
      </c>
      <c r="B67" s="18" t="s">
        <v>978</v>
      </c>
      <c r="C67" s="18" t="s">
        <v>962</v>
      </c>
      <c r="D67" s="14" t="n">
        <v>484</v>
      </c>
      <c r="E67" s="14" t="n">
        <v>38.5</v>
      </c>
      <c r="F67" s="15" t="n">
        <v>0.158</v>
      </c>
      <c r="G67" s="16" t="n">
        <v>68.117</v>
      </c>
      <c r="H67" s="18" t="s">
        <v>979</v>
      </c>
    </row>
    <row r="68" customFormat="false" ht="15" hidden="false" customHeight="false" outlineLevel="0" collapsed="false">
      <c r="A68" s="62" t="n">
        <v>64</v>
      </c>
      <c r="B68" s="18" t="s">
        <v>980</v>
      </c>
      <c r="C68" s="18" t="s">
        <v>981</v>
      </c>
      <c r="D68" s="14" t="n">
        <v>562.16</v>
      </c>
      <c r="E68" s="14" t="n">
        <v>48.95</v>
      </c>
      <c r="F68" s="15" t="n">
        <v>0.2103</v>
      </c>
      <c r="G68" s="16" t="n">
        <v>78.114</v>
      </c>
      <c r="H68" s="18" t="s">
        <v>982</v>
      </c>
    </row>
    <row r="69" customFormat="false" ht="15" hidden="false" customHeight="false" outlineLevel="0" collapsed="false">
      <c r="A69" s="62" t="n">
        <v>65</v>
      </c>
      <c r="B69" s="18" t="s">
        <v>983</v>
      </c>
      <c r="C69" s="18" t="s">
        <v>981</v>
      </c>
      <c r="D69" s="14" t="n">
        <v>591.75</v>
      </c>
      <c r="E69" s="14" t="n">
        <v>41.06</v>
      </c>
      <c r="F69" s="15" t="n">
        <v>0.2657</v>
      </c>
      <c r="G69" s="16" t="n">
        <v>92.141</v>
      </c>
      <c r="H69" s="18" t="s">
        <v>984</v>
      </c>
    </row>
    <row r="70" customFormat="false" ht="15" hidden="false" customHeight="false" outlineLevel="0" collapsed="false">
      <c r="A70" s="62" t="n">
        <v>66</v>
      </c>
      <c r="B70" s="18" t="s">
        <v>985</v>
      </c>
      <c r="C70" s="18" t="s">
        <v>981</v>
      </c>
      <c r="D70" s="14" t="n">
        <v>630.26</v>
      </c>
      <c r="E70" s="14" t="n">
        <v>37.37</v>
      </c>
      <c r="F70" s="15" t="n">
        <v>0.312</v>
      </c>
      <c r="G70" s="16" t="n">
        <v>106.165</v>
      </c>
      <c r="H70" s="18" t="s">
        <v>986</v>
      </c>
    </row>
    <row r="71" customFormat="false" ht="15" hidden="false" customHeight="false" outlineLevel="0" collapsed="false">
      <c r="A71" s="62" t="n">
        <v>67</v>
      </c>
      <c r="B71" s="18" t="s">
        <v>987</v>
      </c>
      <c r="C71" s="18" t="s">
        <v>981</v>
      </c>
      <c r="D71" s="14" t="n">
        <v>616.89</v>
      </c>
      <c r="E71" s="14" t="n">
        <v>35.35</v>
      </c>
      <c r="F71" s="15" t="n">
        <v>0.326</v>
      </c>
      <c r="G71" s="16" t="n">
        <v>106.165</v>
      </c>
      <c r="H71" s="18" t="s">
        <v>988</v>
      </c>
    </row>
    <row r="72" customFormat="false" ht="15" hidden="false" customHeight="false" outlineLevel="0" collapsed="false">
      <c r="A72" s="62" t="n">
        <v>68</v>
      </c>
      <c r="B72" s="18" t="s">
        <v>989</v>
      </c>
      <c r="C72" s="18" t="s">
        <v>981</v>
      </c>
      <c r="D72" s="14" t="n">
        <v>616.17</v>
      </c>
      <c r="E72" s="14" t="n">
        <v>35.32</v>
      </c>
      <c r="F72" s="15" t="n">
        <v>0.324</v>
      </c>
      <c r="G72" s="16" t="n">
        <v>106.165</v>
      </c>
      <c r="H72" s="18" t="s">
        <v>990</v>
      </c>
    </row>
    <row r="73" customFormat="false" ht="15" hidden="false" customHeight="false" outlineLevel="0" collapsed="false">
      <c r="A73" s="62" t="n">
        <v>69</v>
      </c>
      <c r="B73" s="18" t="s">
        <v>991</v>
      </c>
      <c r="C73" s="18" t="s">
        <v>981</v>
      </c>
      <c r="D73" s="14" t="n">
        <v>617.12</v>
      </c>
      <c r="E73" s="14" t="n">
        <v>36.22</v>
      </c>
      <c r="F73" s="15" t="n">
        <v>0.304</v>
      </c>
      <c r="G73" s="16" t="n">
        <v>106.165</v>
      </c>
      <c r="H73" s="18" t="s">
        <v>992</v>
      </c>
    </row>
    <row r="74" customFormat="false" ht="15" hidden="false" customHeight="false" outlineLevel="0" collapsed="false">
      <c r="A74" s="62" t="n">
        <v>70</v>
      </c>
      <c r="B74" s="18" t="s">
        <v>993</v>
      </c>
      <c r="C74" s="18" t="s">
        <v>981</v>
      </c>
      <c r="D74" s="14" t="n">
        <v>636</v>
      </c>
      <c r="E74" s="14" t="n">
        <v>38.4</v>
      </c>
      <c r="F74" s="15" t="n">
        <v>0.297</v>
      </c>
      <c r="G74" s="16" t="n">
        <v>104.149</v>
      </c>
      <c r="H74" s="18" t="s">
        <v>994</v>
      </c>
    </row>
    <row r="75" customFormat="false" ht="15" hidden="false" customHeight="false" outlineLevel="0" collapsed="false">
      <c r="A75" s="62" t="n">
        <v>71</v>
      </c>
      <c r="B75" s="18" t="s">
        <v>995</v>
      </c>
      <c r="C75" s="18" t="s">
        <v>981</v>
      </c>
      <c r="D75" s="14" t="n">
        <v>631</v>
      </c>
      <c r="E75" s="14" t="n">
        <v>32.09</v>
      </c>
      <c r="F75" s="15" t="n">
        <v>0.3261</v>
      </c>
      <c r="G75" s="16" t="n">
        <v>120.192</v>
      </c>
      <c r="H75" s="18" t="s">
        <v>996</v>
      </c>
    </row>
    <row r="76" customFormat="false" ht="15" hidden="false" customHeight="false" outlineLevel="0" collapsed="false">
      <c r="A76" s="62" t="n">
        <v>72</v>
      </c>
      <c r="B76" s="18" t="s">
        <v>997</v>
      </c>
      <c r="C76" s="18" t="s">
        <v>981</v>
      </c>
      <c r="D76" s="14" t="n">
        <v>748.4</v>
      </c>
      <c r="E76" s="14" t="n">
        <v>40.5</v>
      </c>
      <c r="F76" s="15" t="n">
        <v>0.302</v>
      </c>
      <c r="G76" s="16" t="n">
        <v>128.171</v>
      </c>
      <c r="H76" s="18" t="s">
        <v>998</v>
      </c>
    </row>
    <row r="77" customFormat="false" ht="15" hidden="false" customHeight="false" outlineLevel="0" collapsed="false">
      <c r="A77" s="62" t="n">
        <v>73</v>
      </c>
      <c r="B77" s="18" t="s">
        <v>999</v>
      </c>
      <c r="C77" s="18" t="s">
        <v>1000</v>
      </c>
      <c r="D77" s="14" t="n">
        <v>512.64</v>
      </c>
      <c r="E77" s="14" t="n">
        <v>80.97</v>
      </c>
      <c r="F77" s="15" t="n">
        <v>0.5625</v>
      </c>
      <c r="G77" s="16" t="n">
        <v>32.042</v>
      </c>
      <c r="H77" s="18" t="s">
        <v>1001</v>
      </c>
    </row>
    <row r="78" customFormat="false" ht="15" hidden="false" customHeight="false" outlineLevel="0" collapsed="false">
      <c r="A78" s="62" t="n">
        <v>74</v>
      </c>
      <c r="B78" s="18" t="s">
        <v>1002</v>
      </c>
      <c r="C78" s="18" t="s">
        <v>1000</v>
      </c>
      <c r="D78" s="14" t="n">
        <v>513.91</v>
      </c>
      <c r="E78" s="14" t="n">
        <v>61.48</v>
      </c>
      <c r="F78" s="15" t="n">
        <v>0.645</v>
      </c>
      <c r="G78" s="16" t="n">
        <v>46.069</v>
      </c>
      <c r="H78" s="18" t="s">
        <v>1003</v>
      </c>
    </row>
    <row r="79" customFormat="false" ht="15" hidden="false" customHeight="false" outlineLevel="0" collapsed="false">
      <c r="A79" s="62" t="n">
        <v>75</v>
      </c>
      <c r="B79" s="18" t="s">
        <v>1004</v>
      </c>
      <c r="C79" s="18" t="s">
        <v>1000</v>
      </c>
      <c r="D79" s="14" t="n">
        <v>508.3</v>
      </c>
      <c r="E79" s="14" t="n">
        <v>47.64</v>
      </c>
      <c r="F79" s="15" t="n">
        <v>0.665</v>
      </c>
      <c r="G79" s="16" t="n">
        <v>60.095</v>
      </c>
      <c r="H79" s="18" t="s">
        <v>1005</v>
      </c>
    </row>
    <row r="80" customFormat="false" ht="15" hidden="false" customHeight="false" outlineLevel="0" collapsed="false">
      <c r="A80" s="62" t="n">
        <v>76</v>
      </c>
      <c r="B80" s="18" t="s">
        <v>1006</v>
      </c>
      <c r="C80" s="18" t="s">
        <v>1000</v>
      </c>
      <c r="D80" s="14" t="n">
        <v>563</v>
      </c>
      <c r="E80" s="14" t="n">
        <v>44.14</v>
      </c>
      <c r="F80" s="15" t="n">
        <v>0.59</v>
      </c>
      <c r="G80" s="16" t="n">
        <v>74.122</v>
      </c>
      <c r="H80" s="18" t="s">
        <v>1007</v>
      </c>
    </row>
    <row r="81" customFormat="false" ht="15" hidden="false" customHeight="false" outlineLevel="0" collapsed="false">
      <c r="A81" s="62" t="n">
        <v>77</v>
      </c>
      <c r="B81" s="18" t="s">
        <v>1008</v>
      </c>
      <c r="C81" s="18" t="s">
        <v>1000</v>
      </c>
      <c r="D81" s="14" t="n">
        <v>508.2</v>
      </c>
      <c r="E81" s="14" t="n">
        <v>47.01</v>
      </c>
      <c r="F81" s="15" t="n">
        <v>0.3065</v>
      </c>
      <c r="G81" s="16" t="n">
        <v>58.08</v>
      </c>
      <c r="H81" s="18" t="s">
        <v>1009</v>
      </c>
    </row>
    <row r="82" customFormat="false" ht="15" hidden="false" customHeight="false" outlineLevel="0" collapsed="false">
      <c r="A82" s="62" t="n">
        <v>78</v>
      </c>
      <c r="B82" s="18" t="s">
        <v>1010</v>
      </c>
      <c r="C82" s="18" t="s">
        <v>1000</v>
      </c>
      <c r="D82" s="14" t="n">
        <v>536.7</v>
      </c>
      <c r="E82" s="14" t="n">
        <v>42.07</v>
      </c>
      <c r="F82" s="15" t="n">
        <v>0.329</v>
      </c>
      <c r="G82" s="16" t="n">
        <v>72.106</v>
      </c>
      <c r="H82" s="18" t="s">
        <v>1011</v>
      </c>
    </row>
    <row r="83" customFormat="false" ht="15" hidden="false" customHeight="false" outlineLevel="0" collapsed="false">
      <c r="A83" s="62" t="n">
        <v>79</v>
      </c>
      <c r="B83" s="18" t="s">
        <v>1012</v>
      </c>
      <c r="C83" s="18" t="s">
        <v>1000</v>
      </c>
      <c r="D83" s="14" t="n">
        <v>574.6</v>
      </c>
      <c r="E83" s="14" t="n">
        <v>32.7</v>
      </c>
      <c r="F83" s="15" t="n">
        <v>0.356</v>
      </c>
      <c r="G83" s="16" t="n">
        <v>100.159</v>
      </c>
      <c r="H83" s="18" t="s">
        <v>1013</v>
      </c>
    </row>
    <row r="84" customFormat="false" ht="15" hidden="false" customHeight="false" outlineLevel="0" collapsed="false">
      <c r="A84" s="62" t="n">
        <v>80</v>
      </c>
      <c r="B84" s="18" t="s">
        <v>1014</v>
      </c>
      <c r="C84" s="18" t="s">
        <v>1000</v>
      </c>
      <c r="D84" s="14" t="n">
        <v>540.5</v>
      </c>
      <c r="E84" s="14" t="n">
        <v>51.9</v>
      </c>
      <c r="F84" s="15" t="n">
        <v>0.217</v>
      </c>
      <c r="G84" s="16" t="n">
        <v>72.106</v>
      </c>
      <c r="H84" s="18" t="s">
        <v>1015</v>
      </c>
    </row>
    <row r="85" customFormat="false" ht="15" hidden="false" customHeight="false" outlineLevel="0" collapsed="false">
      <c r="A85" s="62" t="n">
        <v>81</v>
      </c>
      <c r="B85" s="18" t="s">
        <v>1016</v>
      </c>
      <c r="C85" s="18" t="s">
        <v>1000</v>
      </c>
      <c r="D85" s="14" t="n">
        <v>400.38</v>
      </c>
      <c r="E85" s="14" t="n">
        <v>53.37</v>
      </c>
      <c r="F85" s="15" t="n">
        <v>0.196</v>
      </c>
      <c r="G85" s="16" t="n">
        <v>46.068</v>
      </c>
      <c r="H85" s="18" t="s">
        <v>1017</v>
      </c>
    </row>
    <row r="86" customFormat="false" ht="15" hidden="false" customHeight="false" outlineLevel="0" collapsed="false">
      <c r="A86" s="62" t="n">
        <v>82</v>
      </c>
      <c r="B86" s="18" t="s">
        <v>1018</v>
      </c>
      <c r="C86" s="18" t="s">
        <v>1000</v>
      </c>
      <c r="D86" s="14" t="n">
        <v>466.7</v>
      </c>
      <c r="E86" s="14" t="n">
        <v>36.4</v>
      </c>
      <c r="F86" s="15" t="n">
        <v>0.281</v>
      </c>
      <c r="G86" s="16" t="n">
        <v>74.122</v>
      </c>
      <c r="H86" s="18" t="s">
        <v>1019</v>
      </c>
    </row>
    <row r="87" customFormat="false" ht="15" hidden="false" customHeight="false" outlineLevel="0" collapsed="false">
      <c r="A87" s="62" t="n">
        <v>83</v>
      </c>
      <c r="B87" s="18" t="s">
        <v>1020</v>
      </c>
      <c r="C87" s="18" t="s">
        <v>1000</v>
      </c>
      <c r="D87" s="14" t="n">
        <v>497.1</v>
      </c>
      <c r="E87" s="14" t="n">
        <v>34.3</v>
      </c>
      <c r="F87" s="15" t="n">
        <v>0.267</v>
      </c>
      <c r="G87" s="16" t="n">
        <v>88.148</v>
      </c>
      <c r="H87" s="18" t="s">
        <v>1021</v>
      </c>
    </row>
    <row r="88" customFormat="false" ht="15" hidden="false" customHeight="false" outlineLevel="0" collapsed="false">
      <c r="A88" s="62" t="n">
        <v>84</v>
      </c>
      <c r="B88" s="18" t="s">
        <v>1022</v>
      </c>
      <c r="C88" s="18" t="s">
        <v>1000</v>
      </c>
      <c r="D88" s="14" t="n">
        <v>468.92</v>
      </c>
      <c r="E88" s="14" t="n">
        <v>73.05</v>
      </c>
      <c r="F88" s="15" t="n">
        <v>0.2102</v>
      </c>
      <c r="G88" s="16" t="n">
        <v>44.053</v>
      </c>
      <c r="H88" s="18" t="s">
        <v>1023</v>
      </c>
    </row>
    <row r="89" customFormat="false" ht="15" hidden="false" customHeight="false" outlineLevel="0" collapsed="false">
      <c r="A89" s="62" t="n">
        <v>85</v>
      </c>
      <c r="B89" s="18" t="s">
        <v>1024</v>
      </c>
      <c r="C89" s="18" t="s">
        <v>1000</v>
      </c>
      <c r="D89" s="14" t="n">
        <v>488.11</v>
      </c>
      <c r="E89" s="14" t="n">
        <v>54.37</v>
      </c>
      <c r="F89" s="15" t="n">
        <v>0.249</v>
      </c>
      <c r="G89" s="16" t="n">
        <v>58.079</v>
      </c>
      <c r="H89" s="18" t="s">
        <v>1025</v>
      </c>
    </row>
    <row r="90" customFormat="false" ht="15" hidden="false" customHeight="false" outlineLevel="0" collapsed="false">
      <c r="A90" s="62" t="n">
        <v>86</v>
      </c>
      <c r="B90" s="18" t="s">
        <v>1026</v>
      </c>
      <c r="C90" s="18" t="s">
        <v>1000</v>
      </c>
      <c r="D90" s="14" t="n">
        <v>490.15</v>
      </c>
      <c r="E90" s="14" t="n">
        <v>55</v>
      </c>
      <c r="F90" s="15" t="n">
        <v>0.202</v>
      </c>
      <c r="G90" s="16" t="n">
        <v>68.074</v>
      </c>
      <c r="H90" s="18" t="s">
        <v>1027</v>
      </c>
    </row>
    <row r="91" customFormat="false" ht="15" hidden="false" customHeight="false" outlineLevel="0" collapsed="false">
      <c r="A91" s="62" t="n">
        <v>87</v>
      </c>
      <c r="B91" s="18" t="s">
        <v>1028</v>
      </c>
      <c r="C91" s="18" t="s">
        <v>1000</v>
      </c>
      <c r="D91" s="14" t="n">
        <v>587</v>
      </c>
      <c r="E91" s="14" t="n">
        <v>52.08</v>
      </c>
      <c r="F91" s="15" t="n">
        <v>0.28</v>
      </c>
      <c r="G91" s="16" t="n">
        <v>88.105</v>
      </c>
      <c r="H91" s="18" t="s">
        <v>1029</v>
      </c>
    </row>
    <row r="92" customFormat="false" ht="15" hidden="false" customHeight="false" outlineLevel="0" collapsed="false">
      <c r="A92" s="62" t="n">
        <v>88</v>
      </c>
      <c r="B92" s="18" t="s">
        <v>1030</v>
      </c>
      <c r="C92" s="18" t="s">
        <v>1000</v>
      </c>
      <c r="D92" s="14" t="n">
        <v>408</v>
      </c>
      <c r="E92" s="14" t="n">
        <v>65.86</v>
      </c>
      <c r="F92" s="15" t="n">
        <v>0.282</v>
      </c>
      <c r="G92" s="16" t="n">
        <v>30.026</v>
      </c>
      <c r="H92" s="18" t="s">
        <v>1031</v>
      </c>
    </row>
    <row r="93" customFormat="false" ht="15" hidden="false" customHeight="false" outlineLevel="0" collapsed="false">
      <c r="A93" s="62" t="n">
        <v>89</v>
      </c>
      <c r="B93" s="18" t="s">
        <v>1032</v>
      </c>
      <c r="C93" s="18" t="s">
        <v>1000</v>
      </c>
      <c r="D93" s="14" t="n">
        <v>466</v>
      </c>
      <c r="E93" s="14" t="n">
        <v>55.5</v>
      </c>
      <c r="F93" s="15" t="n">
        <v>0.291</v>
      </c>
      <c r="G93" s="16" t="n">
        <v>44.053</v>
      </c>
      <c r="H93" s="18" t="s">
        <v>1033</v>
      </c>
    </row>
    <row r="94" customFormat="false" ht="15" hidden="false" customHeight="false" outlineLevel="0" collapsed="false">
      <c r="A94" s="62" t="n">
        <v>90</v>
      </c>
      <c r="B94" s="18" t="s">
        <v>1034</v>
      </c>
      <c r="C94" s="18" t="s">
        <v>1000</v>
      </c>
      <c r="D94" s="14" t="n">
        <v>591.95</v>
      </c>
      <c r="E94" s="14" t="n">
        <v>57.86</v>
      </c>
      <c r="F94" s="15" t="n">
        <v>0.467</v>
      </c>
      <c r="G94" s="16" t="n">
        <v>60.052</v>
      </c>
      <c r="H94" s="18" t="s">
        <v>1035</v>
      </c>
    </row>
    <row r="95" customFormat="false" ht="15" hidden="false" customHeight="false" outlineLevel="0" collapsed="false">
      <c r="A95" s="62" t="n">
        <v>91</v>
      </c>
      <c r="B95" s="18" t="s">
        <v>1036</v>
      </c>
      <c r="C95" s="18" t="s">
        <v>1000</v>
      </c>
      <c r="D95" s="14" t="n">
        <v>588</v>
      </c>
      <c r="E95" s="14" t="n">
        <v>58.1</v>
      </c>
      <c r="F95" s="15" t="n">
        <v>0.317</v>
      </c>
      <c r="G95" s="16" t="n">
        <v>46.025</v>
      </c>
      <c r="H95" s="18" t="s">
        <v>1037</v>
      </c>
    </row>
    <row r="96" customFormat="false" ht="15" hidden="false" customHeight="false" outlineLevel="0" collapsed="false">
      <c r="A96" s="62" t="n">
        <v>92</v>
      </c>
      <c r="B96" s="18" t="s">
        <v>1038</v>
      </c>
      <c r="C96" s="18" t="s">
        <v>1000</v>
      </c>
      <c r="D96" s="14" t="n">
        <v>523.3</v>
      </c>
      <c r="E96" s="14" t="n">
        <v>38.7</v>
      </c>
      <c r="F96" s="15" t="n">
        <v>0.363</v>
      </c>
      <c r="G96" s="16" t="n">
        <v>88.105</v>
      </c>
      <c r="H96" s="18" t="s">
        <v>1039</v>
      </c>
    </row>
    <row r="97" customFormat="false" ht="15" hidden="false" customHeight="false" outlineLevel="0" collapsed="false">
      <c r="A97" s="62" t="n">
        <v>93</v>
      </c>
      <c r="B97" s="18" t="s">
        <v>1040</v>
      </c>
      <c r="C97" s="18" t="s">
        <v>1000</v>
      </c>
      <c r="D97" s="14" t="n">
        <v>506.55</v>
      </c>
      <c r="E97" s="14" t="n">
        <v>47.5</v>
      </c>
      <c r="F97" s="15" t="n">
        <v>0.331</v>
      </c>
      <c r="G97" s="16" t="n">
        <v>74.079</v>
      </c>
      <c r="H97" s="18" t="s">
        <v>1041</v>
      </c>
    </row>
    <row r="98" customFormat="false" ht="15" hidden="false" customHeight="false" outlineLevel="0" collapsed="false">
      <c r="A98" s="62" t="n">
        <v>94</v>
      </c>
      <c r="B98" s="18" t="s">
        <v>1042</v>
      </c>
      <c r="C98" s="18" t="s">
        <v>1043</v>
      </c>
      <c r="D98" s="14" t="n">
        <v>540</v>
      </c>
      <c r="E98" s="14" t="n">
        <v>46.6</v>
      </c>
      <c r="F98" s="15" t="n">
        <v>0.35</v>
      </c>
      <c r="G98" s="16" t="n">
        <v>53.063</v>
      </c>
      <c r="H98" s="18" t="s">
        <v>1044</v>
      </c>
    </row>
    <row r="99" customFormat="false" ht="15" hidden="false" customHeight="false" outlineLevel="0" collapsed="false">
      <c r="A99" s="62" t="n">
        <v>95</v>
      </c>
      <c r="B99" s="18" t="s">
        <v>1045</v>
      </c>
      <c r="C99" s="18" t="s">
        <v>1043</v>
      </c>
      <c r="D99" s="14" t="n">
        <v>545.5</v>
      </c>
      <c r="E99" s="14" t="n">
        <v>48.3</v>
      </c>
      <c r="F99" s="15" t="n">
        <v>0.338</v>
      </c>
      <c r="G99" s="16" t="n">
        <v>41.052</v>
      </c>
      <c r="H99" s="18" t="s">
        <v>1046</v>
      </c>
    </row>
    <row r="100" customFormat="false" ht="15" hidden="false" customHeight="false" outlineLevel="0" collapsed="false">
      <c r="A100" s="62" t="n">
        <v>96</v>
      </c>
      <c r="B100" s="18" t="s">
        <v>1047</v>
      </c>
      <c r="C100" s="18" t="s">
        <v>1048</v>
      </c>
      <c r="D100" s="14" t="n">
        <v>416.3</v>
      </c>
      <c r="E100" s="14" t="n">
        <v>66.9</v>
      </c>
      <c r="F100" s="15" t="n">
        <v>0.15</v>
      </c>
      <c r="G100" s="16" t="n">
        <v>50.488</v>
      </c>
      <c r="H100" s="18" t="s">
        <v>1049</v>
      </c>
    </row>
    <row r="101" customFormat="false" ht="15" hidden="false" customHeight="false" outlineLevel="0" collapsed="false">
      <c r="A101" s="62" t="n">
        <v>97</v>
      </c>
      <c r="B101" s="18" t="s">
        <v>1050</v>
      </c>
      <c r="C101" s="18" t="s">
        <v>1048</v>
      </c>
      <c r="D101" s="14" t="n">
        <v>510</v>
      </c>
      <c r="E101" s="14" t="n">
        <v>60.8</v>
      </c>
      <c r="F101" s="15" t="n">
        <v>0.199</v>
      </c>
      <c r="G101" s="16" t="n">
        <v>84.933</v>
      </c>
      <c r="H101" s="18" t="s">
        <v>1051</v>
      </c>
    </row>
    <row r="102" customFormat="false" ht="15" hidden="false" customHeight="false" outlineLevel="0" collapsed="false">
      <c r="A102" s="62" t="n">
        <v>98</v>
      </c>
      <c r="B102" s="18" t="s">
        <v>1052</v>
      </c>
      <c r="C102" s="18" t="s">
        <v>1048</v>
      </c>
      <c r="D102" s="14" t="n">
        <v>536.4</v>
      </c>
      <c r="E102" s="14" t="n">
        <v>54.72</v>
      </c>
      <c r="F102" s="15" t="n">
        <v>0.222</v>
      </c>
      <c r="G102" s="16" t="n">
        <v>119.378</v>
      </c>
      <c r="H102" s="18" t="s">
        <v>1053</v>
      </c>
    </row>
    <row r="103" customFormat="false" ht="15" hidden="false" customHeight="false" outlineLevel="0" collapsed="false">
      <c r="A103" s="62" t="n">
        <v>99</v>
      </c>
      <c r="B103" s="18" t="s">
        <v>1054</v>
      </c>
      <c r="C103" s="18" t="s">
        <v>1048</v>
      </c>
      <c r="D103" s="14" t="n">
        <v>556.3</v>
      </c>
      <c r="E103" s="14" t="n">
        <v>45.4</v>
      </c>
      <c r="F103" s="15" t="n">
        <v>0.194</v>
      </c>
      <c r="G103" s="16" t="n">
        <v>153.823</v>
      </c>
      <c r="H103" s="18" t="s">
        <v>1055</v>
      </c>
    </row>
    <row r="104" customFormat="false" ht="15" hidden="false" customHeight="false" outlineLevel="0" collapsed="false">
      <c r="A104" s="62" t="n">
        <v>100</v>
      </c>
      <c r="B104" s="18" t="s">
        <v>1056</v>
      </c>
      <c r="C104" s="18" t="s">
        <v>1048</v>
      </c>
      <c r="D104" s="14" t="n">
        <v>561.58</v>
      </c>
      <c r="E104" s="14" t="n">
        <v>52.26</v>
      </c>
      <c r="F104" s="15" t="n">
        <v>0.2686</v>
      </c>
      <c r="G104" s="16" t="n">
        <v>98.959</v>
      </c>
      <c r="H104" s="18" t="s">
        <v>1057</v>
      </c>
    </row>
    <row r="105" customFormat="false" ht="15" hidden="false" customHeight="false" outlineLevel="0" collapsed="false">
      <c r="A105" s="62" t="n">
        <v>101</v>
      </c>
      <c r="B105" s="18" t="s">
        <v>1058</v>
      </c>
      <c r="C105" s="18" t="s">
        <v>1048</v>
      </c>
      <c r="D105" s="14" t="n">
        <v>425</v>
      </c>
      <c r="E105" s="14" t="n">
        <v>56</v>
      </c>
      <c r="F105" s="15" t="n">
        <v>0.16</v>
      </c>
      <c r="G105" s="16" t="n">
        <v>62.498</v>
      </c>
      <c r="H105" s="18" t="s">
        <v>1059</v>
      </c>
    </row>
    <row r="106" customFormat="false" ht="15" hidden="false" customHeight="false" outlineLevel="0" collapsed="false">
      <c r="A106" s="62" t="n">
        <v>102</v>
      </c>
      <c r="B106" s="18" t="s">
        <v>1060</v>
      </c>
      <c r="C106" s="18" t="s">
        <v>1048</v>
      </c>
      <c r="D106" s="14" t="n">
        <v>571</v>
      </c>
      <c r="E106" s="14" t="n">
        <v>49.1</v>
      </c>
      <c r="F106" s="15" t="n">
        <v>0.217</v>
      </c>
      <c r="G106" s="16" t="n">
        <v>131.388</v>
      </c>
      <c r="H106" s="18" t="s">
        <v>1061</v>
      </c>
    </row>
    <row r="107" customFormat="false" ht="15" hidden="false" customHeight="false" outlineLevel="0" collapsed="false">
      <c r="A107" s="62" t="n">
        <v>103</v>
      </c>
      <c r="B107" s="18" t="s">
        <v>1062</v>
      </c>
      <c r="C107" s="18" t="s">
        <v>1048</v>
      </c>
      <c r="D107" s="14" t="n">
        <v>620</v>
      </c>
      <c r="E107" s="14" t="n">
        <v>44.9</v>
      </c>
      <c r="F107" s="15" t="n">
        <v>0.214</v>
      </c>
      <c r="G107" s="16" t="n">
        <v>165.833</v>
      </c>
      <c r="H107" s="18" t="s">
        <v>1063</v>
      </c>
    </row>
    <row r="108" customFormat="false" ht="15" hidden="false" customHeight="false" outlineLevel="0" collapsed="false">
      <c r="A108" s="62" t="n">
        <v>104</v>
      </c>
      <c r="B108" s="18" t="s">
        <v>1064</v>
      </c>
      <c r="C108" s="18" t="s">
        <v>1048</v>
      </c>
      <c r="D108" s="14" t="n">
        <v>317.28</v>
      </c>
      <c r="E108" s="14" t="n">
        <v>59.06</v>
      </c>
      <c r="F108" s="15" t="n">
        <v>0.2004</v>
      </c>
      <c r="G108" s="16" t="n">
        <v>34.033</v>
      </c>
      <c r="H108" s="18" t="s">
        <v>1065</v>
      </c>
    </row>
    <row r="109" customFormat="false" ht="15" hidden="false" customHeight="false" outlineLevel="0" collapsed="false">
      <c r="A109" s="62" t="n">
        <v>105</v>
      </c>
      <c r="B109" s="18" t="s">
        <v>1066</v>
      </c>
      <c r="C109" s="18" t="s">
        <v>1067</v>
      </c>
      <c r="D109" s="14" t="n">
        <v>471.11</v>
      </c>
      <c r="E109" s="14" t="n">
        <v>44.08</v>
      </c>
      <c r="F109" s="15" t="n">
        <v>0.1888</v>
      </c>
      <c r="G109" s="16" t="n">
        <v>137.368</v>
      </c>
      <c r="H109" s="18" t="s">
        <v>1068</v>
      </c>
    </row>
    <row r="110" customFormat="false" ht="15" hidden="false" customHeight="false" outlineLevel="0" collapsed="false">
      <c r="A110" s="62" t="n">
        <v>106</v>
      </c>
      <c r="B110" s="18" t="s">
        <v>1069</v>
      </c>
      <c r="C110" s="18" t="s">
        <v>1067</v>
      </c>
      <c r="D110" s="14" t="n">
        <v>385.12</v>
      </c>
      <c r="E110" s="14" t="n">
        <v>41.36</v>
      </c>
      <c r="F110" s="15" t="n">
        <v>0.1795</v>
      </c>
      <c r="G110" s="16" t="n">
        <v>120.913</v>
      </c>
      <c r="H110" s="18" t="s">
        <v>1070</v>
      </c>
    </row>
    <row r="111" customFormat="false" ht="15" hidden="false" customHeight="false" outlineLevel="0" collapsed="false">
      <c r="A111" s="62" t="n">
        <v>107</v>
      </c>
      <c r="B111" s="18" t="s">
        <v>1071</v>
      </c>
      <c r="C111" s="18" t="s">
        <v>1067</v>
      </c>
      <c r="D111" s="14" t="n">
        <v>369.3</v>
      </c>
      <c r="E111" s="14" t="n">
        <v>49.9</v>
      </c>
      <c r="F111" s="15" t="n">
        <v>0.2208</v>
      </c>
      <c r="G111" s="16" t="n">
        <v>86.468</v>
      </c>
      <c r="H111" s="18" t="s">
        <v>1072</v>
      </c>
    </row>
    <row r="112" customFormat="false" ht="15" hidden="false" customHeight="false" outlineLevel="0" collapsed="false">
      <c r="A112" s="62" t="n">
        <v>108</v>
      </c>
      <c r="B112" s="18" t="s">
        <v>1073</v>
      </c>
      <c r="C112" s="18" t="s">
        <v>1067</v>
      </c>
      <c r="D112" s="14" t="n">
        <v>351.26</v>
      </c>
      <c r="E112" s="14" t="n">
        <v>57.83</v>
      </c>
      <c r="F112" s="15" t="n">
        <v>0.2769</v>
      </c>
      <c r="G112" s="16" t="n">
        <v>52.024</v>
      </c>
      <c r="H112" s="18" t="s">
        <v>1074</v>
      </c>
    </row>
    <row r="113" customFormat="false" ht="15" hidden="false" customHeight="false" outlineLevel="0" collapsed="false">
      <c r="A113" s="62" t="n">
        <v>109</v>
      </c>
      <c r="B113" s="18" t="s">
        <v>1075</v>
      </c>
      <c r="C113" s="18" t="s">
        <v>1067</v>
      </c>
      <c r="D113" s="14" t="n">
        <v>317.28</v>
      </c>
      <c r="E113" s="14" t="n">
        <v>59.06</v>
      </c>
      <c r="F113" s="15" t="n">
        <v>0.2004</v>
      </c>
      <c r="G113" s="16" t="n">
        <v>34.033</v>
      </c>
      <c r="H113" s="18" t="s">
        <v>1076</v>
      </c>
    </row>
    <row r="114" customFormat="false" ht="15" hidden="false" customHeight="false" outlineLevel="0" collapsed="false">
      <c r="A114" s="62" t="n">
        <v>110</v>
      </c>
      <c r="B114" s="18" t="s">
        <v>1077</v>
      </c>
      <c r="C114" s="18" t="s">
        <v>1067</v>
      </c>
      <c r="D114" s="14" t="n">
        <v>456.83</v>
      </c>
      <c r="E114" s="14" t="n">
        <v>36.62</v>
      </c>
      <c r="F114" s="15" t="n">
        <v>0.2819</v>
      </c>
      <c r="G114" s="16" t="n">
        <v>152.931</v>
      </c>
      <c r="H114" s="18" t="s">
        <v>1078</v>
      </c>
    </row>
    <row r="115" customFormat="false" ht="15" hidden="false" customHeight="false" outlineLevel="0" collapsed="false">
      <c r="A115" s="62" t="n">
        <v>111</v>
      </c>
      <c r="B115" s="18" t="s">
        <v>1079</v>
      </c>
      <c r="C115" s="18" t="s">
        <v>1067</v>
      </c>
      <c r="D115" s="14" t="n">
        <v>395.43</v>
      </c>
      <c r="E115" s="14" t="n">
        <v>36.24</v>
      </c>
      <c r="F115" s="15" t="n">
        <v>0.2881</v>
      </c>
      <c r="G115" s="16" t="n">
        <v>136.476</v>
      </c>
      <c r="H115" s="18" t="s">
        <v>1080</v>
      </c>
    </row>
    <row r="116" customFormat="false" ht="15" hidden="false" customHeight="false" outlineLevel="0" collapsed="false">
      <c r="A116" s="62" t="n">
        <v>112</v>
      </c>
      <c r="B116" s="18" t="s">
        <v>1081</v>
      </c>
      <c r="C116" s="18" t="s">
        <v>1067</v>
      </c>
      <c r="D116" s="14" t="n">
        <v>339.18</v>
      </c>
      <c r="E116" s="14" t="n">
        <v>36.18</v>
      </c>
      <c r="F116" s="15" t="n">
        <v>0.3052</v>
      </c>
      <c r="G116" s="16" t="n">
        <v>120.021</v>
      </c>
      <c r="H116" s="18" t="s">
        <v>1082</v>
      </c>
    </row>
    <row r="117" customFormat="false" ht="15" hidden="false" customHeight="false" outlineLevel="0" collapsed="false">
      <c r="A117" s="62" t="n">
        <v>113</v>
      </c>
      <c r="B117" s="18" t="s">
        <v>1083</v>
      </c>
      <c r="C117" s="18" t="s">
        <v>1067</v>
      </c>
      <c r="D117" s="14" t="n">
        <v>374.21</v>
      </c>
      <c r="E117" s="14" t="n">
        <v>40.59</v>
      </c>
      <c r="F117" s="15" t="n">
        <v>0.3268</v>
      </c>
      <c r="G117" s="16" t="n">
        <v>102.031</v>
      </c>
      <c r="H117" s="18" t="s">
        <v>1084</v>
      </c>
    </row>
    <row r="118" customFormat="false" ht="15" hidden="false" customHeight="false" outlineLevel="0" collapsed="false">
      <c r="A118" s="62" t="n">
        <v>114</v>
      </c>
      <c r="B118" s="18" t="s">
        <v>1085</v>
      </c>
      <c r="C118" s="18" t="s">
        <v>1067</v>
      </c>
      <c r="D118" s="14" t="n">
        <v>477.5</v>
      </c>
      <c r="E118" s="14" t="n">
        <v>42.12</v>
      </c>
      <c r="F118" s="15" t="n">
        <v>0.2195</v>
      </c>
      <c r="G118" s="16" t="n">
        <v>116.95</v>
      </c>
      <c r="H118" s="18" t="s">
        <v>1086</v>
      </c>
    </row>
    <row r="119" customFormat="false" ht="15" hidden="false" customHeight="false" outlineLevel="0" collapsed="false">
      <c r="A119" s="62" t="n">
        <v>115</v>
      </c>
      <c r="B119" s="18" t="s">
        <v>1087</v>
      </c>
      <c r="C119" s="18" t="s">
        <v>1067</v>
      </c>
      <c r="D119" s="14" t="n">
        <v>345.86</v>
      </c>
      <c r="E119" s="14" t="n">
        <v>37.62</v>
      </c>
      <c r="F119" s="15" t="n">
        <v>0.2615</v>
      </c>
      <c r="G119" s="16" t="n">
        <v>84.041</v>
      </c>
      <c r="H119" s="18" t="s">
        <v>1088</v>
      </c>
    </row>
    <row r="120" customFormat="false" ht="15" hidden="false" customHeight="false" outlineLevel="0" collapsed="false">
      <c r="A120" s="62" t="n">
        <v>116</v>
      </c>
      <c r="B120" s="18" t="s">
        <v>1089</v>
      </c>
      <c r="C120" s="18" t="s">
        <v>1067</v>
      </c>
      <c r="D120" s="14" t="n">
        <v>386.41</v>
      </c>
      <c r="E120" s="14" t="n">
        <v>45.17</v>
      </c>
      <c r="F120" s="15" t="n">
        <v>0.2752</v>
      </c>
      <c r="G120" s="16" t="n">
        <v>66.051</v>
      </c>
      <c r="H120" s="18" t="s">
        <v>1090</v>
      </c>
    </row>
    <row r="121" customFormat="false" ht="15" hidden="false" customHeight="false" outlineLevel="0" collapsed="false">
      <c r="A121" s="62" t="n">
        <v>117</v>
      </c>
      <c r="B121" s="18" t="s">
        <v>1091</v>
      </c>
      <c r="C121" s="18" t="s">
        <v>1067</v>
      </c>
      <c r="D121" s="14" t="n">
        <v>375.25</v>
      </c>
      <c r="E121" s="14" t="n">
        <v>50.46</v>
      </c>
      <c r="F121" s="15" t="n">
        <v>0.218</v>
      </c>
      <c r="G121" s="16" t="n">
        <v>48.06</v>
      </c>
      <c r="H121" s="18" t="s">
        <v>1092</v>
      </c>
    </row>
    <row r="122" customFormat="false" ht="15" hidden="false" customHeight="false" outlineLevel="0" collapsed="false">
      <c r="A122" s="62" t="n">
        <v>118</v>
      </c>
      <c r="B122" s="18" t="s">
        <v>1093</v>
      </c>
      <c r="C122" s="18" t="s">
        <v>1067</v>
      </c>
      <c r="D122" s="14" t="n">
        <v>367.85</v>
      </c>
      <c r="E122" s="14" t="n">
        <v>33.84</v>
      </c>
      <c r="F122" s="15" t="n">
        <v>0.276</v>
      </c>
      <c r="G122" s="16" t="n">
        <v>114.042</v>
      </c>
      <c r="H122" s="18" t="s">
        <v>1094</v>
      </c>
    </row>
    <row r="123" customFormat="false" ht="15" hidden="false" customHeight="false" outlineLevel="0" collapsed="false">
      <c r="A123" s="62" t="n">
        <v>119</v>
      </c>
      <c r="B123" s="18" t="s">
        <v>1095</v>
      </c>
      <c r="C123" s="18" t="s">
        <v>1067</v>
      </c>
      <c r="D123" s="14" t="n">
        <v>382.51</v>
      </c>
      <c r="E123" s="14" t="n">
        <v>36.35</v>
      </c>
      <c r="F123" s="15" t="n">
        <v>0.3131</v>
      </c>
      <c r="G123" s="16" t="n">
        <v>114.042</v>
      </c>
      <c r="H123" s="18" t="s">
        <v>1096</v>
      </c>
    </row>
    <row r="124" customFormat="false" ht="15" hidden="false" customHeight="false" outlineLevel="0" collapsed="false">
      <c r="A124" s="62" t="n">
        <v>120</v>
      </c>
      <c r="B124" s="18" t="s">
        <v>1097</v>
      </c>
      <c r="C124" s="18" t="s">
        <v>1067</v>
      </c>
      <c r="D124" s="14" t="n">
        <v>427.01</v>
      </c>
      <c r="E124" s="14" t="n">
        <v>36.51</v>
      </c>
      <c r="F124" s="15" t="n">
        <v>0.3776</v>
      </c>
      <c r="G124" s="16" t="n">
        <v>134.048</v>
      </c>
      <c r="H124" s="18" t="s">
        <v>1098</v>
      </c>
    </row>
    <row r="125" customFormat="false" ht="15" hidden="false" customHeight="false" outlineLevel="0" collapsed="false">
      <c r="A125" s="62" t="n">
        <v>121</v>
      </c>
      <c r="B125" s="18" t="s">
        <v>1099</v>
      </c>
      <c r="C125" s="18" t="s">
        <v>1067</v>
      </c>
      <c r="D125" s="14" t="n">
        <v>408.14</v>
      </c>
      <c r="E125" s="14" t="n">
        <v>36.48</v>
      </c>
      <c r="F125" s="15" t="n">
        <v>0.1808</v>
      </c>
      <c r="G125" s="16" t="n">
        <v>58.124</v>
      </c>
      <c r="H125" s="18" t="s">
        <v>1100</v>
      </c>
    </row>
    <row r="126" customFormat="false" ht="15" hidden="false" customHeight="false" outlineLevel="0" collapsed="false">
      <c r="A126" s="62" t="n">
        <v>122</v>
      </c>
      <c r="B126" s="18" t="s">
        <v>1101</v>
      </c>
      <c r="C126" s="18" t="s">
        <v>1067</v>
      </c>
      <c r="D126" s="14" t="n">
        <v>405.65</v>
      </c>
      <c r="E126" s="14" t="n">
        <v>113.53</v>
      </c>
      <c r="F126" s="15" t="n">
        <v>0.253</v>
      </c>
      <c r="G126" s="16" t="n">
        <v>17.031</v>
      </c>
      <c r="H126" s="18" t="s">
        <v>1102</v>
      </c>
    </row>
    <row r="127" customFormat="false" ht="15" hidden="false" customHeight="false" outlineLevel="0" collapsed="false">
      <c r="A127" s="62" t="n">
        <v>123</v>
      </c>
      <c r="B127" s="18" t="s">
        <v>1103</v>
      </c>
      <c r="C127" s="18" t="s">
        <v>1067</v>
      </c>
      <c r="D127" s="14" t="n">
        <v>304.21</v>
      </c>
      <c r="E127" s="14" t="n">
        <v>73.83</v>
      </c>
      <c r="F127" s="15" t="n">
        <v>0.2239</v>
      </c>
      <c r="G127" s="16" t="n">
        <v>44.01</v>
      </c>
      <c r="H127" s="18" t="s">
        <v>1104</v>
      </c>
    </row>
    <row r="128" customFormat="false" ht="15" hidden="false" customHeight="false" outlineLevel="0" collapsed="false">
      <c r="A128" s="62" t="n">
        <v>124</v>
      </c>
      <c r="B128" s="18" t="s">
        <v>1105</v>
      </c>
      <c r="C128" s="18" t="s">
        <v>1106</v>
      </c>
      <c r="D128" s="14" t="n">
        <v>345.27</v>
      </c>
      <c r="E128" s="14" t="n">
        <v>37.35</v>
      </c>
      <c r="F128" s="15" t="n">
        <v>0.293</v>
      </c>
      <c r="G128" s="16" t="n">
        <v>97.604</v>
      </c>
      <c r="H128" s="18" t="s">
        <v>1107</v>
      </c>
    </row>
    <row r="129" customFormat="false" ht="15" hidden="false" customHeight="false" outlineLevel="0" collapsed="false">
      <c r="A129" s="62" t="n">
        <v>125</v>
      </c>
      <c r="B129" s="18" t="s">
        <v>1108</v>
      </c>
      <c r="C129" s="18" t="s">
        <v>1106</v>
      </c>
      <c r="D129" s="14" t="n">
        <v>359.35</v>
      </c>
      <c r="E129" s="14" t="n">
        <v>46.32</v>
      </c>
      <c r="F129" s="15" t="n">
        <v>0.363</v>
      </c>
      <c r="G129" s="16" t="n">
        <v>86.204</v>
      </c>
      <c r="H129" s="18" t="s">
        <v>1109</v>
      </c>
    </row>
    <row r="130" customFormat="false" ht="15" hidden="false" customHeight="false" outlineLevel="0" collapsed="false">
      <c r="A130" s="62" t="n">
        <v>126</v>
      </c>
      <c r="B130" s="18" t="s">
        <v>1110</v>
      </c>
      <c r="C130" s="18" t="s">
        <v>1106</v>
      </c>
      <c r="D130" s="14" t="n">
        <v>344.49</v>
      </c>
      <c r="E130" s="14" t="n">
        <v>49.01</v>
      </c>
      <c r="F130" s="15" t="n">
        <v>0.296</v>
      </c>
      <c r="G130" s="16" t="n">
        <v>72.585</v>
      </c>
      <c r="H130" s="18" t="s">
        <v>1111</v>
      </c>
    </row>
    <row r="131" customFormat="false" ht="15" hidden="false" customHeight="false" outlineLevel="0" collapsed="false">
      <c r="A131" s="62" t="n">
        <v>127</v>
      </c>
      <c r="B131" s="18" t="s">
        <v>1112</v>
      </c>
      <c r="C131" s="18" t="s">
        <v>1106</v>
      </c>
      <c r="D131" s="14" t="n">
        <v>343.76</v>
      </c>
      <c r="E131" s="14" t="n">
        <v>37.05</v>
      </c>
      <c r="F131" s="15" t="n">
        <v>0.286</v>
      </c>
      <c r="G131" s="16" t="n">
        <v>98.859</v>
      </c>
      <c r="H131" s="18" t="s">
        <v>1113</v>
      </c>
    </row>
  </sheetData>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scaleWithDoc="0" differentFirst="false" differentOddEven="false">
    <oddHeader>&amp;C&amp;G</oddHeader>
    <oddFooter>&amp;Lwww.multicalci.com&amp;CPage &amp;P of &amp;N&amp;R&amp;A</oddFooter>
  </headerFooter>
  <legacyDrawingHF r:id="rId1"/>
  <picture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40"/>
  </cols>
  <sheetData>
    <row r="1" customFormat="false" ht="17.35" hidden="false" customHeight="false" outlineLevel="0" collapsed="false">
      <c r="A1" s="1" t="s">
        <v>88</v>
      </c>
    </row>
    <row r="2" customFormat="false" ht="15" hidden="false" customHeight="false" outlineLevel="0" collapsed="false">
      <c r="A2" s="2" t="str">
        <f aca="false">HYPERLINK("https://www.multicalci.com/","www.multicalci.com")</f>
        <v>www.multicalci.com</v>
      </c>
    </row>
    <row r="5" customFormat="false" ht="15" hidden="false" customHeight="false" outlineLevel="0" collapsed="false">
      <c r="A5" s="4" t="s">
        <v>1114</v>
      </c>
    </row>
    <row r="6" customFormat="false" ht="30" hidden="false" customHeight="true" outlineLevel="0" collapsed="false">
      <c r="A6" s="64" t="s">
        <v>1114</v>
      </c>
      <c r="B6" s="65" t="s">
        <v>1115</v>
      </c>
    </row>
    <row r="7" customFormat="false" ht="30" hidden="false" customHeight="true" outlineLevel="0" collapsed="false">
      <c r="A7" s="64" t="s">
        <v>1116</v>
      </c>
      <c r="B7" s="65" t="s">
        <v>1117</v>
      </c>
    </row>
    <row r="8" customFormat="false" ht="15" hidden="false" customHeight="true" outlineLevel="0" collapsed="false">
      <c r="A8" s="64" t="s">
        <v>1118</v>
      </c>
      <c r="B8" s="65" t="s">
        <v>1119</v>
      </c>
    </row>
    <row r="10" customFormat="false" ht="15" hidden="false" customHeight="false" outlineLevel="0" collapsed="false">
      <c r="A10" s="4" t="s">
        <v>1120</v>
      </c>
    </row>
    <row r="11" customFormat="false" ht="45" hidden="false" customHeight="true" outlineLevel="0" collapsed="false">
      <c r="A11" s="64" t="s">
        <v>1121</v>
      </c>
      <c r="B11" s="65" t="s">
        <v>1122</v>
      </c>
    </row>
    <row r="12" customFormat="false" ht="30" hidden="false" customHeight="true" outlineLevel="0" collapsed="false">
      <c r="A12" s="64" t="s">
        <v>1123</v>
      </c>
      <c r="B12" s="65" t="s">
        <v>1124</v>
      </c>
    </row>
    <row r="13" customFormat="false" ht="30" hidden="false" customHeight="true" outlineLevel="0" collapsed="false">
      <c r="A13" s="64" t="s">
        <v>1125</v>
      </c>
      <c r="B13" s="65" t="s">
        <v>1126</v>
      </c>
    </row>
    <row r="14" customFormat="false" ht="15" hidden="false" customHeight="true" outlineLevel="0" collapsed="false">
      <c r="A14" s="64" t="s">
        <v>1127</v>
      </c>
      <c r="B14" s="65" t="s">
        <v>1128</v>
      </c>
    </row>
    <row r="16" customFormat="false" ht="15" hidden="false" customHeight="false" outlineLevel="0" collapsed="false">
      <c r="A16" s="4" t="s">
        <v>1129</v>
      </c>
    </row>
    <row r="17" customFormat="false" ht="30" hidden="false" customHeight="true" outlineLevel="0" collapsed="false">
      <c r="A17" s="64" t="s">
        <v>1130</v>
      </c>
      <c r="B17" s="65" t="s">
        <v>1131</v>
      </c>
    </row>
    <row r="18" customFormat="false" ht="15" hidden="false" customHeight="true" outlineLevel="0" collapsed="false">
      <c r="A18" s="64" t="s">
        <v>1132</v>
      </c>
      <c r="B18" s="65" t="s">
        <v>1133</v>
      </c>
    </row>
    <row r="19" customFormat="false" ht="30" hidden="false" customHeight="true" outlineLevel="0" collapsed="false">
      <c r="A19" s="64" t="s">
        <v>227</v>
      </c>
      <c r="B19" s="65" t="s">
        <v>1134</v>
      </c>
    </row>
    <row r="20" customFormat="false" ht="45" hidden="false" customHeight="true" outlineLevel="0" collapsed="false">
      <c r="A20" s="64" t="s">
        <v>75</v>
      </c>
      <c r="B20" s="65" t="s">
        <v>1135</v>
      </c>
    </row>
    <row r="21" customFormat="false" ht="30" hidden="false" customHeight="true" outlineLevel="0" collapsed="false">
      <c r="A21" s="64" t="s">
        <v>1136</v>
      </c>
      <c r="B21" s="65" t="s">
        <v>1137</v>
      </c>
    </row>
    <row r="23" customFormat="false" ht="15" hidden="false" customHeight="false" outlineLevel="0" collapsed="false">
      <c r="A23" s="4" t="s">
        <v>1138</v>
      </c>
    </row>
    <row r="24" customFormat="false" ht="30" hidden="false" customHeight="true" outlineLevel="0" collapsed="false">
      <c r="A24" s="64" t="s">
        <v>1139</v>
      </c>
      <c r="B24" s="65" t="s">
        <v>1140</v>
      </c>
    </row>
    <row r="25" customFormat="false" ht="30" hidden="false" customHeight="true" outlineLevel="0" collapsed="false">
      <c r="A25" s="64" t="s">
        <v>261</v>
      </c>
      <c r="B25" s="65" t="s">
        <v>1141</v>
      </c>
    </row>
    <row r="26" customFormat="false" ht="45" hidden="false" customHeight="true" outlineLevel="0" collapsed="false">
      <c r="A26" s="64" t="s">
        <v>1142</v>
      </c>
      <c r="B26" s="65" t="s">
        <v>1143</v>
      </c>
    </row>
    <row r="27" customFormat="false" ht="75" hidden="false" customHeight="true" outlineLevel="0" collapsed="false">
      <c r="A27" s="64" t="s">
        <v>1144</v>
      </c>
      <c r="B27" s="65" t="s">
        <v>1145</v>
      </c>
    </row>
    <row r="28" customFormat="false" ht="45" hidden="false" customHeight="true" outlineLevel="0" collapsed="false">
      <c r="A28" s="64" t="s">
        <v>1146</v>
      </c>
      <c r="B28" s="65" t="s">
        <v>1147</v>
      </c>
    </row>
    <row r="30" customFormat="false" ht="15" hidden="false" customHeight="false" outlineLevel="0" collapsed="false">
      <c r="A30" s="4" t="s">
        <v>1148</v>
      </c>
    </row>
    <row r="31" customFormat="false" ht="15" hidden="false" customHeight="true" outlineLevel="0" collapsed="false">
      <c r="A31" s="64" t="s">
        <v>1149</v>
      </c>
      <c r="B31" s="65" t="s">
        <v>1150</v>
      </c>
    </row>
    <row r="32" customFormat="false" ht="60" hidden="false" customHeight="true" outlineLevel="0" collapsed="false">
      <c r="A32" s="64" t="s">
        <v>1151</v>
      </c>
      <c r="B32" s="65" t="s">
        <v>1152</v>
      </c>
    </row>
    <row r="33" customFormat="false" ht="45" hidden="false" customHeight="true" outlineLevel="0" collapsed="false">
      <c r="A33" s="64" t="s">
        <v>1153</v>
      </c>
      <c r="B33" s="65" t="s">
        <v>1154</v>
      </c>
    </row>
    <row r="34" customFormat="false" ht="30" hidden="false" customHeight="true" outlineLevel="0" collapsed="false">
      <c r="A34" s="64" t="s">
        <v>1155</v>
      </c>
      <c r="B34" s="65" t="s">
        <v>1156</v>
      </c>
    </row>
    <row r="36" customFormat="false" ht="15" hidden="false" customHeight="false" outlineLevel="0" collapsed="false">
      <c r="A36" s="4" t="s">
        <v>1157</v>
      </c>
    </row>
    <row r="37" customFormat="false" ht="75" hidden="false" customHeight="true" outlineLevel="0" collapsed="false">
      <c r="A37" s="64" t="s">
        <v>1121</v>
      </c>
      <c r="B37" s="65" t="s">
        <v>1158</v>
      </c>
    </row>
    <row r="38" customFormat="false" ht="90" hidden="false" customHeight="true" outlineLevel="0" collapsed="false">
      <c r="A38" s="64" t="s">
        <v>1159</v>
      </c>
      <c r="B38" s="65" t="s">
        <v>1160</v>
      </c>
    </row>
    <row r="40" customFormat="false" ht="15" hidden="false" customHeight="false" outlineLevel="0" collapsed="false">
      <c r="A40" s="4" t="s">
        <v>1161</v>
      </c>
    </row>
    <row r="41" customFormat="false" ht="15" hidden="false" customHeight="true" outlineLevel="0" collapsed="false">
      <c r="A41" s="64" t="s">
        <v>126</v>
      </c>
      <c r="B41" s="65" t="s">
        <v>1162</v>
      </c>
    </row>
    <row r="42" customFormat="false" ht="30" hidden="false" customHeight="true" outlineLevel="0" collapsed="false">
      <c r="A42" s="64" t="s">
        <v>1163</v>
      </c>
      <c r="B42" s="65" t="s">
        <v>1164</v>
      </c>
    </row>
    <row r="43" customFormat="false" ht="15" hidden="false" customHeight="true" outlineLevel="0" collapsed="false">
      <c r="A43" s="64" t="s">
        <v>1165</v>
      </c>
      <c r="B43" s="65" t="s">
        <v>1166</v>
      </c>
    </row>
    <row r="44" customFormat="false" ht="15" hidden="false" customHeight="true" outlineLevel="0" collapsed="false">
      <c r="A44" s="64" t="s">
        <v>1167</v>
      </c>
      <c r="B44" s="65" t="s">
        <v>1168</v>
      </c>
    </row>
    <row r="46" customFormat="false" ht="15" hidden="false" customHeight="false" outlineLevel="0" collapsed="false">
      <c r="A46" s="4" t="s">
        <v>1169</v>
      </c>
    </row>
    <row r="47" customFormat="false" ht="15" hidden="false" customHeight="true" outlineLevel="0" collapsed="false">
      <c r="A47" s="64" t="s">
        <v>1170</v>
      </c>
      <c r="B47" s="65" t="s">
        <v>1171</v>
      </c>
    </row>
    <row r="48" customFormat="false" ht="15" hidden="false" customHeight="true" outlineLevel="0" collapsed="false">
      <c r="A48" s="64" t="s">
        <v>1172</v>
      </c>
      <c r="B48" s="65" t="s">
        <v>1173</v>
      </c>
    </row>
    <row r="49" customFormat="false" ht="15" hidden="false" customHeight="true" outlineLevel="0" collapsed="false">
      <c r="A49" s="64" t="s">
        <v>1174</v>
      </c>
      <c r="B49" s="65" t="s">
        <v>1175</v>
      </c>
    </row>
    <row r="50" customFormat="false" ht="30" hidden="false" customHeight="true" outlineLevel="0" collapsed="false">
      <c r="A50" s="64" t="s">
        <v>1176</v>
      </c>
      <c r="B50" s="65" t="s">
        <v>1177</v>
      </c>
    </row>
    <row r="51" customFormat="false" ht="30" hidden="false" customHeight="true" outlineLevel="0" collapsed="false">
      <c r="A51" s="64" t="s">
        <v>1178</v>
      </c>
      <c r="B51" s="65" t="s">
        <v>1179</v>
      </c>
    </row>
    <row r="52" customFormat="false" ht="30" hidden="false" customHeight="true" outlineLevel="0" collapsed="false">
      <c r="A52" s="64" t="s">
        <v>1180</v>
      </c>
      <c r="B52" s="65" t="s">
        <v>1181</v>
      </c>
    </row>
    <row r="53" customFormat="false" ht="30" hidden="false" customHeight="true" outlineLevel="0" collapsed="false">
      <c r="A53" s="64" t="s">
        <v>1182</v>
      </c>
      <c r="B53" s="65" t="s">
        <v>1183</v>
      </c>
    </row>
    <row r="54" customFormat="false" ht="15" hidden="false" customHeight="true" outlineLevel="0" collapsed="false">
      <c r="A54" s="64" t="s">
        <v>1184</v>
      </c>
      <c r="B54" s="65" t="s">
        <v>1185</v>
      </c>
    </row>
    <row r="55" customFormat="false" ht="15" hidden="false" customHeight="true" outlineLevel="0" collapsed="false">
      <c r="A55" s="64" t="s">
        <v>1186</v>
      </c>
      <c r="B55" s="65" t="s">
        <v>1187</v>
      </c>
    </row>
    <row r="57" customFormat="false" ht="15" hidden="false" customHeight="false" outlineLevel="0" collapsed="false">
      <c r="A57" s="4" t="s">
        <v>1188</v>
      </c>
    </row>
    <row r="58" customFormat="false" ht="30" hidden="false" customHeight="true" outlineLevel="0" collapsed="false">
      <c r="A58" s="64"/>
      <c r="B58" s="65" t="s">
        <v>1189</v>
      </c>
    </row>
  </sheetData>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scaleWithDoc="0" differentFirst="false" differentOddEven="false">
    <oddHeader>&amp;C&amp;G</oddHeader>
    <oddFooter>&amp;Lwww.multicalci.com&amp;CPage &amp;P of &amp;N&amp;R&amp;A</oddFooter>
  </headerFooter>
  <legacyDrawingHF r:id="rId1"/>
  <picture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2026-10-05T17:20:30Z</dcterms:created>
  <dc:creator>multicalci.com</dc:creator>
  <dc:description/>
  <cp:keywords>equation of state Peng-Robinson SRK compressibility factor flash multicalci.com</cp:keywords>
  <dc:language>en-US</dc:language>
  <cp:lastModifiedBy>multicalci.com</cp:lastModifiedBy>
  <dcterms:modified xsi:type="dcterms:W3CDTF">2026-10-05T17:20:33Z</dcterms:modified>
  <cp:revision>0</cp:revision>
  <dc:subject>Compressibility factor, density, fugacity and phase split of pure gases and gas mixtures</dc:subject>
  <dc:title>Gas Equation of State Calculator</dc:title>
</cp:coreProperties>
</file>

<file path=docProps/custom.xml><?xml version="1.0" encoding="utf-8"?>
<Properties xmlns="http://schemas.openxmlformats.org/officeDocument/2006/custom-properties" xmlns:vt="http://schemas.openxmlformats.org/officeDocument/2006/docPropsVTypes"/>
</file>